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66925"/>
  <mc:AlternateContent xmlns:mc="http://schemas.openxmlformats.org/markup-compatibility/2006">
    <mc:Choice Requires="x15">
      <x15ac:absPath xmlns:x15ac="http://schemas.microsoft.com/office/spreadsheetml/2010/11/ac" url="/Users/gabjadotte/Downloads/"/>
    </mc:Choice>
  </mc:AlternateContent>
  <xr:revisionPtr revIDLastSave="0" documentId="13_ncr:1_{1C399E90-FDA9-ED49-BEC8-BB79DB388780}" xr6:coauthVersionLast="47" xr6:coauthVersionMax="47" xr10:uidLastSave="{00000000-0000-0000-0000-000000000000}"/>
  <bookViews>
    <workbookView xWindow="0" yWindow="500" windowWidth="28800" windowHeight="15920" activeTab="5" xr2:uid="{00000000-000D-0000-FFFF-FFFF00000000}"/>
  </bookViews>
  <sheets>
    <sheet name="Start" sheetId="1" r:id="rId1"/>
    <sheet name="Instructions" sheetId="2" r:id="rId2"/>
    <sheet name="Standards and Terms" sheetId="3" r:id="rId3"/>
    <sheet name="All Other Purchases" sheetId="4" r:id="rId4"/>
    <sheet name="Certifiedverified purchases" sheetId="5" r:id="rId5"/>
    <sheet name="Plant-based foods" sheetId="6" r:id="rId6"/>
    <sheet name="Institution-affirmed production" sheetId="7" r:id="rId7"/>
    <sheet name="Inventory " sheetId="8" r:id="rId8"/>
    <sheet name="Recognized responses" sheetId="9" state="hidden" r:id="rId9"/>
  </sheets>
  <definedNames>
    <definedName name="_xlnm._FilterDatabase" localSheetId="3" hidden="1">'All Other Purchases'!$B$8:$D$58</definedName>
    <definedName name="_xlnm._FilterDatabase" localSheetId="4" hidden="1">'Certifiedverified purchases'!$B$8:$F$69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0" i="4" l="1"/>
  <c r="D76" i="4"/>
  <c r="D75" i="4"/>
  <c r="D74" i="4"/>
  <c r="D73" i="4"/>
  <c r="D72" i="4"/>
  <c r="D71" i="4"/>
  <c r="D69" i="4"/>
  <c r="D68" i="4"/>
  <c r="D67" i="4"/>
  <c r="D66" i="4"/>
  <c r="H19" i="7"/>
  <c r="D65" i="4"/>
  <c r="D64" i="4"/>
  <c r="D63" i="4"/>
  <c r="D62" i="4"/>
  <c r="D61" i="4"/>
  <c r="D60" i="4"/>
  <c r="D43" i="4"/>
  <c r="E1866" i="8"/>
  <c r="E1858" i="8"/>
  <c r="E1853" i="8"/>
  <c r="E1854" i="8" s="1"/>
  <c r="D33" i="4" s="1"/>
  <c r="E1842" i="8"/>
  <c r="E1837" i="8"/>
  <c r="E1836" i="8"/>
  <c r="E1833" i="8"/>
  <c r="E1832" i="8"/>
  <c r="I1870" i="8" s="1"/>
  <c r="E1831" i="8"/>
  <c r="N1870" i="8" s="1"/>
  <c r="E1830" i="8"/>
  <c r="E1829" i="8"/>
  <c r="E1825" i="8"/>
  <c r="E1824" i="8"/>
  <c r="E1823" i="8" s="1"/>
  <c r="E1821" i="8"/>
  <c r="E1820" i="8"/>
  <c r="E1819" i="8"/>
  <c r="Q1870" i="8" s="1"/>
  <c r="E1818" i="8"/>
  <c r="E1817" i="8"/>
  <c r="O1870" i="8" s="1"/>
  <c r="E1814" i="8"/>
  <c r="J1870" i="8" s="1"/>
  <c r="E1813" i="8"/>
  <c r="E1812" i="8"/>
  <c r="E1811" i="8"/>
  <c r="E1810" i="8"/>
  <c r="K1870" i="8" s="1"/>
  <c r="E1808" i="8"/>
  <c r="E1807" i="8"/>
  <c r="E1806" i="8" s="1"/>
  <c r="E1805" i="8"/>
  <c r="E1802" i="8"/>
  <c r="E1801" i="8"/>
  <c r="E1800" i="8"/>
  <c r="E1799" i="8"/>
  <c r="E1798" i="8"/>
  <c r="E1797" i="8"/>
  <c r="E1792" i="8"/>
  <c r="E1791" i="8" s="1"/>
  <c r="D11" i="4" s="1"/>
  <c r="E1790" i="8"/>
  <c r="E1789" i="8"/>
  <c r="E1788" i="8"/>
  <c r="E1780" i="8"/>
  <c r="E1779" i="8"/>
  <c r="E1778" i="8"/>
  <c r="E1776" i="8"/>
  <c r="E1774" i="8"/>
  <c r="E1772" i="8"/>
  <c r="M1870" i="8" s="1"/>
  <c r="E1771" i="8"/>
  <c r="E1770" i="8"/>
  <c r="H1870" i="8" s="1"/>
  <c r="E1768" i="8"/>
  <c r="E1763" i="8"/>
  <c r="E1761" i="8"/>
  <c r="E1760" i="8"/>
  <c r="E1752" i="8"/>
  <c r="E1754" i="8" s="1"/>
  <c r="E1751" i="8"/>
  <c r="E1736" i="8"/>
  <c r="E1735" i="8"/>
  <c r="E1734" i="8"/>
  <c r="E1733" i="8"/>
  <c r="E1738" i="8" s="1"/>
  <c r="E1731" i="8"/>
  <c r="E1732" i="8" s="1"/>
  <c r="E1729" i="8"/>
  <c r="E1726" i="8"/>
  <c r="E1724" i="8"/>
  <c r="E1721" i="8"/>
  <c r="E1719" i="8"/>
  <c r="E1715" i="8"/>
  <c r="E1714" i="8"/>
  <c r="E1718" i="8" s="1"/>
  <c r="E1707" i="8"/>
  <c r="E1706" i="8"/>
  <c r="E1705" i="8"/>
  <c r="E1709" i="8" s="1"/>
  <c r="E1703" i="8"/>
  <c r="E1693" i="8"/>
  <c r="E1691" i="8"/>
  <c r="E1692" i="8" s="1"/>
  <c r="E1681" i="8"/>
  <c r="E1678" i="8"/>
  <c r="E1677" i="8"/>
  <c r="E1676" i="8"/>
  <c r="E1675" i="8"/>
  <c r="E1680" i="8" s="1"/>
  <c r="E1672" i="8"/>
  <c r="E1674" i="8" s="1"/>
  <c r="E1670" i="8"/>
  <c r="E1669" i="8"/>
  <c r="E1668" i="8"/>
  <c r="E1643" i="8"/>
  <c r="M1639" i="8"/>
  <c r="E1637" i="8"/>
  <c r="E1635" i="8"/>
  <c r="E1634" i="8"/>
  <c r="H1639" i="8" s="1"/>
  <c r="E1631" i="8"/>
  <c r="E1630" i="8"/>
  <c r="E1623" i="8"/>
  <c r="E1618" i="8"/>
  <c r="E1617" i="8"/>
  <c r="E1613" i="8"/>
  <c r="E1612" i="8"/>
  <c r="E1594" i="8"/>
  <c r="E1593" i="8"/>
  <c r="E1591" i="8"/>
  <c r="O1639" i="8" s="1"/>
  <c r="E1590" i="8"/>
  <c r="E1589" i="8"/>
  <c r="E1588" i="8"/>
  <c r="E1587" i="8"/>
  <c r="E1586" i="8"/>
  <c r="E1585" i="8"/>
  <c r="E1584" i="8"/>
  <c r="E1577" i="8"/>
  <c r="N1639" i="8" s="1"/>
  <c r="E1574" i="8"/>
  <c r="E1571" i="8"/>
  <c r="E1570" i="8"/>
  <c r="Q1639" i="8" s="1"/>
  <c r="E1569" i="8"/>
  <c r="E1567" i="8"/>
  <c r="E1566" i="8"/>
  <c r="I1639" i="8" s="1"/>
  <c r="E1565" i="8"/>
  <c r="E1562" i="8"/>
  <c r="E1561" i="8"/>
  <c r="E1559" i="8"/>
  <c r="E1558" i="8"/>
  <c r="E1555" i="8"/>
  <c r="E1554" i="8"/>
  <c r="E1553" i="8"/>
  <c r="E1552" i="8"/>
  <c r="E1549" i="8" s="1"/>
  <c r="E1550" i="8"/>
  <c r="E1548" i="8"/>
  <c r="E1543" i="8"/>
  <c r="E1531" i="8"/>
  <c r="E1530" i="8"/>
  <c r="E1529" i="8"/>
  <c r="E1527" i="8"/>
  <c r="E1526" i="8"/>
  <c r="E1518" i="8"/>
  <c r="E1517" i="8"/>
  <c r="E1516" i="8"/>
  <c r="E1512" i="8"/>
  <c r="E1511" i="8"/>
  <c r="E1510" i="8"/>
  <c r="E1509" i="8"/>
  <c r="E1508" i="8"/>
  <c r="E1513" i="8" s="1"/>
  <c r="E1507" i="8"/>
  <c r="E1506" i="8"/>
  <c r="E1504" i="8"/>
  <c r="E1502" i="8"/>
  <c r="E1500" i="8"/>
  <c r="E1499" i="8"/>
  <c r="E1497" i="8"/>
  <c r="E1498" i="8" s="1"/>
  <c r="D20" i="4" s="1"/>
  <c r="E1495" i="8"/>
  <c r="E1494" i="8"/>
  <c r="E1493" i="8"/>
  <c r="E1491" i="8"/>
  <c r="E1489" i="8"/>
  <c r="E1487" i="8"/>
  <c r="E1485" i="8"/>
  <c r="E1486" i="8" s="1"/>
  <c r="E1484" i="8"/>
  <c r="E1483" i="8"/>
  <c r="E1482" i="8"/>
  <c r="E1481" i="8"/>
  <c r="E1480" i="8"/>
  <c r="E1478" i="8"/>
  <c r="E1474" i="8"/>
  <c r="E1473" i="8"/>
  <c r="E1472" i="8"/>
  <c r="E1471" i="8"/>
  <c r="E1466" i="8"/>
  <c r="E1465" i="8"/>
  <c r="E1464" i="8"/>
  <c r="K1639" i="8" s="1"/>
  <c r="E1463" i="8"/>
  <c r="E1462" i="8"/>
  <c r="E1467" i="8" s="1"/>
  <c r="E1461" i="8"/>
  <c r="E1460" i="8"/>
  <c r="E1458" i="8"/>
  <c r="E1450" i="8"/>
  <c r="E1447" i="8"/>
  <c r="E1446" i="8"/>
  <c r="E1444" i="8"/>
  <c r="E1445" i="8" s="1"/>
  <c r="E1438" i="8"/>
  <c r="E1433" i="8"/>
  <c r="E1431" i="8"/>
  <c r="E1432" i="8" s="1"/>
  <c r="E1430" i="8"/>
  <c r="E1429" i="8"/>
  <c r="E1428" i="8"/>
  <c r="E1427" i="8"/>
  <c r="E1426" i="8"/>
  <c r="E1422" i="8"/>
  <c r="E1421" i="8"/>
  <c r="E1419" i="8"/>
  <c r="E1415" i="8"/>
  <c r="E1406" i="8"/>
  <c r="E1405" i="8"/>
  <c r="E1402" i="8"/>
  <c r="E1401" i="8"/>
  <c r="E1398" i="8"/>
  <c r="E1397" i="8"/>
  <c r="P1395" i="8"/>
  <c r="J1395" i="8"/>
  <c r="E1381" i="8"/>
  <c r="E1379" i="8"/>
  <c r="E1374" i="8"/>
  <c r="E1372" i="8"/>
  <c r="E1371" i="8"/>
  <c r="E1365" i="8"/>
  <c r="E1364" i="8"/>
  <c r="E1363" i="8"/>
  <c r="E1359" i="8"/>
  <c r="E1358" i="8"/>
  <c r="E1355" i="8"/>
  <c r="Q1395" i="8" s="1"/>
  <c r="E1354" i="8"/>
  <c r="E1353" i="8"/>
  <c r="E1352" i="8"/>
  <c r="E1349" i="8"/>
  <c r="E1348" i="8"/>
  <c r="E1346" i="8"/>
  <c r="E1345" i="8"/>
  <c r="E1343" i="8"/>
  <c r="E1342" i="8"/>
  <c r="E1341" i="8"/>
  <c r="E1340" i="8"/>
  <c r="E1339" i="8"/>
  <c r="E1338" i="8"/>
  <c r="N1395" i="8" s="1"/>
  <c r="E1337" i="8"/>
  <c r="E1336" i="8"/>
  <c r="E1335" i="8"/>
  <c r="E1334" i="8"/>
  <c r="E1332" i="8"/>
  <c r="E1331" i="8"/>
  <c r="E1328" i="8"/>
  <c r="E1327" i="8"/>
  <c r="E1326" i="8"/>
  <c r="E1325" i="8"/>
  <c r="E1324" i="8"/>
  <c r="E1323" i="8"/>
  <c r="E1322" i="8"/>
  <c r="E1321" i="8"/>
  <c r="E1320" i="8" s="1"/>
  <c r="E1319" i="8"/>
  <c r="E1317" i="8"/>
  <c r="E1316" i="8"/>
  <c r="E1315" i="8" s="1"/>
  <c r="D17" i="4" s="1"/>
  <c r="E1313" i="8"/>
  <c r="E1312" i="8"/>
  <c r="E1310" i="8"/>
  <c r="E1309" i="8"/>
  <c r="E1307" i="8"/>
  <c r="E1362" i="8" s="1"/>
  <c r="E1306" i="8"/>
  <c r="E1305" i="8"/>
  <c r="E1304" i="8"/>
  <c r="E1302" i="8"/>
  <c r="E1301" i="8"/>
  <c r="E1292" i="8"/>
  <c r="E1291" i="8"/>
  <c r="H1395" i="8" s="1"/>
  <c r="E1290" i="8"/>
  <c r="E1281" i="8"/>
  <c r="E1282" i="8" s="1"/>
  <c r="E1280" i="8"/>
  <c r="E1279" i="8"/>
  <c r="E1277" i="8"/>
  <c r="E1274" i="8"/>
  <c r="E1273" i="8"/>
  <c r="E1272" i="8"/>
  <c r="E1270" i="8"/>
  <c r="E1269" i="8"/>
  <c r="O1395" i="8" s="1"/>
  <c r="E1268" i="8"/>
  <c r="M1395" i="8" s="1"/>
  <c r="E1267" i="8"/>
  <c r="I1395" i="8" s="1"/>
  <c r="E1265" i="8"/>
  <c r="E1261" i="8"/>
  <c r="E1260" i="8"/>
  <c r="E1256" i="8"/>
  <c r="E1255" i="8"/>
  <c r="E1254" i="8"/>
  <c r="E1253" i="8"/>
  <c r="E1257" i="8" s="1"/>
  <c r="E1252" i="8"/>
  <c r="E1250" i="8"/>
  <c r="E1249" i="8"/>
  <c r="E1248" i="8"/>
  <c r="E1246" i="8"/>
  <c r="E1245" i="8"/>
  <c r="E1239" i="8"/>
  <c r="E1237" i="8"/>
  <c r="E1231" i="8"/>
  <c r="E1229" i="8"/>
  <c r="E1223" i="8"/>
  <c r="E1216" i="8"/>
  <c r="E1211" i="8"/>
  <c r="E1210" i="8"/>
  <c r="E1212" i="8" s="1"/>
  <c r="E1209" i="8"/>
  <c r="E1208" i="8"/>
  <c r="E1207" i="8"/>
  <c r="E1206" i="8"/>
  <c r="E1205" i="8"/>
  <c r="E1194" i="8"/>
  <c r="E1193" i="8"/>
  <c r="E1197" i="8" s="1"/>
  <c r="E1191" i="8"/>
  <c r="E1188" i="8"/>
  <c r="E1177" i="8"/>
  <c r="E1170" i="8"/>
  <c r="N1120" i="8"/>
  <c r="J1120" i="8"/>
  <c r="I1120" i="8"/>
  <c r="E1120" i="8"/>
  <c r="E1111" i="8"/>
  <c r="E1109" i="8"/>
  <c r="E1107" i="8"/>
  <c r="E1104" i="8"/>
  <c r="E1101" i="8"/>
  <c r="E1102" i="8" s="1"/>
  <c r="E1100" i="8"/>
  <c r="E1099" i="8"/>
  <c r="E1098" i="8"/>
  <c r="E1097" i="8"/>
  <c r="E1096" i="8"/>
  <c r="E1095" i="8"/>
  <c r="E1090" i="8"/>
  <c r="Q1120" i="8" s="1"/>
  <c r="E1089" i="8"/>
  <c r="E1081" i="8"/>
  <c r="E1079" i="8"/>
  <c r="E1072" i="8"/>
  <c r="E1071" i="8"/>
  <c r="E1070" i="8"/>
  <c r="K1120" i="8" s="1"/>
  <c r="E1069" i="8"/>
  <c r="E1068" i="8"/>
  <c r="E1066" i="8"/>
  <c r="E1067" i="8" s="1"/>
  <c r="E1065" i="8"/>
  <c r="E1063" i="8"/>
  <c r="E1060" i="8"/>
  <c r="E1059" i="8"/>
  <c r="E1058" i="8"/>
  <c r="E1061" i="8" s="1"/>
  <c r="E1055" i="8"/>
  <c r="E1053" i="8"/>
  <c r="E1050" i="8"/>
  <c r="E1052" i="8" s="1"/>
  <c r="E1043" i="8"/>
  <c r="E1042" i="8"/>
  <c r="E1041" i="8"/>
  <c r="E1040" i="8"/>
  <c r="E1039" i="8"/>
  <c r="E1044" i="8" s="1"/>
  <c r="E1037" i="8"/>
  <c r="E1038" i="8" s="1"/>
  <c r="E1035" i="8"/>
  <c r="E1032" i="8"/>
  <c r="E1031" i="8"/>
  <c r="E1026" i="8"/>
  <c r="E1025" i="8"/>
  <c r="E1024" i="8"/>
  <c r="E1022" i="8"/>
  <c r="E1020" i="8"/>
  <c r="E1019" i="8"/>
  <c r="E1021" i="8" s="1"/>
  <c r="E1018" i="8"/>
  <c r="E1016" i="8"/>
  <c r="E1015" i="8"/>
  <c r="H1120" i="8" s="1"/>
  <c r="E1010" i="8"/>
  <c r="E984" i="8"/>
  <c r="E983" i="8"/>
  <c r="N972" i="8"/>
  <c r="M972" i="8"/>
  <c r="J972" i="8"/>
  <c r="E955" i="8"/>
  <c r="E951" i="8"/>
  <c r="E949" i="8"/>
  <c r="E948" i="8"/>
  <c r="Q972" i="8" s="1"/>
  <c r="E947" i="8"/>
  <c r="E946" i="8"/>
  <c r="E945" i="8"/>
  <c r="E943" i="8"/>
  <c r="E942" i="8"/>
  <c r="E941" i="8"/>
  <c r="E939" i="8"/>
  <c r="E937" i="8"/>
  <c r="E933" i="8"/>
  <c r="E932" i="8"/>
  <c r="E930" i="8"/>
  <c r="E927" i="8" s="1"/>
  <c r="E924" i="8"/>
  <c r="E923" i="8"/>
  <c r="E921" i="8"/>
  <c r="E920" i="8" s="1"/>
  <c r="E919" i="8"/>
  <c r="E918" i="8"/>
  <c r="E916" i="8"/>
  <c r="E914" i="8"/>
  <c r="E913" i="8"/>
  <c r="E908" i="8"/>
  <c r="E907" i="8"/>
  <c r="E905" i="8"/>
  <c r="E903" i="8"/>
  <c r="E902" i="8" s="1"/>
  <c r="E901" i="8"/>
  <c r="E899" i="8"/>
  <c r="E895" i="8"/>
  <c r="E884" i="8"/>
  <c r="E883" i="8"/>
  <c r="E882" i="8"/>
  <c r="E881" i="8"/>
  <c r="E872" i="8"/>
  <c r="E871" i="8"/>
  <c r="E870" i="8"/>
  <c r="E864" i="8"/>
  <c r="E863" i="8"/>
  <c r="E862" i="8"/>
  <c r="E859" i="8"/>
  <c r="O972" i="8" s="1"/>
  <c r="E858" i="8"/>
  <c r="E856" i="8"/>
  <c r="K972" i="8" s="1"/>
  <c r="E854" i="8"/>
  <c r="E849" i="8"/>
  <c r="E847" i="8"/>
  <c r="E848" i="8" s="1"/>
  <c r="E846" i="8"/>
  <c r="E844" i="8"/>
  <c r="E843" i="8"/>
  <c r="E842" i="8"/>
  <c r="I972" i="8" s="1"/>
  <c r="E841" i="8"/>
  <c r="E845" i="8" s="1"/>
  <c r="E838" i="8"/>
  <c r="E840" i="8" s="1"/>
  <c r="E835" i="8"/>
  <c r="E832" i="8"/>
  <c r="E825" i="8"/>
  <c r="E824" i="8"/>
  <c r="E823" i="8"/>
  <c r="E827" i="8" s="1"/>
  <c r="E821" i="8"/>
  <c r="E822" i="8" s="1"/>
  <c r="E819" i="8"/>
  <c r="E815" i="8"/>
  <c r="E813" i="8"/>
  <c r="E810" i="8"/>
  <c r="E809" i="8"/>
  <c r="E808" i="8"/>
  <c r="E807" i="8"/>
  <c r="E806" i="8"/>
  <c r="E805" i="8"/>
  <c r="E796" i="8"/>
  <c r="E795" i="8"/>
  <c r="E794" i="8"/>
  <c r="H972" i="8" s="1"/>
  <c r="E793" i="8"/>
  <c r="E791" i="8"/>
  <c r="E787" i="8"/>
  <c r="E785" i="8"/>
  <c r="E783" i="8"/>
  <c r="E778" i="8"/>
  <c r="E774" i="8"/>
  <c r="E771" i="8"/>
  <c r="E770" i="8" s="1"/>
  <c r="E763" i="8"/>
  <c r="E750" i="8"/>
  <c r="E747" i="8"/>
  <c r="Q737" i="8"/>
  <c r="O737" i="8"/>
  <c r="N737" i="8"/>
  <c r="M737" i="8"/>
  <c r="E736" i="8"/>
  <c r="E735" i="8"/>
  <c r="E734" i="8"/>
  <c r="E732" i="8"/>
  <c r="E729" i="8"/>
  <c r="E727" i="8"/>
  <c r="E726" i="8"/>
  <c r="E725" i="8"/>
  <c r="E724" i="8"/>
  <c r="E722" i="8"/>
  <c r="E721" i="8" s="1"/>
  <c r="E720" i="8"/>
  <c r="E719" i="8"/>
  <c r="E718" i="8"/>
  <c r="E717" i="8"/>
  <c r="E716" i="8"/>
  <c r="E715" i="8"/>
  <c r="E714" i="8"/>
  <c r="E713" i="8"/>
  <c r="E711" i="8"/>
  <c r="E710" i="8"/>
  <c r="E709" i="8"/>
  <c r="E708" i="8"/>
  <c r="E707" i="8"/>
  <c r="E705" i="8"/>
  <c r="E706" i="8" s="1"/>
  <c r="E703" i="8"/>
  <c r="E704" i="8" s="1"/>
  <c r="D31" i="4" s="1"/>
  <c r="E701" i="8"/>
  <c r="L737" i="8" s="1"/>
  <c r="E698" i="8"/>
  <c r="E699" i="8" s="1"/>
  <c r="E697" i="8"/>
  <c r="E696" i="8"/>
  <c r="E695" i="8"/>
  <c r="E694" i="8"/>
  <c r="E693" i="8"/>
  <c r="E692" i="8"/>
  <c r="E690" i="8"/>
  <c r="E688" i="8"/>
  <c r="E687" i="8"/>
  <c r="E686" i="8"/>
  <c r="E685" i="8"/>
  <c r="E683" i="8"/>
  <c r="E682" i="8"/>
  <c r="E681" i="8"/>
  <c r="E678" i="8"/>
  <c r="E677" i="8"/>
  <c r="E679" i="8" s="1"/>
  <c r="E676" i="8"/>
  <c r="E673" i="8"/>
  <c r="E674" i="8" s="1"/>
  <c r="E671" i="8"/>
  <c r="E660" i="8"/>
  <c r="E659" i="8"/>
  <c r="E657" i="8"/>
  <c r="E655" i="8"/>
  <c r="E654" i="8"/>
  <c r="E653" i="8"/>
  <c r="E652" i="8"/>
  <c r="E631" i="8"/>
  <c r="E618" i="8"/>
  <c r="E613" i="8"/>
  <c r="E611" i="8"/>
  <c r="Q601" i="8"/>
  <c r="E577" i="8"/>
  <c r="H601" i="8" s="1"/>
  <c r="E576" i="8"/>
  <c r="E574" i="8"/>
  <c r="E547" i="8"/>
  <c r="E544" i="8"/>
  <c r="E540" i="8"/>
  <c r="E539" i="8"/>
  <c r="E538" i="8"/>
  <c r="E537" i="8"/>
  <c r="E536" i="8"/>
  <c r="E535" i="8"/>
  <c r="E522" i="8"/>
  <c r="E518" i="8"/>
  <c r="E516" i="8"/>
  <c r="E513" i="8"/>
  <c r="E512" i="8"/>
  <c r="E510" i="8"/>
  <c r="E501" i="8"/>
  <c r="E500" i="8"/>
  <c r="E498" i="8"/>
  <c r="E489" i="8"/>
  <c r="E488" i="8"/>
  <c r="E486" i="8"/>
  <c r="E485" i="8"/>
  <c r="E414" i="8"/>
  <c r="E413" i="8"/>
  <c r="E411" i="8"/>
  <c r="N433" i="8" s="1"/>
  <c r="E409" i="8"/>
  <c r="E406" i="8"/>
  <c r="Q433" i="8" s="1"/>
  <c r="E405" i="8"/>
  <c r="E399" i="8"/>
  <c r="H433" i="8" s="1"/>
  <c r="E397" i="8"/>
  <c r="E391" i="8"/>
  <c r="E390" i="8"/>
  <c r="E380" i="8"/>
  <c r="E376" i="8"/>
  <c r="E375" i="8"/>
  <c r="E373" i="8"/>
  <c r="I433" i="8" s="1"/>
  <c r="E372" i="8"/>
  <c r="E377" i="8" s="1"/>
  <c r="E371" i="8"/>
  <c r="E370" i="8"/>
  <c r="E367" i="8"/>
  <c r="E364" i="8"/>
  <c r="E361" i="8"/>
  <c r="E359" i="8"/>
  <c r="E360" i="8" s="1"/>
  <c r="E358" i="8"/>
  <c r="E351" i="8"/>
  <c r="E350" i="8"/>
  <c r="E349" i="8"/>
  <c r="E348" i="8"/>
  <c r="E353" i="8" s="1"/>
  <c r="E345" i="8"/>
  <c r="E346" i="8" s="1"/>
  <c r="D15" i="4" s="1"/>
  <c r="E340" i="8"/>
  <c r="E332" i="8"/>
  <c r="E331" i="8"/>
  <c r="E330" i="8"/>
  <c r="E328" i="8"/>
  <c r="E327" i="8"/>
  <c r="E326" i="8"/>
  <c r="E324" i="8"/>
  <c r="E323" i="8"/>
  <c r="M433" i="8" s="1"/>
  <c r="E322" i="8"/>
  <c r="E321" i="8"/>
  <c r="E317" i="8"/>
  <c r="E314" i="8"/>
  <c r="E313" i="8"/>
  <c r="E312" i="8"/>
  <c r="E311" i="8"/>
  <c r="E308" i="8"/>
  <c r="E303" i="8"/>
  <c r="E302" i="8"/>
  <c r="E301" i="8"/>
  <c r="O433" i="8" s="1"/>
  <c r="D17" i="6" s="1"/>
  <c r="E291" i="8"/>
  <c r="E285" i="8"/>
  <c r="E284" i="8" s="1"/>
  <c r="E280" i="8"/>
  <c r="E252" i="8"/>
  <c r="E247" i="8"/>
  <c r="O243" i="8"/>
  <c r="M243" i="8"/>
  <c r="J243" i="8"/>
  <c r="E237" i="8"/>
  <c r="E230" i="8"/>
  <c r="E229" i="8"/>
  <c r="E228" i="8"/>
  <c r="Q243" i="8" s="1"/>
  <c r="D19" i="6" s="1"/>
  <c r="E226" i="8"/>
  <c r="E225" i="8"/>
  <c r="E223" i="8"/>
  <c r="E222" i="8"/>
  <c r="E221" i="8"/>
  <c r="E220" i="8"/>
  <c r="E219" i="8"/>
  <c r="E215" i="8"/>
  <c r="E214" i="8"/>
  <c r="E213" i="8"/>
  <c r="E224" i="8" s="1"/>
  <c r="N243" i="8" s="1"/>
  <c r="D16" i="6" s="1"/>
  <c r="E212" i="8"/>
  <c r="E187" i="8"/>
  <c r="E163" i="8"/>
  <c r="E137" i="8"/>
  <c r="E98" i="8"/>
  <c r="E95" i="8"/>
  <c r="E89" i="8"/>
  <c r="E88" i="8"/>
  <c r="L243" i="8" s="1"/>
  <c r="E86" i="8"/>
  <c r="E82" i="8"/>
  <c r="H243" i="8" s="1"/>
  <c r="E75" i="8"/>
  <c r="E72" i="8"/>
  <c r="E70" i="8"/>
  <c r="E69" i="8"/>
  <c r="I243" i="8" s="1"/>
  <c r="E38" i="8"/>
  <c r="E33" i="8"/>
  <c r="E243" i="8" s="1"/>
  <c r="D13" i="6"/>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D58" i="4"/>
  <c r="D57" i="4"/>
  <c r="D56" i="4"/>
  <c r="D55" i="4"/>
  <c r="D54" i="4"/>
  <c r="D53" i="4"/>
  <c r="D52" i="4"/>
  <c r="D51" i="4"/>
  <c r="D50" i="4"/>
  <c r="D49" i="4"/>
  <c r="D48" i="4"/>
  <c r="D47" i="4"/>
  <c r="D46" i="4"/>
  <c r="D45" i="4"/>
  <c r="D44" i="4"/>
  <c r="D42" i="4"/>
  <c r="D41" i="4"/>
  <c r="D40" i="4"/>
  <c r="D39" i="4"/>
  <c r="D38" i="4"/>
  <c r="D37" i="4"/>
  <c r="D36" i="4"/>
  <c r="D35" i="4"/>
  <c r="D34" i="4"/>
  <c r="D32" i="4"/>
  <c r="D30" i="4"/>
  <c r="D29" i="4"/>
  <c r="D28" i="4"/>
  <c r="D27" i="4"/>
  <c r="D26" i="4"/>
  <c r="D25" i="4"/>
  <c r="D24" i="4"/>
  <c r="D23" i="4"/>
  <c r="D22" i="4"/>
  <c r="D21" i="4"/>
  <c r="D19" i="4"/>
  <c r="D16" i="4"/>
  <c r="D14" i="4"/>
  <c r="D9" i="4"/>
  <c r="B25" i="2"/>
  <c r="H3" i="7" l="1"/>
  <c r="F3" i="5"/>
  <c r="E601" i="8"/>
  <c r="D11" i="6"/>
  <c r="D15" i="6"/>
  <c r="D18" i="6"/>
  <c r="D12" i="6"/>
  <c r="D14" i="6"/>
  <c r="E487" i="8"/>
  <c r="K737" i="8"/>
  <c r="E1581" i="8"/>
  <c r="E1639" i="8" s="1"/>
  <c r="K433" i="8"/>
  <c r="E702" i="8"/>
  <c r="H737" i="8" s="1"/>
  <c r="D10" i="6" s="1"/>
  <c r="D3" i="6" s="1"/>
  <c r="E860" i="8"/>
  <c r="D13" i="4" s="1"/>
  <c r="K1395" i="8"/>
  <c r="E1638" i="8"/>
  <c r="D18" i="4" s="1"/>
  <c r="E1816" i="8"/>
  <c r="O1120" i="8"/>
  <c r="E412" i="8"/>
  <c r="E1091" i="8"/>
  <c r="D10" i="4" s="1"/>
  <c r="E1271" i="8"/>
  <c r="E1395" i="8" s="1"/>
  <c r="E1773" i="8"/>
  <c r="E1870" i="8" s="1"/>
  <c r="D3" i="4" l="1"/>
  <c r="E972" i="8"/>
  <c r="E1872" i="8" s="1"/>
  <c r="E11" i="2" s="1"/>
  <c r="E737" i="8"/>
  <c r="D12" i="4"/>
  <c r="E433" i="8"/>
  <c r="E21" i="2" l="1"/>
  <c r="E2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8" authorId="0" shapeId="0" xr:uid="{00000000-0006-0000-0600-000001000000}">
      <text>
        <r>
          <rPr>
            <sz val="10"/>
            <color rgb="FF000000"/>
            <rFont val="Arial"/>
          </rPr>
          <t xml:space="preserve">To qualify, a product must be sourced through a short food supply chain that passes transparent information about the origin, production method, and sustainability of the product to the consumer and provide full traceability through all stages of production, processing, and distribution. </t>
        </r>
      </text>
    </comment>
    <comment ref="E8" authorId="0" shapeId="0" xr:uid="{00000000-0006-0000-0600-000002000000}">
      <text>
        <r>
          <rPr>
            <sz val="10"/>
            <color rgb="FF000000"/>
            <rFont val="Arial"/>
          </rPr>
          <t xml:space="preserve">To qualify,  there must be a minimal number of intermediaries (ideally, no more than one) between identified farms, boats, or harvesters, and institutions. </t>
        </r>
      </text>
    </comment>
  </commentList>
</comments>
</file>

<file path=xl/sharedStrings.xml><?xml version="1.0" encoding="utf-8"?>
<sst xmlns="http://schemas.openxmlformats.org/spreadsheetml/2006/main" count="7582" uniqueCount="910">
  <si>
    <t>STARS 2.2 Food and Beverage Purchasing Inventory</t>
  </si>
  <si>
    <t xml:space="preserve">This template is provided to help STARS participants document purchases that earn points in the Food and Beverage Purchasing credit. </t>
  </si>
  <si>
    <t>This file is read-only. To save for editing or sharing with data providers, select:</t>
  </si>
  <si>
    <t>File &gt; Make a copy (Google Drive users)</t>
  </si>
  <si>
    <t>or</t>
  </si>
  <si>
    <t>File &gt; Download As &gt; Microsoft Excel</t>
  </si>
  <si>
    <t>Step 1</t>
  </si>
  <si>
    <t>Record total food and beverage expenditures during the reporting period.</t>
  </si>
  <si>
    <t>Institution</t>
  </si>
  <si>
    <t>AASHE Test Campus</t>
  </si>
  <si>
    <t>Reporting period (e.g., Jan. - June 20198</t>
  </si>
  <si>
    <t>September 2019 and Feburary 2020</t>
  </si>
  <si>
    <t>Total food and beverage expenditures in the reporting period</t>
  </si>
  <si>
    <t>Currency used (e.g., USD, CAD, MXN, AUD, EUR)</t>
  </si>
  <si>
    <t>USD</t>
  </si>
  <si>
    <t>Step 2</t>
  </si>
  <si>
    <t xml:space="preserve">Record purchases that are sustainably or ethically produced in the appropriate tab(s), below ('Certified/verified purchases' and 'Institution-affirmed production'). </t>
  </si>
  <si>
    <t>Step 3</t>
  </si>
  <si>
    <t>Record expenditures on plant-based foods in the appropriate tab. A detailed inventory is NOT required.</t>
  </si>
  <si>
    <t>Step 4</t>
  </si>
  <si>
    <t>Access the STARS Reporting Tool to upload the completed spreadsheet and report the following results:</t>
  </si>
  <si>
    <t>Percentage of total annual food and beverage expenditures on products that are sustainably or ethically produced</t>
  </si>
  <si>
    <t xml:space="preserve"> READ ONLY. DO NOT EDIT.</t>
  </si>
  <si>
    <t xml:space="preserve"> </t>
  </si>
  <si>
    <t xml:space="preserve">Percentage of total annual food and beverage expenditures on plant-based foods </t>
  </si>
  <si>
    <r>
      <rPr>
        <b/>
        <sz val="11"/>
        <rFont val="arial,sans,sans-serif"/>
      </rPr>
      <t>STARS does not require disclosure of actual expenditure amounts.</t>
    </r>
    <r>
      <rPr>
        <sz val="11"/>
        <rFont val="arial,sans,sans-serif"/>
      </rPr>
      <t xml:space="preserve"> If desired, that data may be hidden or removed from the inventory prior to uploading it to the Reporting Tool.</t>
    </r>
  </si>
  <si>
    <t>Standards and Terms</t>
  </si>
  <si>
    <r>
      <rPr>
        <b/>
        <sz val="10"/>
        <color rgb="FF000000"/>
        <rFont val="''Arial''"/>
      </rPr>
      <t xml:space="preserve">Plant-based foods
</t>
    </r>
    <r>
      <rPr>
        <sz val="10"/>
        <color rgb="FF000000"/>
        <rFont val="''Arial''"/>
      </rPr>
      <t xml:space="preserve">Consistent with Menus of Change, plant-based ingredients and foods are defined as “fruits and vegetables (produce); whole grains; beans, other legumes (pulses), and soy foods; nuts and seeds; plant oils; and herbs and spices”, simple combinations of these foods and their derivatives, and vegetarian/vegan alternatives to meat and dairy:
 - Unprocessed or minimally processed fruits, vegetables, whole grains, legumes, mushrooms, nuts, seeds, herbs, and spices. This includes cereal grains and flours; plain oatmeal, pasta, and noodles; fruit or vegetable juices; tea and coffee.
 - Processed culinary ingredients derived from plants or nature, for example, vegetable oils crushed from seeds, nuts, or fruits such as olives; starches extracted from corn and other plants; sugar and sweeteners obtained from plants; honey extracted from combs and syrup from maple trees; soy sauce and vinegar.
- Simple processed foods composed primarily of unprocessed or minimally processed plant-based foods and plant-based culinary ingredients, for example, canned or bottled vegetables, fruits, and legumes; tomato extract, pastes, or concentrates; salted or sugared nuts and seeds; fruits in syrup; unpackaged freshly made breads; cereal products such as flavored oatmeal; tofu and tempeh; and fermented alcoholic beverages such as wine, beer, and cider.
- Vegetarian/vegan alternatives to meat and dairy, for example, plant-based ‘milks’, meat substitutes, margarines and spreads.
Animal products (i.e., meat, poultry, fish, seafood, eggs, and dairy) and their derivatives, drinking water, and most ultra-processed foods do NOT qualify as plant-based foods. Examples of ultra-processed foods include sweet or savory packaged snacks; chocolate and candies (confectionary); mass produced packaged breads and buns; cookies (biscuits), pastries, cakes, and cake mixes; instant sauces; many ready to heat products including pre-prepared pies and pasta and pizza dishes; powdered and packaged ‘instant’ soups, noodles and desserts; carbonated drinks; ‘energy’ drinks; ‘fruit’ drinks; and distilled alcoholic beverages such as whiskey, gin, rum, and vodka.
</t>
    </r>
  </si>
  <si>
    <r>
      <rPr>
        <b/>
        <sz val="10"/>
        <color rgb="FF000000"/>
        <rFont val="''Arial''"/>
      </rPr>
      <t>Short food supply chain</t>
    </r>
    <r>
      <rPr>
        <sz val="10"/>
        <color rgb="FF000000"/>
        <rFont val="''Arial''"/>
      </rPr>
      <t xml:space="preserve">
Short food supply chains (SFSCs) are defined as supply chains with a minimal number of intermediaries (ideally, no more than one) between identified farms, boats, or harvesters, and institutions. SFSCs pass transparent information about the origin, production method, and sustainability of the product to the consumer and provide full traceability through all stages of production, processing, and distribution. Examples include direct sales, contract production, regional food hubs, regional farm-to-institution programs, organic growers’ cooperatives, and community-supported fishery programs.
</t>
    </r>
  </si>
  <si>
    <r>
      <rPr>
        <b/>
        <sz val="10"/>
        <color rgb="FF000000"/>
        <rFont val="''Arial''"/>
      </rPr>
      <t xml:space="preserve">Small producer
</t>
    </r>
    <r>
      <rPr>
        <sz val="10"/>
        <color rgb="FF000000"/>
        <rFont val="''Arial''"/>
      </rPr>
      <t xml:space="preserve">Consistent with FLOCERT, Fairtrade International, and the World Fair Trade Organization (WFTO), a small producer or small-scale producer is “a producer who is not structurally dependent on permanent hired labour” and who manages their production activity mainly with a family workforce or a workforce of owner-operators. 
</t>
    </r>
  </si>
  <si>
    <r>
      <rPr>
        <b/>
        <sz val="10"/>
        <rFont val="Arial"/>
      </rPr>
      <t xml:space="preserve">Sustainably or ethically produced
</t>
    </r>
    <r>
      <rPr>
        <sz val="10"/>
        <rFont val="Arial"/>
      </rPr>
      <t>To count as sustainably or ethically produced, a food or beverage product must meet one or more of the following standards. Certification/verification is required, however exemptions are provided for NGO-recommended seafood and institution-affirmed production, as outlined below.</t>
    </r>
  </si>
  <si>
    <r>
      <t xml:space="preserve">
</t>
    </r>
    <r>
      <rPr>
        <i/>
        <sz val="10"/>
        <rFont val="Arial"/>
      </rPr>
      <t>Sustainable agriculture</t>
    </r>
  </si>
  <si>
    <t>International standards
 - Biodynamic Certified (Demeter)
 - Bird Friendly Coffee 
 - Certified Organic under any IFOAM-endorsed standard 
 - Certified Sustainably Grown (SCS) 
 - LEAF Marque (Linking Environment and Farming) 
 - Naturland certified 
 - Rainforest Alliance Certified (Sustainable Agriculture SAN Standard) 
 - Regenerative Organic Certified 
 - UTZ certified</t>
  </si>
  <si>
    <t>Regional standards
 - American National Standard for Sustainable Agriculture (ANSI/LEO-4000) (Silver or higher) - U.S. 
 - Bee Better Certified (Xerces Society) - U.S. 
 - Biopartenaire label - France 
 - Filière Biologique du Québec (BIO Québec, Aliments du Québec - Bio, and Aliments préparés au Québec – Bio) 
 - Food Alliance Certified - U.S. 
 - Participatory Guarantee System (PGS) verified (e.g., Certified Naturally Grown) 
 - Protected Harvest Certified - U.S. 
 - Salmon Safe Certified - U.S. 
 - USDA Transitional Organic - U.S.</t>
  </si>
  <si>
    <t>Other sustainability standards and ISO Type I ecolabels developed/administered by a Global Ecolabelling Network or ISEAL Alliance member organization OR that meet or exceed the minimum crop production standards outlined in a relevant IFOAM-endorsed organic program or IFOAM Common Objectives and Requirements of Organic Standards (COROS).</t>
  </si>
  <si>
    <r>
      <rPr>
        <sz val="10"/>
        <rFont val="Arial"/>
      </rPr>
      <t xml:space="preserve">
</t>
    </r>
    <r>
      <rPr>
        <i/>
        <sz val="10"/>
        <rFont val="Arial"/>
      </rPr>
      <t>Sustainable seafood</t>
    </r>
  </si>
  <si>
    <t>International standards
 - Marine Stewardship Council blue ecolabel (paired with MSC Chain of Custody certification) 
 - Monterey Bay Aquarium Seafood Watch (Best Choices, Good Alternatives, and Recommended Eco-Certifications)</t>
  </si>
  <si>
    <t>Regional standards (for products not covered by the international standards)
 - Australian Marine Conservation Society (Green 'Better Choice') 
 - Marine Conservation Society (Rating 1-2) - U.K. 
 - Mr. Goodfish seasonal recommendations - Europe 
 - Ocean Wise Recommended - Canada 
 - Royal Forest and Bird Protection Society (Ranking A-C) - New Zealand 
 - Sailors for the Sea Blue list - Japan 
 - WWF/Good Fish Foundation (Green and Amber/Yellow list) - Africa, Asia, Europe</t>
  </si>
  <si>
    <r>
      <rPr>
        <sz val="10"/>
        <color rgb="FF000000"/>
        <rFont val="''Arial''"/>
      </rPr>
      <t xml:space="preserve">  
</t>
    </r>
    <r>
      <rPr>
        <i/>
        <sz val="10"/>
        <color rgb="FF000000"/>
        <rFont val="''Arial''"/>
      </rPr>
      <t>Fair trade/labor</t>
    </r>
  </si>
  <si>
    <t>International standards
 - Ecocert Fair Trade (EFT) 
 - Fair for Life (IMO) 
 - Fairtrade mark (Fairtrade International) 
 - Fair Trade Certified (Fair Trade USA) 
 - FairWild certified 
 - Guaranteed Fair Trade (WFTO) 
 - Hand in Hand (Rapunzel) 
 - Small Producers’ Symbol (SPP)</t>
  </si>
  <si>
    <t>Regional standards
 - Equitable Food Initiative certified - U.S. 
 - Fair Food Program (Fair Food Standards Council / Coalition of Immokalee Workers) - U.S.
 - Fair Trade Federation member - U.S. and Canada 
 - Food Justice Certified (Agricultural Justice Project) - U.S. 
 - Milk with Dignity (Migrant Justice) - U.S.</t>
  </si>
  <si>
    <t>Other fair trade/labor standards developed/administered by a farmworker organization or a Global Ecolabelling Network, ISEAL Alliance, or WFTO member organization.</t>
  </si>
  <si>
    <r>
      <t xml:space="preserve">
</t>
    </r>
    <r>
      <rPr>
        <i/>
        <sz val="10"/>
        <rFont val="Arial"/>
      </rPr>
      <t>Humane animal care</t>
    </r>
  </si>
  <si>
    <t>International standards
 - Animal Welfare Approved (A Greener World) 
 - Certified Humane Raised and Handled 
 - Global Animal Partnership Certified - Step 2 and above</t>
  </si>
  <si>
    <t>Regional standards
 - AGA-Certified Grassfed - U.S. 
 - American Humane Certified (Laying Hens - Free Range and Pasture only) - U.S. and Canada 
 - Bioland - Germany 
 - BuyingPoultry (Best Choices and Better Choices)
 - Label Rouge - France 
 - NOFA-NY or PCO Certified 100% Grassfed - U.S. 
 - RSPCA Approved - Australia 
 - RSPCA Assured - U.K. 
 - SPCA Certified - Canada</t>
  </si>
  <si>
    <t>Other animal welfare standards and ISO Type I ecolabels that exceed the minimum animal husbandry standards outlined in a relevant IFOAM-endorsed organic program or IFOAM COROS.</t>
  </si>
  <si>
    <r>
      <t xml:space="preserve">
</t>
    </r>
    <r>
      <rPr>
        <i/>
        <sz val="10"/>
        <rFont val="Arial"/>
      </rPr>
      <t>Student-led verification programs</t>
    </r>
  </si>
  <si>
    <t xml:space="preserve"> - Good Food. Products that have been designated as Community-Based, Ecologically-Sound, Humane, and/or Socially-Just by student researchers running the Good Food Calculator and validated by Meal Exchange (Canada).
 - Real Food. Products that have been designated as Ecologically Sound, Fair, Humane, and/or Local &amp; Community Based by student researchers running the Real Food Calculator and validated by the Real Food Challenge (U.S.).
</t>
  </si>
  <si>
    <r>
      <rPr>
        <b/>
        <sz val="10"/>
        <color rgb="FF000000"/>
        <rFont val="Arial"/>
      </rPr>
      <t xml:space="preserve">Vegetarian/vegan
</t>
    </r>
    <r>
      <rPr>
        <sz val="10"/>
        <color rgb="FF000000"/>
        <rFont val="Arial"/>
      </rPr>
      <t>Consistent with V-Label criteria and European Vegetarian Union recommendations, “food and other products that do not contain animals or parts of animals are considered vegetarian”. Vegetarian products may be created with the help of living animals and animal-derived products (e.g., dairy, eggs, and honey). Vegan products are vegetarian products for which no ingredients, processing aids, or substances of animal origin have been used at any stage of production and processing.</t>
    </r>
  </si>
  <si>
    <t>All other purchases</t>
  </si>
  <si>
    <t>All other purchases made during September 2019 and Feburary 2020</t>
  </si>
  <si>
    <r>
      <rPr>
        <b/>
        <sz val="10"/>
        <rFont val="arial,sans,sans-serif"/>
      </rPr>
      <t>STARS does not require disclosure of actual expenditure amounts.</t>
    </r>
    <r>
      <rPr>
        <sz val="10"/>
        <rFont val="arial,sans,sans-serif"/>
      </rPr>
      <t xml:space="preserve"> If desired, that data may be hidden or removed from the inventory prior to uploading it to the Reporting Tool.</t>
    </r>
  </si>
  <si>
    <t>Product name, label, or brand</t>
  </si>
  <si>
    <t>Product description/type</t>
  </si>
  <si>
    <t>Total spend</t>
  </si>
  <si>
    <t xml:space="preserve">Sysco </t>
  </si>
  <si>
    <t>meat + poultry</t>
  </si>
  <si>
    <t xml:space="preserve">dairy </t>
  </si>
  <si>
    <t xml:space="preserve">Core Mark </t>
  </si>
  <si>
    <t xml:space="preserve">grocery </t>
  </si>
  <si>
    <t xml:space="preserve">UNFI </t>
  </si>
  <si>
    <t>Newage Beverages Corporation</t>
  </si>
  <si>
    <t xml:space="preserve">beverages </t>
  </si>
  <si>
    <t>frozen</t>
  </si>
  <si>
    <t xml:space="preserve">Pepsi Beverages Company </t>
  </si>
  <si>
    <t>FoodMaven</t>
  </si>
  <si>
    <t xml:space="preserve">meat + poultry </t>
  </si>
  <si>
    <t xml:space="preserve">Swire Coca-Cola Inc. </t>
  </si>
  <si>
    <t xml:space="preserve">meat </t>
  </si>
  <si>
    <t>Seattle Fish Co &amp; Gourment Provisions</t>
  </si>
  <si>
    <t xml:space="preserve">fish </t>
  </si>
  <si>
    <t>Tropicana Chilled</t>
  </si>
  <si>
    <t>Northeast Seafoods</t>
  </si>
  <si>
    <t>seafood</t>
  </si>
  <si>
    <t>BakeMark</t>
  </si>
  <si>
    <t xml:space="preserve">Republic National </t>
  </si>
  <si>
    <t>alcohol</t>
  </si>
  <si>
    <t>Bakemark</t>
  </si>
  <si>
    <t>baked goods</t>
  </si>
  <si>
    <t xml:space="preserve">pasta </t>
  </si>
  <si>
    <t xml:space="preserve">groceries </t>
  </si>
  <si>
    <t xml:space="preserve">bread </t>
  </si>
  <si>
    <t xml:space="preserve">Southern Glazers of Colorado </t>
  </si>
  <si>
    <t xml:space="preserve">Heartland Food Products </t>
  </si>
  <si>
    <t xml:space="preserve">7UP/RC Bottling Company </t>
  </si>
  <si>
    <t xml:space="preserve">cereal </t>
  </si>
  <si>
    <t>Albert's Organics</t>
  </si>
  <si>
    <t xml:space="preserve">RedBull Distribution Company </t>
  </si>
  <si>
    <t xml:space="preserve">sauce </t>
  </si>
  <si>
    <t>Meadow Gold Englewood</t>
  </si>
  <si>
    <t xml:space="preserve">RMC Distributing </t>
  </si>
  <si>
    <t>Breakthru Bev</t>
  </si>
  <si>
    <t>Trinity Fine Wine</t>
  </si>
  <si>
    <t xml:space="preserve">bakery </t>
  </si>
  <si>
    <t>True World Foods</t>
  </si>
  <si>
    <t xml:space="preserve">United Natural Foods West </t>
  </si>
  <si>
    <t>meat</t>
  </si>
  <si>
    <t xml:space="preserve">frozen </t>
  </si>
  <si>
    <t>Certified/verified purchases</t>
  </si>
  <si>
    <t>Total expenditures on certified/verified products</t>
  </si>
  <si>
    <t>To count as sustainably or ethically produced, a food or beverage product must meet one or more of the standards 
listed in Standards and Terms. NGO-recommended seafood should also be reported here, whether or not it carries certifications.</t>
  </si>
  <si>
    <r>
      <rPr>
        <b/>
        <sz val="10"/>
        <rFont val="arial,sans,sans-serif"/>
      </rPr>
      <t>STARS does not require disclosure of actual expenditure amounts.</t>
    </r>
    <r>
      <rPr>
        <sz val="10"/>
        <rFont val="arial,sans,sans-serif"/>
      </rPr>
      <t xml:space="preserve"> If desired, that data may be hidden or removed from the inventory prior to uploading it to the Reporting Tool.</t>
    </r>
  </si>
  <si>
    <t>Recognized sustainability standard met</t>
  </si>
  <si>
    <t>Notes (e.g. other standards met)</t>
  </si>
  <si>
    <t>Other sustainability standard that meets minimum criteria provided (detail required in Notes)</t>
  </si>
  <si>
    <t>SFSC (direct sale)</t>
  </si>
  <si>
    <t xml:space="preserve">Aspen Baking Company </t>
  </si>
  <si>
    <t>WestSoy Tofu</t>
  </si>
  <si>
    <t>tofu</t>
  </si>
  <si>
    <t>Certified Organic (any IFOAM-recognized standard)</t>
  </si>
  <si>
    <t xml:space="preserve">Delicias Bakery </t>
  </si>
  <si>
    <t xml:space="preserve">Albert's Organics </t>
  </si>
  <si>
    <t xml:space="preserve">produce </t>
  </si>
  <si>
    <t xml:space="preserve">Amy's </t>
  </si>
  <si>
    <t xml:space="preserve">microwaveable meals </t>
  </si>
  <si>
    <t>Legacy Meats</t>
  </si>
  <si>
    <t>beef patties</t>
  </si>
  <si>
    <t>papusas</t>
  </si>
  <si>
    <t xml:space="preserve">pastry dough </t>
  </si>
  <si>
    <t>Numi Organic Tea</t>
  </si>
  <si>
    <t xml:space="preserve">tea </t>
  </si>
  <si>
    <t xml:space="preserve">Organic Valley </t>
  </si>
  <si>
    <t>2-pack Hard Boiled Eggs</t>
  </si>
  <si>
    <t xml:space="preserve">Guayaki </t>
  </si>
  <si>
    <t>Yerba Mate</t>
  </si>
  <si>
    <t xml:space="preserve">Bimbo Bakeries </t>
  </si>
  <si>
    <t>Hope's</t>
  </si>
  <si>
    <t>hummus</t>
  </si>
  <si>
    <t>Peeled</t>
  </si>
  <si>
    <t xml:space="preserve">Dried Fruit </t>
  </si>
  <si>
    <t xml:space="preserve">GT's </t>
  </si>
  <si>
    <t>Kombucha</t>
  </si>
  <si>
    <t xml:space="preserve">Whitewave Soy </t>
  </si>
  <si>
    <t xml:space="preserve">original tempeh </t>
  </si>
  <si>
    <t xml:space="preserve">Freshpack </t>
  </si>
  <si>
    <t>rainbow carrots</t>
  </si>
  <si>
    <t xml:space="preserve">Kevita </t>
  </si>
  <si>
    <t>kombucha</t>
  </si>
  <si>
    <t xml:space="preserve">Justin Organics </t>
  </si>
  <si>
    <t xml:space="preserve">chocolate </t>
  </si>
  <si>
    <t xml:space="preserve">Orgain </t>
  </si>
  <si>
    <t xml:space="preserve">vegan protein shakes </t>
  </si>
  <si>
    <t>bananas</t>
  </si>
  <si>
    <t>Late July</t>
  </si>
  <si>
    <t>chips</t>
  </si>
  <si>
    <t>Seajoy</t>
  </si>
  <si>
    <t xml:space="preserve">shrimp </t>
  </si>
  <si>
    <t xml:space="preserve">Cascadian Farms </t>
  </si>
  <si>
    <t xml:space="preserve">Serena Blend </t>
  </si>
  <si>
    <t>ground coffee</t>
  </si>
  <si>
    <t xml:space="preserve">Horizon </t>
  </si>
  <si>
    <t xml:space="preserve">Chocolate club pack </t>
  </si>
  <si>
    <t>Tea's Tea</t>
  </si>
  <si>
    <t>tea</t>
  </si>
  <si>
    <t>beets</t>
  </si>
  <si>
    <t xml:space="preserve">Vive Organics </t>
  </si>
  <si>
    <t>rescue shots</t>
  </si>
  <si>
    <t xml:space="preserve">rainbow chard </t>
  </si>
  <si>
    <t xml:space="preserve">Honey Sting </t>
  </si>
  <si>
    <t xml:space="preserve">honey </t>
  </si>
  <si>
    <t xml:space="preserve">Bionaturae </t>
  </si>
  <si>
    <t xml:space="preserve">Brew Dr. </t>
  </si>
  <si>
    <t xml:space="preserve">Tolerant </t>
  </si>
  <si>
    <t>Hippeas</t>
  </si>
  <si>
    <t xml:space="preserve">snacks </t>
  </si>
  <si>
    <t xml:space="preserve">radish </t>
  </si>
  <si>
    <t>Newman's Own</t>
  </si>
  <si>
    <t>Newman O's</t>
  </si>
  <si>
    <t xml:space="preserve">Old Timer Sausage </t>
  </si>
  <si>
    <t xml:space="preserve">chorizo </t>
  </si>
  <si>
    <t>Rocky Mountain Eggs</t>
  </si>
  <si>
    <t>Gogo Squeeze</t>
  </si>
  <si>
    <t xml:space="preserve">applesauce </t>
  </si>
  <si>
    <t xml:space="preserve">Immaculate Baking Company </t>
  </si>
  <si>
    <t>Organic Chocolate Chip Mix</t>
  </si>
  <si>
    <t xml:space="preserve">Trinidad Benham </t>
  </si>
  <si>
    <t>Garbanzo beans</t>
  </si>
  <si>
    <t xml:space="preserve">AlterEco </t>
  </si>
  <si>
    <t>Chocolate</t>
  </si>
  <si>
    <t>Nature's Path</t>
  </si>
  <si>
    <t xml:space="preserve">oatmeal </t>
  </si>
  <si>
    <t xml:space="preserve">Canino's Sausage </t>
  </si>
  <si>
    <t xml:space="preserve">Annie Chun's </t>
  </si>
  <si>
    <t xml:space="preserve">seaweed snack </t>
  </si>
  <si>
    <t>Runa</t>
  </si>
  <si>
    <t xml:space="preserve">Orange Passion dried fruit </t>
  </si>
  <si>
    <t xml:space="preserve">Blue Agave </t>
  </si>
  <si>
    <t xml:space="preserve">cane syrup </t>
  </si>
  <si>
    <t>Clif Bars</t>
  </si>
  <si>
    <t>granola bar</t>
  </si>
  <si>
    <t>spring mix</t>
  </si>
  <si>
    <t>Arcadian Organic</t>
  </si>
  <si>
    <t xml:space="preserve">sausage </t>
  </si>
  <si>
    <t xml:space="preserve">Bare Fruit </t>
  </si>
  <si>
    <t xml:space="preserve">dried fruit </t>
  </si>
  <si>
    <t xml:space="preserve">Honest Tea </t>
  </si>
  <si>
    <t>Tea</t>
  </si>
  <si>
    <t>Mike's Mighty Good</t>
  </si>
  <si>
    <t xml:space="preserve">ramen </t>
  </si>
  <si>
    <t>Yogi Tea</t>
  </si>
  <si>
    <t>Stacy's Organic</t>
  </si>
  <si>
    <t>tortillas</t>
  </si>
  <si>
    <t xml:space="preserve">collard greens </t>
  </si>
  <si>
    <t>Simply Organic</t>
  </si>
  <si>
    <t xml:space="preserve">spices </t>
  </si>
  <si>
    <t>Amish Acres</t>
  </si>
  <si>
    <t>Barnana</t>
  </si>
  <si>
    <t xml:space="preserve">snack </t>
  </si>
  <si>
    <t>Rice Dreams</t>
  </si>
  <si>
    <t xml:space="preserve">rice </t>
  </si>
  <si>
    <t xml:space="preserve">Woodstock Organics </t>
  </si>
  <si>
    <t xml:space="preserve">rice cakes </t>
  </si>
  <si>
    <t xml:space="preserve">spring lettuce </t>
  </si>
  <si>
    <t xml:space="preserve">Harvest Organic </t>
  </si>
  <si>
    <t>Wild Harvest</t>
  </si>
  <si>
    <t xml:space="preserve">Baby Spinach </t>
  </si>
  <si>
    <t>Madhava</t>
  </si>
  <si>
    <t xml:space="preserve">raw agave </t>
  </si>
  <si>
    <t>Josie's Organics</t>
  </si>
  <si>
    <t>Asian Chopped Salad</t>
  </si>
  <si>
    <t>Zola</t>
  </si>
  <si>
    <t>Energy Drink</t>
  </si>
  <si>
    <t xml:space="preserve">Back to Nature </t>
  </si>
  <si>
    <t xml:space="preserve">Garlic and Herb Organic Crackers </t>
  </si>
  <si>
    <t>Lotus Foods</t>
  </si>
  <si>
    <t xml:space="preserve">frozen food </t>
  </si>
  <si>
    <t xml:space="preserve">Pressery </t>
  </si>
  <si>
    <t xml:space="preserve">Shio Spicey Chicken Kit </t>
  </si>
  <si>
    <t>Tastybites</t>
  </si>
  <si>
    <t xml:space="preserve">whole grains </t>
  </si>
  <si>
    <t>Plant-based foods</t>
  </si>
  <si>
    <t>Total expenditures on plant-based foods</t>
  </si>
  <si>
    <t>Plant-based foods include fruits and vegetables (produce); whole grains; beans, other legumes (pulses), and soy foods; 
nuts and seeds; plant oils; herbs and spices; simple combinations of these foods and their derivatives; and 
vegetarian/vegan alternatives to meat and dairy.</t>
  </si>
  <si>
    <r>
      <rPr>
        <b/>
        <sz val="10"/>
        <color rgb="FF000000"/>
        <rFont val="Arial"/>
      </rPr>
      <t xml:space="preserve">A detailed inventory of plant-based foods is NOT required. </t>
    </r>
    <r>
      <rPr>
        <sz val="10"/>
        <color rgb="FF000000"/>
        <rFont val="Arial"/>
      </rPr>
      <t xml:space="preserve">You may provide as much or as a little detail here as you wish. </t>
    </r>
  </si>
  <si>
    <r>
      <rPr>
        <b/>
        <sz val="10"/>
        <rFont val="arial,sans,sans-serif"/>
      </rPr>
      <t>STARS does not require disclosure of actual expenditure amounts.</t>
    </r>
    <r>
      <rPr>
        <sz val="10"/>
        <rFont val="arial,sans,sans-serif"/>
      </rPr>
      <t xml:space="preserve"> If desired, that data may be hidden or removed from the inventory prior to uploading it to the Reporting Tool.</t>
    </r>
  </si>
  <si>
    <t>Product category or type [EDIT AS NEEDED]</t>
  </si>
  <si>
    <t>Notes</t>
  </si>
  <si>
    <t>Produce</t>
  </si>
  <si>
    <t>Whole grains</t>
  </si>
  <si>
    <t>Legumes and soy foods</t>
  </si>
  <si>
    <t>Nuts and seeds</t>
  </si>
  <si>
    <t>Plant oils</t>
  </si>
  <si>
    <t>Herbs and spices</t>
  </si>
  <si>
    <t>Coffee and tea</t>
  </si>
  <si>
    <t>Processed culinary ingredients derived from plants or nature</t>
  </si>
  <si>
    <t>Includes vegetable oils, sugar, and honey</t>
  </si>
  <si>
    <t>Simple processed foods composed primarily of the above</t>
  </si>
  <si>
    <t>Includes canned or bottled vegetables, fruits, and legumes; tomato extract, pastes, or concentrates; salted or sugared nuts and seeds; fruits in syrup; unpackaged freshly made breads; cereal products such as flavored oatmeal; tofu and tempeh; wine, beer, and cider</t>
  </si>
  <si>
    <t>Vegetarian/vegan alternatives to meat and dairy</t>
  </si>
  <si>
    <t>Includes plant-based ‘milks’, meat substitutes, margarines and spreads</t>
  </si>
  <si>
    <t>Institution-affirmed production</t>
  </si>
  <si>
    <t xml:space="preserve">Total expenditures on institution-affirmed products </t>
  </si>
  <si>
    <t>An exemption from the certification/verification requirement is granted to producers who are engaged in sustainable production, but for whom certification is either not accessible or 
not cost effective (e.g., campus farms/gardens and small producers).</t>
  </si>
  <si>
    <r>
      <rPr>
        <b/>
        <sz val="10"/>
        <rFont val="arial,sans,sans-serif"/>
      </rPr>
      <t>STARS does not require disclosure of actual expenditure amounts.</t>
    </r>
    <r>
      <rPr>
        <sz val="10"/>
        <rFont val="arial,sans,sans-serif"/>
      </rPr>
      <t xml:space="preserve"> If desired, that data may be hidden or removed from the inventory prior to uploading it to the Reporting Tool.</t>
    </r>
  </si>
  <si>
    <t>Name of the farm, boat, or harvester</t>
  </si>
  <si>
    <t>Source</t>
  </si>
  <si>
    <t>Supplier/intermediary 
(if not directly sourced)</t>
  </si>
  <si>
    <t>Institution affirms that the production methods are consistent with:</t>
  </si>
  <si>
    <t>Evidence on which the affirmation is based (e.g., site visits or documentation from the producer)</t>
  </si>
  <si>
    <t>Local/regional food hub</t>
  </si>
  <si>
    <t>Principles of organic agriculture (IFOAM)</t>
  </si>
  <si>
    <t>Campus farm or garden</t>
  </si>
  <si>
    <t>brand</t>
  </si>
  <si>
    <t>item/type</t>
  </si>
  <si>
    <t>cert description</t>
  </si>
  <si>
    <t>expenditure</t>
  </si>
  <si>
    <t>STARS Plant based</t>
  </si>
  <si>
    <t>STARS sustainable certified</t>
  </si>
  <si>
    <t>Total</t>
  </si>
  <si>
    <t>Week 1</t>
  </si>
  <si>
    <t>Freshpack</t>
  </si>
  <si>
    <t>onion</t>
  </si>
  <si>
    <t>Y</t>
  </si>
  <si>
    <t>N</t>
  </si>
  <si>
    <t>orange</t>
  </si>
  <si>
    <t>parsnip</t>
  </si>
  <si>
    <t>pepper</t>
  </si>
  <si>
    <t>pineapple</t>
  </si>
  <si>
    <t>ACRONYMS:</t>
  </si>
  <si>
    <t>tomato</t>
  </si>
  <si>
    <t>LCL</t>
  </si>
  <si>
    <t>local</t>
  </si>
  <si>
    <t>ORG</t>
  </si>
  <si>
    <t>organic</t>
  </si>
  <si>
    <t>watermelon</t>
  </si>
  <si>
    <t>CR</t>
  </si>
  <si>
    <t>credit given (seperate from invoice)</t>
  </si>
  <si>
    <t>apple</t>
  </si>
  <si>
    <t>IQF</t>
  </si>
  <si>
    <t>frozen product</t>
  </si>
  <si>
    <t>banana</t>
  </si>
  <si>
    <t>NAE</t>
  </si>
  <si>
    <t>no antibiotics ever</t>
  </si>
  <si>
    <t>berry</t>
  </si>
  <si>
    <t>broccoli</t>
  </si>
  <si>
    <t>cabbage</t>
  </si>
  <si>
    <t>carrot</t>
  </si>
  <si>
    <t>cauliflower</t>
  </si>
  <si>
    <t>cilantro</t>
  </si>
  <si>
    <t>cucumber</t>
  </si>
  <si>
    <t>garlic</t>
  </si>
  <si>
    <t>grape</t>
  </si>
  <si>
    <t>grapefruit</t>
  </si>
  <si>
    <t>herb</t>
  </si>
  <si>
    <t>lettuce</t>
  </si>
  <si>
    <t>melon</t>
  </si>
  <si>
    <t>produce</t>
  </si>
  <si>
    <t>beet</t>
  </si>
  <si>
    <t>black bear diner</t>
  </si>
  <si>
    <t>diner food</t>
  </si>
  <si>
    <t>chick fil a</t>
  </si>
  <si>
    <t>jamba juice</t>
  </si>
  <si>
    <t>mc donalds</t>
  </si>
  <si>
    <t>freddys</t>
  </si>
  <si>
    <t>meadow gold englewood</t>
  </si>
  <si>
    <t>y</t>
  </si>
  <si>
    <t>heartland food products</t>
  </si>
  <si>
    <t>waffle mix</t>
  </si>
  <si>
    <t>gf mix</t>
  </si>
  <si>
    <t>sysco</t>
  </si>
  <si>
    <t>bombay spices</t>
  </si>
  <si>
    <t>drinks and meat</t>
  </si>
  <si>
    <t>frozen strawberry</t>
  </si>
  <si>
    <t>frozen mangos</t>
  </si>
  <si>
    <t>non plant based drinks, etc.</t>
  </si>
  <si>
    <t>frozen hamburgers</t>
  </si>
  <si>
    <t>meat poultry</t>
  </si>
  <si>
    <t>cheese</t>
  </si>
  <si>
    <t>meat and poultry</t>
  </si>
  <si>
    <t>bread and veggie burgers</t>
  </si>
  <si>
    <t>pasta</t>
  </si>
  <si>
    <t>grains and spices and baking</t>
  </si>
  <si>
    <t>eggs and cheese</t>
  </si>
  <si>
    <t>ice cream</t>
  </si>
  <si>
    <t>juice</t>
  </si>
  <si>
    <t>soy sauce, jelly, and cereal</t>
  </si>
  <si>
    <t>granola</t>
  </si>
  <si>
    <t>dairy</t>
  </si>
  <si>
    <t>beverages</t>
  </si>
  <si>
    <t>yogurt</t>
  </si>
  <si>
    <t>frozen fruit</t>
  </si>
  <si>
    <t>bread</t>
  </si>
  <si>
    <t>noodles</t>
  </si>
  <si>
    <t>mayo</t>
  </si>
  <si>
    <t>oil, salt, chips, honey</t>
  </si>
  <si>
    <t>millk</t>
  </si>
  <si>
    <t>Hummus</t>
  </si>
  <si>
    <t>cheese cake</t>
  </si>
  <si>
    <t>beans and pasta</t>
  </si>
  <si>
    <t>pumpkin</t>
  </si>
  <si>
    <t>flour</t>
  </si>
  <si>
    <t>sugar</t>
  </si>
  <si>
    <t>buttermilk pancakes</t>
  </si>
  <si>
    <t>coconut</t>
  </si>
  <si>
    <t>oil</t>
  </si>
  <si>
    <t>peppers</t>
  </si>
  <si>
    <t>artichoke</t>
  </si>
  <si>
    <t>tomatoes</t>
  </si>
  <si>
    <t>salt</t>
  </si>
  <si>
    <t>corn</t>
  </si>
  <si>
    <t>rice</t>
  </si>
  <si>
    <t>milk</t>
  </si>
  <si>
    <t>Organic</t>
  </si>
  <si>
    <t>guacamole</t>
  </si>
  <si>
    <t>cream cheese</t>
  </si>
  <si>
    <t>lemonade</t>
  </si>
  <si>
    <t>frozen fruit, rice and beans</t>
  </si>
  <si>
    <t>sauce and drinks</t>
  </si>
  <si>
    <t>sauce and hummus</t>
  </si>
  <si>
    <t>canned goods</t>
  </si>
  <si>
    <t>meat and poultry and cheese</t>
  </si>
  <si>
    <t>potatoes</t>
  </si>
  <si>
    <t>beans and grains</t>
  </si>
  <si>
    <t>cereal</t>
  </si>
  <si>
    <t>n</t>
  </si>
  <si>
    <t>gf bread</t>
  </si>
  <si>
    <t>sauce</t>
  </si>
  <si>
    <t>beans</t>
  </si>
  <si>
    <t>PBC</t>
  </si>
  <si>
    <t>core mark</t>
  </si>
  <si>
    <t>fast food</t>
  </si>
  <si>
    <t>fresh food</t>
  </si>
  <si>
    <t>snack food</t>
  </si>
  <si>
    <t>candy</t>
  </si>
  <si>
    <t>groceries</t>
  </si>
  <si>
    <t>Newage</t>
  </si>
  <si>
    <t>dairy and meat</t>
  </si>
  <si>
    <t>dairy and deli</t>
  </si>
  <si>
    <t>soda</t>
  </si>
  <si>
    <t>alberts fresh produce</t>
  </si>
  <si>
    <t>organic produce</t>
  </si>
  <si>
    <t>turkey</t>
  </si>
  <si>
    <t>tortilla bowl</t>
  </si>
  <si>
    <t>united natural foods</t>
  </si>
  <si>
    <t>unfi (united natural foods)</t>
  </si>
  <si>
    <t>yogurt and dairy</t>
  </si>
  <si>
    <t>coffee</t>
  </si>
  <si>
    <t>org chocolae</t>
  </si>
  <si>
    <t>org chocolate</t>
  </si>
  <si>
    <t>orgnaic</t>
  </si>
  <si>
    <t>mango org</t>
  </si>
  <si>
    <t>tea and drinks</t>
  </si>
  <si>
    <t>eggs</t>
  </si>
  <si>
    <t>kumbucha</t>
  </si>
  <si>
    <t>org hummus</t>
  </si>
  <si>
    <t>almond milk</t>
  </si>
  <si>
    <t>quac</t>
  </si>
  <si>
    <t>quacamole</t>
  </si>
  <si>
    <t>annies things</t>
  </si>
  <si>
    <t>meat and dairy products</t>
  </si>
  <si>
    <t>clif bars and chocolate</t>
  </si>
  <si>
    <t>tea drinks and chips</t>
  </si>
  <si>
    <t>packaged groceries for c store</t>
  </si>
  <si>
    <t>milk product groceries</t>
  </si>
  <si>
    <t>almond milk and gf bread</t>
  </si>
  <si>
    <t>plant based groceries</t>
  </si>
  <si>
    <t>yogurt groceries</t>
  </si>
  <si>
    <t>tropicana</t>
  </si>
  <si>
    <t>drinks</t>
  </si>
  <si>
    <t>northeast seafoods</t>
  </si>
  <si>
    <t>mussels and shrimp</t>
  </si>
  <si>
    <t>bakemart</t>
  </si>
  <si>
    <t>pastries</t>
  </si>
  <si>
    <t>trinity fine wine</t>
  </si>
  <si>
    <t>alchohol</t>
  </si>
  <si>
    <t>republic national</t>
  </si>
  <si>
    <t>aspen baking co</t>
  </si>
  <si>
    <t>drinks and fruit</t>
  </si>
  <si>
    <t>delicias bakery</t>
  </si>
  <si>
    <t>Total:</t>
  </si>
  <si>
    <t xml:space="preserve">Week 2 </t>
  </si>
  <si>
    <t>herbs</t>
  </si>
  <si>
    <t>peach</t>
  </si>
  <si>
    <t>Locally Sourced, Organic</t>
  </si>
  <si>
    <t>Meadow Gold Engelwood</t>
  </si>
  <si>
    <t>Sysco</t>
  </si>
  <si>
    <t xml:space="preserve">legumes + coconut milk </t>
  </si>
  <si>
    <t xml:space="preserve">n </t>
  </si>
  <si>
    <t>plant based milk</t>
  </si>
  <si>
    <t>fruit</t>
  </si>
  <si>
    <t xml:space="preserve">culinary ingredients </t>
  </si>
  <si>
    <t>culinary ingredients</t>
  </si>
  <si>
    <t xml:space="preserve">legumes </t>
  </si>
  <si>
    <t>WestSoy Tofu Certified Organic</t>
  </si>
  <si>
    <t>whole grains</t>
  </si>
  <si>
    <t>local poldori sausage breakfast</t>
  </si>
  <si>
    <t>legumes</t>
  </si>
  <si>
    <t>spices and herbs</t>
  </si>
  <si>
    <t>grocery</t>
  </si>
  <si>
    <t xml:space="preserve">alternative milk </t>
  </si>
  <si>
    <t>meat alternatives</t>
  </si>
  <si>
    <t>Meadow Gold SFSC</t>
  </si>
  <si>
    <t xml:space="preserve">poldori sasauge local </t>
  </si>
  <si>
    <t>alternative milk</t>
  </si>
  <si>
    <t xml:space="preserve">Core-Mark </t>
  </si>
  <si>
    <t>Lombardi Brothers Meats</t>
  </si>
  <si>
    <t>New Age Beverages Corporations</t>
  </si>
  <si>
    <t xml:space="preserve">UNFI West </t>
  </si>
  <si>
    <t>alternative milks, legumes</t>
  </si>
  <si>
    <t>dairy alternative</t>
  </si>
  <si>
    <t xml:space="preserve">tea and oatmeal </t>
  </si>
  <si>
    <t>dairy alternatives</t>
  </si>
  <si>
    <t xml:space="preserve">BakeMark </t>
  </si>
  <si>
    <t xml:space="preserve">y </t>
  </si>
  <si>
    <t>Swire Coca-Cola, USA</t>
  </si>
  <si>
    <t>Week 3</t>
  </si>
  <si>
    <t>asparagus</t>
  </si>
  <si>
    <t>avocado</t>
  </si>
  <si>
    <t xml:space="preserve">harvest organic </t>
  </si>
  <si>
    <t>plum</t>
  </si>
  <si>
    <t xml:space="preserve">potato </t>
  </si>
  <si>
    <t>shallot</t>
  </si>
  <si>
    <t>appple</t>
  </si>
  <si>
    <t>rosemary</t>
  </si>
  <si>
    <t>sage</t>
  </si>
  <si>
    <t>tarragon</t>
  </si>
  <si>
    <t>lime</t>
  </si>
  <si>
    <t>mushroom</t>
  </si>
  <si>
    <t>trail mix</t>
  </si>
  <si>
    <t xml:space="preserve">sea scallops </t>
  </si>
  <si>
    <t xml:space="preserve">chicken breast </t>
  </si>
  <si>
    <t>liquid smoke</t>
  </si>
  <si>
    <t>seasonings</t>
  </si>
  <si>
    <t>bacon</t>
  </si>
  <si>
    <t>tortilla</t>
  </si>
  <si>
    <t>Republic National Distributing Company</t>
  </si>
  <si>
    <t>Pepsi</t>
  </si>
  <si>
    <t>beverage</t>
  </si>
  <si>
    <t xml:space="preserve">Meadow Gold Englewood </t>
  </si>
  <si>
    <t>meat alternative</t>
  </si>
  <si>
    <t xml:space="preserve">beverage </t>
  </si>
  <si>
    <t>Tropicana</t>
  </si>
  <si>
    <t>Bimobo Bakeries</t>
  </si>
  <si>
    <t>7Up/RC Bottling Company</t>
  </si>
  <si>
    <t>Lombardi Brother Meats</t>
  </si>
  <si>
    <t>New Age Beverage Company</t>
  </si>
  <si>
    <t>Alberts Fresh Produce</t>
  </si>
  <si>
    <t>United Natural Foods Inc</t>
  </si>
  <si>
    <t>sweetner</t>
  </si>
  <si>
    <t>bakery</t>
  </si>
  <si>
    <t>Jeffrey Ventures</t>
  </si>
  <si>
    <t>Core Mark</t>
  </si>
  <si>
    <t>deli</t>
  </si>
  <si>
    <t>total</t>
  </si>
  <si>
    <t>week 4</t>
  </si>
  <si>
    <t>squash</t>
  </si>
  <si>
    <t>spinach</t>
  </si>
  <si>
    <t>parsley</t>
  </si>
  <si>
    <t>bean</t>
  </si>
  <si>
    <t>potato</t>
  </si>
  <si>
    <t>local org</t>
  </si>
  <si>
    <t>yam</t>
  </si>
  <si>
    <t>greens</t>
  </si>
  <si>
    <t>collard org</t>
  </si>
  <si>
    <t>arcadian org</t>
  </si>
  <si>
    <t>beef</t>
  </si>
  <si>
    <t>milk coconut</t>
  </si>
  <si>
    <t>candy+cheese+pasta</t>
  </si>
  <si>
    <t>snack fruit</t>
  </si>
  <si>
    <t>ketchup</t>
  </si>
  <si>
    <t>sugar+dairy</t>
  </si>
  <si>
    <t>water+sugar</t>
  </si>
  <si>
    <t>dried cranberries</t>
  </si>
  <si>
    <t>oil canola</t>
  </si>
  <si>
    <t>fruits+juice</t>
  </si>
  <si>
    <t>dairy+meat</t>
  </si>
  <si>
    <t>Pepsi Beverages Company</t>
  </si>
  <si>
    <t>bimbo bakeries</t>
  </si>
  <si>
    <t>Core-Mark</t>
  </si>
  <si>
    <t>bottling company</t>
  </si>
  <si>
    <t>new age beverages co</t>
  </si>
  <si>
    <t>albert's fresh produce</t>
  </si>
  <si>
    <t>vegetables+fruits</t>
  </si>
  <si>
    <t>cheese+meat</t>
  </si>
  <si>
    <t>UNFI West</t>
  </si>
  <si>
    <t>egg</t>
  </si>
  <si>
    <t>United Natural Foods West, Inc</t>
  </si>
  <si>
    <t xml:space="preserve">northeast seafood products </t>
  </si>
  <si>
    <t>sea food</t>
  </si>
  <si>
    <t>bakemark</t>
  </si>
  <si>
    <t>baked products</t>
  </si>
  <si>
    <t>republic national distributing company</t>
  </si>
  <si>
    <t>red bull distribution company</t>
  </si>
  <si>
    <t>aspen baking company</t>
  </si>
  <si>
    <t>coca cola</t>
  </si>
  <si>
    <t>Delicias bakery</t>
  </si>
  <si>
    <t xml:space="preserve">end of september: </t>
  </si>
  <si>
    <t xml:space="preserve">Organic Rainbow Carrots </t>
  </si>
  <si>
    <t>liqour</t>
  </si>
  <si>
    <t>Heartland Food Products</t>
  </si>
  <si>
    <t xml:space="preserve">dairy alternative </t>
  </si>
  <si>
    <t>alternative meat</t>
  </si>
  <si>
    <t>dried fruit</t>
  </si>
  <si>
    <t xml:space="preserve">alternative dairy </t>
  </si>
  <si>
    <t xml:space="preserve">grcoery </t>
  </si>
  <si>
    <t xml:space="preserve">West soy Organic Extra firm tofu </t>
  </si>
  <si>
    <t>spices</t>
  </si>
  <si>
    <t>culinary ingredient</t>
  </si>
  <si>
    <t xml:space="preserve">SFSC direct sale </t>
  </si>
  <si>
    <t xml:space="preserve">WestSoy Tofi Extra firm organic </t>
  </si>
  <si>
    <t>SFSC (poldori soausage breakfast local)</t>
  </si>
  <si>
    <t>coffee + tea</t>
  </si>
  <si>
    <t xml:space="preserve">coffee grnd organic serena blend </t>
  </si>
  <si>
    <t xml:space="preserve"> beverages </t>
  </si>
  <si>
    <t xml:space="preserve">West Soy Organic Extra Firm Tofu </t>
  </si>
  <si>
    <t xml:space="preserve">seasoning </t>
  </si>
  <si>
    <t xml:space="preserve">alternative meat </t>
  </si>
  <si>
    <t xml:space="preserve">organic valley hard boiled eggs 2 pack </t>
  </si>
  <si>
    <t>Lombardi Brotherds Meats</t>
  </si>
  <si>
    <t>New Age Beverages Co</t>
  </si>
  <si>
    <t>apples</t>
  </si>
  <si>
    <t>QAI Annual Inspection</t>
  </si>
  <si>
    <t>avocados</t>
  </si>
  <si>
    <t>berries</t>
  </si>
  <si>
    <t>carrots</t>
  </si>
  <si>
    <t xml:space="preserve">Wild Harvest </t>
  </si>
  <si>
    <t>baby spinach salad</t>
  </si>
  <si>
    <t>Stacey's organic Tortillas</t>
  </si>
  <si>
    <t>95% organic white tortillas 10"</t>
  </si>
  <si>
    <t>organic chocolate chip mix</t>
  </si>
  <si>
    <t>USDA Organic</t>
  </si>
  <si>
    <t>UNFI</t>
  </si>
  <si>
    <t>Garlic and Herb Organic Crackers</t>
  </si>
  <si>
    <t xml:space="preserve">Yerba Mate </t>
  </si>
  <si>
    <t xml:space="preserve">chocolate club pack </t>
  </si>
  <si>
    <t>Justin's Organic</t>
  </si>
  <si>
    <t>Newman's Organics</t>
  </si>
  <si>
    <t>Orgain</t>
  </si>
  <si>
    <t xml:space="preserve">Orange Passion </t>
  </si>
  <si>
    <t xml:space="preserve">Energy drink </t>
  </si>
  <si>
    <t>vegan protein drinks</t>
  </si>
  <si>
    <t>Shio Spicey Chicken Kit</t>
  </si>
  <si>
    <t>Honest Tea</t>
  </si>
  <si>
    <t xml:space="preserve">Alter Eco </t>
  </si>
  <si>
    <t>Hiball</t>
  </si>
  <si>
    <t>snacks</t>
  </si>
  <si>
    <t xml:space="preserve">chocolate snack pack </t>
  </si>
  <si>
    <t xml:space="preserve">Alavarado </t>
  </si>
  <si>
    <t>SFSC (local)</t>
  </si>
  <si>
    <t>nuts and legumes</t>
  </si>
  <si>
    <t>Hope</t>
  </si>
  <si>
    <t>microwavable meals</t>
  </si>
  <si>
    <t>Annie Chun's</t>
  </si>
  <si>
    <t>Bare Fruit</t>
  </si>
  <si>
    <t>Cascadian Farm's</t>
  </si>
  <si>
    <t>snack bars</t>
  </si>
  <si>
    <t>apple sauce</t>
  </si>
  <si>
    <t xml:space="preserve">bevergaes </t>
  </si>
  <si>
    <t>chocolate</t>
  </si>
  <si>
    <t xml:space="preserve">Late July </t>
  </si>
  <si>
    <t xml:space="preserve">Nature's Path </t>
  </si>
  <si>
    <t xml:space="preserve">Simply Organic </t>
  </si>
  <si>
    <t>Teas Tea</t>
  </si>
  <si>
    <t>nuts and seeds</t>
  </si>
  <si>
    <t xml:space="preserve">Tropicana </t>
  </si>
  <si>
    <t>baking mix</t>
  </si>
  <si>
    <t>SFSC (direct sale/local)</t>
  </si>
  <si>
    <t xml:space="preserve">Swire Coca-Cola </t>
  </si>
  <si>
    <t xml:space="preserve">Delicas Bakery </t>
  </si>
  <si>
    <t xml:space="preserve">alcohol </t>
  </si>
  <si>
    <t xml:space="preserve">Republic National Distributing Company </t>
  </si>
  <si>
    <t>Breakthru Beverages</t>
  </si>
  <si>
    <t>Febuary 2020</t>
  </si>
  <si>
    <t>week 1</t>
  </si>
  <si>
    <t xml:space="preserve">Daikon Radish Organic </t>
  </si>
  <si>
    <t>West Soy Tofu Organic Extra Firm</t>
  </si>
  <si>
    <t>fish</t>
  </si>
  <si>
    <t>Meadow Gold Englewood SFSC (local)</t>
  </si>
  <si>
    <t>Westsoy Organic Tofu Extra Firm</t>
  </si>
  <si>
    <t xml:space="preserve">Poldori breakfast pork sausage SFSC local </t>
  </si>
  <si>
    <t xml:space="preserve">Meadow Gold Englewood SFSC local whole milk </t>
  </si>
  <si>
    <t>poldori sausage pork breakfast SFSC local</t>
  </si>
  <si>
    <t xml:space="preserve">poldori breakfast sausage SFSC local </t>
  </si>
  <si>
    <t>culinary ingreients</t>
  </si>
  <si>
    <t xml:space="preserve">Whitewave soy orginal tempeh </t>
  </si>
  <si>
    <t xml:space="preserve">West Soy Extra organic Tofu </t>
  </si>
  <si>
    <t>poldori breakfast sausage local SFSC</t>
  </si>
  <si>
    <t xml:space="preserve">West Soy Extra Firm organic Tofu </t>
  </si>
  <si>
    <t xml:space="preserve">Pepsi Beverages company </t>
  </si>
  <si>
    <t xml:space="preserve">hard boiled eggs </t>
  </si>
  <si>
    <t xml:space="preserve">USDA Organic </t>
  </si>
  <si>
    <t>Week 2</t>
  </si>
  <si>
    <t xml:space="preserve">Certified Organic rainbow carrot </t>
  </si>
  <si>
    <t>local (MeadowGold)</t>
  </si>
  <si>
    <t>grains</t>
  </si>
  <si>
    <t>West Soy Organic Tofu</t>
  </si>
  <si>
    <t>SFSC (polidori sausage)</t>
  </si>
  <si>
    <t>spice</t>
  </si>
  <si>
    <t xml:space="preserve">culinary ingredient </t>
  </si>
  <si>
    <t>tea and coffee</t>
  </si>
  <si>
    <t>SFSC (poldori sausage)</t>
  </si>
  <si>
    <t>local Meadow Gold</t>
  </si>
  <si>
    <t>SFSC (poldori local sausage)</t>
  </si>
  <si>
    <t>alternative milks</t>
  </si>
  <si>
    <t xml:space="preserve">New Age Beverages Co. </t>
  </si>
  <si>
    <t>salads</t>
  </si>
  <si>
    <t>peanut butter cups</t>
  </si>
  <si>
    <t>Horizon Organic</t>
  </si>
  <si>
    <t xml:space="preserve">diary </t>
  </si>
  <si>
    <t>North Coast</t>
  </si>
  <si>
    <t>applesauce</t>
  </si>
  <si>
    <t>Newman-o's</t>
  </si>
  <si>
    <t>Peeled Snacks</t>
  </si>
  <si>
    <t>Chocolate shakes</t>
  </si>
  <si>
    <t xml:space="preserve">Alvarado St. Bakery </t>
  </si>
  <si>
    <t xml:space="preserve">Hope </t>
  </si>
  <si>
    <t>frozen meals</t>
  </si>
  <si>
    <t>soup</t>
  </si>
  <si>
    <t>Cascadian Farm</t>
  </si>
  <si>
    <t>coffee+ tea</t>
  </si>
  <si>
    <t>Clif Bar</t>
  </si>
  <si>
    <t>protein bar</t>
  </si>
  <si>
    <t>GoGo Squeeze</t>
  </si>
  <si>
    <t xml:space="preserve">frozen meal </t>
  </si>
  <si>
    <t xml:space="preserve">Mike's Mighty Good </t>
  </si>
  <si>
    <t>Bionaturae</t>
  </si>
  <si>
    <t>Tastybite</t>
  </si>
  <si>
    <t xml:space="preserve">Immaculate Baking </t>
  </si>
  <si>
    <t>cookie</t>
  </si>
  <si>
    <t xml:space="preserve">Runa </t>
  </si>
  <si>
    <t>plant-based smoothies</t>
  </si>
  <si>
    <t>seeds</t>
  </si>
  <si>
    <t>Seaweed Snacks</t>
  </si>
  <si>
    <t>coffee and tea</t>
  </si>
  <si>
    <t>Swire Coca-Cola</t>
  </si>
  <si>
    <t xml:space="preserve">Food Maven </t>
  </si>
  <si>
    <t xml:space="preserve">local legacy meats angus striploin bonless 100% grass fed ABF </t>
  </si>
  <si>
    <t>SFSC</t>
  </si>
  <si>
    <t>legumes and seeds</t>
  </si>
  <si>
    <t>Organic (Seajoy shrimp)</t>
  </si>
  <si>
    <t xml:space="preserve">SFSC </t>
  </si>
  <si>
    <t>local (Monse's Papuseria)</t>
  </si>
  <si>
    <t>TOTAL:</t>
  </si>
  <si>
    <t xml:space="preserve">Week 3 </t>
  </si>
  <si>
    <t>organic (rainbow chard)</t>
  </si>
  <si>
    <t>organic bananas</t>
  </si>
  <si>
    <t>West Soy</t>
  </si>
  <si>
    <t xml:space="preserve">tofu </t>
  </si>
  <si>
    <t>SFSC (Meadow Gold Milk)</t>
  </si>
  <si>
    <t xml:space="preserve">West Soy Organic Tofu </t>
  </si>
  <si>
    <t>SFSC (poldori chorizo )</t>
  </si>
  <si>
    <t>SFSC (poldori breakfast sausage )</t>
  </si>
  <si>
    <t>White Wave soy tempeh organice</t>
  </si>
  <si>
    <t xml:space="preserve">West soy organic tofu </t>
  </si>
  <si>
    <t>SFSC (Meadow Gold Englewood</t>
  </si>
  <si>
    <t>SFSC (local poldori breakfast sausage)</t>
  </si>
  <si>
    <t xml:space="preserve">WestSoy Organic Tofu </t>
  </si>
  <si>
    <t xml:space="preserve">Pepsi Beverage Company </t>
  </si>
  <si>
    <t>legumes and nuts</t>
  </si>
  <si>
    <t xml:space="preserve">New Age Beverages Corporation </t>
  </si>
  <si>
    <t>mangos</t>
  </si>
  <si>
    <t xml:space="preserve">Josie's Organics Asian Chopped Salad </t>
  </si>
  <si>
    <t xml:space="preserve">Wild Harvest Baby Spinach </t>
  </si>
  <si>
    <t>Tolerant</t>
  </si>
  <si>
    <t>Brew Dr</t>
  </si>
  <si>
    <t>Amy's</t>
  </si>
  <si>
    <t xml:space="preserve">soup </t>
  </si>
  <si>
    <t>Cascadian Farms</t>
  </si>
  <si>
    <t xml:space="preserve">coffee + tea </t>
  </si>
  <si>
    <t>Justin's Organics</t>
  </si>
  <si>
    <t xml:space="preserve">Rice Dreams </t>
  </si>
  <si>
    <t>Mike's Mega Good</t>
  </si>
  <si>
    <t>ramen</t>
  </si>
  <si>
    <t>Kevita</t>
  </si>
  <si>
    <t xml:space="preserve">Vive Organic </t>
  </si>
  <si>
    <t>wellness shot</t>
  </si>
  <si>
    <t>protein shake</t>
  </si>
  <si>
    <t xml:space="preserve">SFSC (direct sale) local </t>
  </si>
  <si>
    <t>tea + coffee</t>
  </si>
  <si>
    <t>Oraganic Tea</t>
  </si>
  <si>
    <t xml:space="preserve">Seattle Fish Co &amp; Gourmet Provisions </t>
  </si>
  <si>
    <t xml:space="preserve">SFSC continental sausage local </t>
  </si>
  <si>
    <t>SFSC colorado native foods chicken local</t>
  </si>
  <si>
    <t xml:space="preserve">SFSC amish acres eggs </t>
  </si>
  <si>
    <t>SFSC local Legacy Meats Beef Patties</t>
  </si>
  <si>
    <t xml:space="preserve">Seajoy Organic shrimp </t>
  </si>
  <si>
    <t xml:space="preserve">Canino's local italian sausage </t>
  </si>
  <si>
    <t>SFSC (Monse's Pupuseria)</t>
  </si>
  <si>
    <t xml:space="preserve">The Yerba Mate Co. </t>
  </si>
  <si>
    <t xml:space="preserve">SFSC Colorado Native Foods Chicken </t>
  </si>
  <si>
    <t xml:space="preserve">local green chile soup </t>
  </si>
  <si>
    <t>Week 4</t>
  </si>
  <si>
    <t xml:space="preserve">FreshPack </t>
  </si>
  <si>
    <t xml:space="preserve">organic daikon radish </t>
  </si>
  <si>
    <t>SFSC (poldori breakfast sausage)</t>
  </si>
  <si>
    <t>West Soy Tofu Organic</t>
  </si>
  <si>
    <t>SFSC (Meadow Gold Englewood)</t>
  </si>
  <si>
    <t>coffee or tea</t>
  </si>
  <si>
    <t xml:space="preserve">spice </t>
  </si>
  <si>
    <t xml:space="preserve">coffee and tea </t>
  </si>
  <si>
    <t>cuilinary ingredients</t>
  </si>
  <si>
    <t xml:space="preserve">whl sweet syrup agave organic cane blue </t>
  </si>
  <si>
    <t xml:space="preserve">dried fruits and nuts </t>
  </si>
  <si>
    <t xml:space="preserve">New Age Beverage Corp. </t>
  </si>
  <si>
    <t>Apples</t>
  </si>
  <si>
    <t>Avocados</t>
  </si>
  <si>
    <t>tomatos</t>
  </si>
  <si>
    <t xml:space="preserve">nuts and seeds </t>
  </si>
  <si>
    <t xml:space="preserve">Madhava Raw Agave </t>
  </si>
  <si>
    <t>justins organic peanut butter cups</t>
  </si>
  <si>
    <t xml:space="preserve">late july sweet potato chips organic </t>
  </si>
  <si>
    <t xml:space="preserve">orgain vegan chocolate shake organic </t>
  </si>
  <si>
    <t>woodstock organic dark chocolate rice bites</t>
  </si>
  <si>
    <t xml:space="preserve">organic valley snack kits organic </t>
  </si>
  <si>
    <t>honest tea organic</t>
  </si>
  <si>
    <t xml:space="preserve">Bake Mark </t>
  </si>
  <si>
    <t xml:space="preserve">cake ingredient </t>
  </si>
  <si>
    <t xml:space="preserve">Red Bull Distribution Company </t>
  </si>
  <si>
    <t xml:space="preserve">Seattle Fish Company </t>
  </si>
  <si>
    <t xml:space="preserve">Trinidad Benham, Dry Garbanzo Beans, Local </t>
  </si>
  <si>
    <t xml:space="preserve">leagacy meats local beef patties </t>
  </si>
  <si>
    <t xml:space="preserve">monse pupuseria local </t>
  </si>
  <si>
    <t xml:space="preserve">Bartels Farms ribeye organic abf </t>
  </si>
  <si>
    <t>rocky mountain eggs local cage free large grade AA</t>
  </si>
  <si>
    <t xml:space="preserve">old timer, sausage chorizo cooked bulk local </t>
  </si>
  <si>
    <t xml:space="preserve">Yerba Mate Co. </t>
  </si>
  <si>
    <t xml:space="preserve">Total </t>
  </si>
  <si>
    <t>AGA-Certified Grassfed</t>
  </si>
  <si>
    <t>American Humane Certified (Laying Hens - Free Range and Pasture)</t>
  </si>
  <si>
    <t>Direct purchase</t>
  </si>
  <si>
    <t>FAO Code of Conduct for Responsible Fisheries</t>
  </si>
  <si>
    <t xml:space="preserve">American National Standard for Sustainable Agriculture (ANSI/LEO-4000) (Silver or higher) </t>
  </si>
  <si>
    <t>Contract production</t>
  </si>
  <si>
    <t>Principles of Fair Trade (WFTO)</t>
  </si>
  <si>
    <t>Animal Welfare Approved (A Greener World)</t>
  </si>
  <si>
    <t xml:space="preserve">Australian Marine Conservation Society (Green 'Better Choice') </t>
  </si>
  <si>
    <t>Organic growers' cooperative</t>
  </si>
  <si>
    <t>Bee Better Certified (Xerces Society)</t>
  </si>
  <si>
    <t>Community supported fishery program</t>
  </si>
  <si>
    <t>Biodynamic Certified (Demeter)</t>
  </si>
  <si>
    <t>Farm-to-institution program</t>
  </si>
  <si>
    <t>Bioland</t>
  </si>
  <si>
    <t>Regional distributor</t>
  </si>
  <si>
    <t>Biopartenaire label</t>
  </si>
  <si>
    <t>Other source-identified intermediary</t>
  </si>
  <si>
    <t>Bird Friendly Coffee</t>
  </si>
  <si>
    <t>BuyingPoultry (Best Choice or Better Choice)</t>
  </si>
  <si>
    <t>Certified Humane (Humane Farm Animal Care)</t>
  </si>
  <si>
    <t>Certified Naturally Grown</t>
  </si>
  <si>
    <t>Certified Sustainably Grown (SCS)</t>
  </si>
  <si>
    <t>Ecocert Fair Trade (EFT)</t>
  </si>
  <si>
    <t>Equitable Food Initiative certified</t>
  </si>
  <si>
    <t xml:space="preserve">Fair Food Program (Fair Food Standards Council / Coalition of Immokalee Workers) </t>
  </si>
  <si>
    <t>Fair for Life (IMO)</t>
  </si>
  <si>
    <t>Fair Trade Certified (Fair Trade USA)</t>
  </si>
  <si>
    <t>Fair Trade Federation member</t>
  </si>
  <si>
    <t>Fairtrade mark (Fairtrade International)</t>
  </si>
  <si>
    <t>FairWild certified</t>
  </si>
  <si>
    <t>Filière Biologique du Québec (BIO Québec, Aliments du Québec - Bio, and Aliments préparés au Québec – Bio)</t>
  </si>
  <si>
    <t>Food Alliance Certified</t>
  </si>
  <si>
    <t>Food Justice Certified (Agricultural Justice Project)</t>
  </si>
  <si>
    <t>Global Animal Partnership Certified (Step 2 and above)</t>
  </si>
  <si>
    <t>Good Food (Meal Exchange)</t>
  </si>
  <si>
    <t>Guaranteed Fair Trade (WFTO)</t>
  </si>
  <si>
    <t>Hand in Hand (Rapunzel)</t>
  </si>
  <si>
    <t xml:space="preserve">Label Rouge </t>
  </si>
  <si>
    <t>LEAF Marque (Linking Environment and Farming)</t>
  </si>
  <si>
    <t>Marine Conservation Society (Rating 1-2)</t>
  </si>
  <si>
    <t>Marine Stewardship Council blue ecolabel (paired with MSC Chain of Custody certification)</t>
  </si>
  <si>
    <t>Milk with Dignity (Migrant Justice)</t>
  </si>
  <si>
    <t xml:space="preserve">Monterey Bay Aquarium Seafood Watch (Best Choices, Good Alternatives, and Recommended Eco-Certifications) </t>
  </si>
  <si>
    <t>Mr. Goodfish seasonal recommendation</t>
  </si>
  <si>
    <t>Naturland certified</t>
  </si>
  <si>
    <t>NOFA-NY or PCO Ceritified 100% Grassfed</t>
  </si>
  <si>
    <t>Ocean Wise Recommended</t>
  </si>
  <si>
    <t>Participatory Guarantee System (PGS) verified</t>
  </si>
  <si>
    <t>Protected Harvest Certified</t>
  </si>
  <si>
    <t>Rainforest Alliance Certified (SAN Standard for Sustainable Agriculture)</t>
  </si>
  <si>
    <t>Real Food (Real Food Challenge)</t>
  </si>
  <si>
    <t>Regenerative Organic Certified</t>
  </si>
  <si>
    <t xml:space="preserve">Royal Forest and Bird Protection Society (Ranking A-C) </t>
  </si>
  <si>
    <t>RSPCA Approved - Australia</t>
  </si>
  <si>
    <t>RSPCA Assured - U.K.</t>
  </si>
  <si>
    <t>Sailors for the Sea Blue list</t>
  </si>
  <si>
    <t>Salmon Safe Certified</t>
  </si>
  <si>
    <t>Small Producers’ Symbol (SPP)</t>
  </si>
  <si>
    <t>SPCA Certified - Canada</t>
  </si>
  <si>
    <t>USDA Transitional Organic</t>
  </si>
  <si>
    <t>UTZ certified</t>
  </si>
  <si>
    <t>WWF/Good Fish Foundation (Green and Amber/Yellow list)</t>
  </si>
  <si>
    <t>Other fair trade/labor standard that meets minimum criteria provided (detail required in Notes)</t>
  </si>
  <si>
    <t>Other animal welfare standard that meets minimum criteria provided (detail required in Notes)</t>
  </si>
  <si>
    <t>Deb-El</t>
  </si>
  <si>
    <t>Egg Whole Liquid Cage Free W/ Citric Acid 2/20 Lb</t>
  </si>
  <si>
    <t>Certified Humane Raised and Handled</t>
  </si>
  <si>
    <t>Wilcox</t>
  </si>
  <si>
    <t>Egg Shell Large Cage Free Bulk HFAC Certified 15/1 Dz</t>
  </si>
  <si>
    <t>Neptune Foods</t>
  </si>
  <si>
    <t>Shrimp White P&amp;D Tail Off Raw 71/90 Ct 5/2 Lb</t>
  </si>
  <si>
    <t>Seafood Watch Green or Yellow rated</t>
  </si>
  <si>
    <t>Empress</t>
  </si>
  <si>
    <t>Tuna Chunk Light Water FAD Free 6/66.5 Oz</t>
  </si>
  <si>
    <t>Fpi</t>
  </si>
  <si>
    <t>Cod Loin IQF Raw 4 Oz 1/10 Lb</t>
  </si>
  <si>
    <t>Sea Mazzetta</t>
  </si>
  <si>
    <t>Shrimp White 71/90 Ct Raw P&amp;D Tail Off 10/2 Lb</t>
  </si>
  <si>
    <t>Sysco Classic</t>
  </si>
  <si>
    <t>Clam Ocean Chopped Fancy No MSG 12/51 Oz (5176763)</t>
  </si>
  <si>
    <t>Farmers Hen House</t>
  </si>
  <si>
    <t>Egg Large Brown Free Range 15/1 Dz</t>
  </si>
  <si>
    <t>Portico Simply</t>
  </si>
  <si>
    <t>Scallop Sea Dry U-10 Natural IQF 2/5 Lb</t>
  </si>
  <si>
    <t>Tilapia Filet Boned Deep Skinned Raw IQF 3-5 Oz 1/10 Lb</t>
  </si>
  <si>
    <t>Tuna Skipjack Light Pouch Water FAD Free 6/43 Oz</t>
  </si>
  <si>
    <t>Egg Mix Whole Liquid Cage Free With Citric Acid 2/20 Lb</t>
  </si>
  <si>
    <t>Nest Fresh</t>
  </si>
  <si>
    <t>Egg Mix Liquid Whole Cage Free Certified Humane REF 2/20 Lb</t>
  </si>
  <si>
    <t>Egg Shell Large Brown Free Range 15/1 Dz</t>
  </si>
  <si>
    <t>CORNER POST MEATS</t>
  </si>
  <si>
    <t>Enrollment in F2F program; site visit from Bon Appétit team member</t>
  </si>
  <si>
    <t>MESA WINDS FARM</t>
  </si>
  <si>
    <t>COLORADO COFFEE MERCHANTS</t>
  </si>
  <si>
    <t>SWITCHBACK COFFEE ROASTER</t>
  </si>
  <si>
    <t>ELEVATION COFFEE</t>
  </si>
  <si>
    <t>THISTLE WHISTLE FARMS</t>
  </si>
  <si>
    <t>VALLEYROOTS FOOD HUB</t>
  </si>
  <si>
    <t>EMERGE AQUAPONICS</t>
  </si>
  <si>
    <t>999340 - FOODMAVEN CORPORATION</t>
  </si>
  <si>
    <t xml:space="preserve">milk </t>
  </si>
  <si>
    <t>Lombardi Brothers Meat</t>
  </si>
  <si>
    <t>Aspen Baking Company</t>
  </si>
  <si>
    <t>beer</t>
  </si>
  <si>
    <t xml:space="preserve">Bimbo Bakeries Company </t>
  </si>
  <si>
    <t>Colorado Native Foods</t>
  </si>
  <si>
    <t>Alavardo St. Bakery</t>
  </si>
  <si>
    <t>various produce</t>
  </si>
  <si>
    <t>Lettuce</t>
  </si>
  <si>
    <t>grapes, apples, peaches</t>
  </si>
  <si>
    <t>Continental Suasage</t>
  </si>
  <si>
    <t>sausage</t>
  </si>
  <si>
    <t xml:space="preserve">Polidori Sausage </t>
  </si>
  <si>
    <t xml:space="preserve">Monses Papuseria </t>
  </si>
  <si>
    <t>pastry dough</t>
  </si>
  <si>
    <t>Bartel's Farm</t>
  </si>
  <si>
    <t>organic ribeye</t>
  </si>
  <si>
    <t xml:space="preserve">Olde World Bagel </t>
  </si>
  <si>
    <t xml:space="preserve">bagel </t>
  </si>
  <si>
    <t>Jeffery Ventures/Aspen Bakery</t>
  </si>
  <si>
    <t>coffee grounds</t>
  </si>
  <si>
    <t>https://cornerpostmeats.com/</t>
  </si>
  <si>
    <t>https://www.mesawindswinery.com/projects-3</t>
  </si>
  <si>
    <t xml:space="preserve">Colorado Coffee Merchant </t>
  </si>
  <si>
    <t>https://switchbackroasters.com/pages/coffee</t>
  </si>
  <si>
    <t>Switchback Coffeee Roasters</t>
  </si>
  <si>
    <t>https://thistlewhistlefarm.weebly.com/</t>
  </si>
  <si>
    <t>Elevation Coffee</t>
  </si>
  <si>
    <t>https://www.valleyrootsfoodhub.com/</t>
  </si>
  <si>
    <t>https://www.emergeaquaponics.com/</t>
  </si>
  <si>
    <t xml:space="preserve">FoodMaven Corporation </t>
  </si>
  <si>
    <t>Bristol Beer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</si>
</sst>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quot;$&quot;#,##0.00"/>
    <numFmt numFmtId="166" formatCode="mmmm\ yyyy"/>
  </numFmts>
  <fonts count="39">
    <font>
      <sz val="10"/>
      <color rgb="FF000000"/>
      <name val="Arial"/>
    </font>
    <font>
      <sz val="10"/>
      <name val="Arial"/>
    </font>
    <font>
      <b/>
      <sz val="20"/>
      <color rgb="FF153875"/>
      <name val="Libre Franklin"/>
    </font>
    <font>
      <b/>
      <sz val="18"/>
      <color rgb="FF153875"/>
      <name val="Libre Franklin"/>
    </font>
    <font>
      <sz val="14"/>
      <color rgb="FF000000"/>
      <name val="Arial"/>
    </font>
    <font>
      <b/>
      <sz val="14"/>
      <color rgb="FF000000"/>
      <name val="Arial"/>
    </font>
    <font>
      <sz val="14"/>
      <name val="Arial"/>
    </font>
    <font>
      <b/>
      <sz val="18"/>
      <color rgb="FF000000"/>
      <name val="Libre Franklin"/>
    </font>
    <font>
      <sz val="11"/>
      <name val="Arial"/>
    </font>
    <font>
      <sz val="11"/>
      <name val="Arial"/>
    </font>
    <font>
      <b/>
      <sz val="11"/>
      <color rgb="FF153875"/>
      <name val="Arial"/>
    </font>
    <font>
      <b/>
      <sz val="11"/>
      <name val="Arial"/>
    </font>
    <font>
      <sz val="10"/>
      <name val="Arial"/>
    </font>
    <font>
      <u/>
      <sz val="11"/>
      <color rgb="FF0000FF"/>
      <name val="Arial"/>
    </font>
    <font>
      <sz val="14"/>
      <name val="Arial"/>
    </font>
    <font>
      <sz val="10"/>
      <name val="Arial"/>
    </font>
    <font>
      <sz val="10"/>
      <name val="Arial"/>
    </font>
    <font>
      <b/>
      <sz val="10"/>
      <color rgb="FF000000"/>
      <name val="''Arial''"/>
    </font>
    <font>
      <sz val="9"/>
      <color rgb="FF000000"/>
      <name val="Arial"/>
    </font>
    <font>
      <sz val="10"/>
      <color rgb="FF000000"/>
      <name val="''Arial''"/>
    </font>
    <font>
      <sz val="9"/>
      <name val="Arial"/>
    </font>
    <font>
      <sz val="10"/>
      <color rgb="FF000000"/>
      <name val="Arial"/>
    </font>
    <font>
      <sz val="9"/>
      <name val="Arial"/>
    </font>
    <font>
      <sz val="10"/>
      <color rgb="FFFFFFFF"/>
      <name val="Arial"/>
    </font>
    <font>
      <b/>
      <sz val="10"/>
      <color rgb="FF000000"/>
      <name val="Arial"/>
    </font>
    <font>
      <sz val="10"/>
      <color rgb="FFFF0000"/>
      <name val="Arial"/>
    </font>
    <font>
      <b/>
      <sz val="12"/>
      <name val="Arial"/>
    </font>
    <font>
      <b/>
      <sz val="10"/>
      <name val="Arial"/>
    </font>
    <font>
      <sz val="10"/>
      <color rgb="FFFF0000"/>
      <name val="Arial"/>
    </font>
    <font>
      <sz val="11"/>
      <color rgb="FF1155CC"/>
      <name val="Inconsolata"/>
    </font>
    <font>
      <i/>
      <sz val="10"/>
      <name val="Arial"/>
    </font>
    <font>
      <sz val="10"/>
      <color rgb="FF000000"/>
      <name val="Arial"/>
    </font>
    <font>
      <b/>
      <sz val="11"/>
      <name val="arial,sans,sans-serif"/>
    </font>
    <font>
      <sz val="11"/>
      <name val="arial,sans,sans-serif"/>
    </font>
    <font>
      <i/>
      <sz val="10"/>
      <color rgb="FF000000"/>
      <name val="''Arial''"/>
    </font>
    <font>
      <b/>
      <sz val="10"/>
      <name val="arial,sans,sans-serif"/>
    </font>
    <font>
      <sz val="10"/>
      <name val="arial,sans,sans-serif"/>
    </font>
    <font>
      <sz val="10"/>
      <color rgb="FF000000"/>
      <name val="Arial"/>
      <family val="2"/>
    </font>
    <font>
      <u/>
      <sz val="10"/>
      <color theme="10"/>
      <name val="Arial"/>
    </font>
  </fonts>
  <fills count="6">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D9EAD3"/>
        <bgColor rgb="FFD9EAD3"/>
      </patternFill>
    </fill>
    <fill>
      <patternFill patternType="solid">
        <fgColor rgb="FFB6D7A8"/>
        <bgColor rgb="FFB6D7A8"/>
      </patternFill>
    </fill>
  </fills>
  <borders count="10">
    <border>
      <left/>
      <right/>
      <top/>
      <bottom/>
      <diagonal/>
    </border>
    <border>
      <left style="thin">
        <color rgb="FF999999"/>
      </left>
      <right style="thin">
        <color rgb="FF999999"/>
      </right>
      <top style="thin">
        <color rgb="FF999999"/>
      </top>
      <bottom style="thin">
        <color rgb="FF999999"/>
      </bottom>
      <diagonal/>
    </border>
    <border>
      <left/>
      <right style="thin">
        <color rgb="FF000000"/>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bottom style="thin">
        <color rgb="FF999999"/>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999999"/>
      </left>
      <right/>
      <top style="thin">
        <color rgb="FF999999"/>
      </top>
      <bottom/>
      <diagonal/>
    </border>
  </borders>
  <cellStyleXfs count="2">
    <xf numFmtId="0" fontId="0" fillId="0" borderId="0"/>
    <xf numFmtId="0" fontId="38" fillId="0" borderId="0" applyNumberFormat="0" applyFill="0" applyBorder="0" applyAlignment="0" applyProtection="0"/>
  </cellStyleXfs>
  <cellXfs count="171">
    <xf numFmtId="0" fontId="0" fillId="0" borderId="0" xfId="0" applyFont="1" applyAlignment="1"/>
    <xf numFmtId="0" fontId="1" fillId="0" borderId="0" xfId="0" applyFont="1" applyAlignment="1"/>
    <xf numFmtId="0" fontId="1" fillId="0" borderId="0" xfId="0" applyFont="1" applyAlignment="1">
      <alignment horizontal="center"/>
    </xf>
    <xf numFmtId="0" fontId="1" fillId="0" borderId="0" xfId="0" applyFont="1" applyAlignment="1"/>
    <xf numFmtId="0" fontId="2" fillId="0" borderId="0" xfId="0" applyFont="1" applyAlignment="1">
      <alignment horizontal="center"/>
    </xf>
    <xf numFmtId="0" fontId="3" fillId="0" borderId="0" xfId="0" applyFont="1" applyAlignment="1"/>
    <xf numFmtId="0" fontId="4" fillId="2" borderId="0" xfId="0" applyFont="1" applyFill="1" applyAlignment="1">
      <alignment horizontal="center" wrapText="1"/>
    </xf>
    <xf numFmtId="0" fontId="5" fillId="0" borderId="0" xfId="0" applyFont="1" applyAlignment="1">
      <alignment horizontal="center" wrapText="1"/>
    </xf>
    <xf numFmtId="0" fontId="1" fillId="2" borderId="0" xfId="0" applyFont="1" applyFill="1" applyAlignment="1">
      <alignment horizontal="center"/>
    </xf>
    <xf numFmtId="0" fontId="6" fillId="2" borderId="0" xfId="0" applyFont="1" applyFill="1" applyAlignment="1">
      <alignment horizontal="center"/>
    </xf>
    <xf numFmtId="0" fontId="6" fillId="0" borderId="0" xfId="0" applyFont="1" applyAlignment="1">
      <alignment horizontal="center" wrapText="1"/>
    </xf>
    <xf numFmtId="0" fontId="6" fillId="0" borderId="0" xfId="0" applyFont="1" applyAlignment="1">
      <alignment horizontal="center" wrapText="1"/>
    </xf>
    <xf numFmtId="0" fontId="1" fillId="0" borderId="0" xfId="0" applyFont="1"/>
    <xf numFmtId="0" fontId="7" fillId="0" borderId="0" xfId="0" applyFont="1" applyAlignment="1"/>
    <xf numFmtId="0" fontId="1" fillId="0" borderId="0" xfId="0" applyFont="1" applyAlignment="1">
      <alignment horizontal="right"/>
    </xf>
    <xf numFmtId="0" fontId="8" fillId="0" borderId="0" xfId="0" applyFont="1" applyAlignment="1"/>
    <xf numFmtId="0" fontId="8" fillId="0" borderId="0" xfId="0" applyFont="1" applyAlignment="1"/>
    <xf numFmtId="0" fontId="9" fillId="0" borderId="0" xfId="0" applyFont="1"/>
    <xf numFmtId="0" fontId="10" fillId="0" borderId="0" xfId="0" applyFont="1" applyAlignment="1"/>
    <xf numFmtId="0" fontId="11" fillId="0" borderId="0" xfId="0" applyFont="1" applyAlignment="1"/>
    <xf numFmtId="0" fontId="8" fillId="0" borderId="0" xfId="0" applyFont="1" applyAlignment="1">
      <alignment vertical="center"/>
    </xf>
    <xf numFmtId="0" fontId="10" fillId="0" borderId="0" xfId="0" applyFont="1" applyAlignment="1">
      <alignment vertical="center"/>
    </xf>
    <xf numFmtId="0" fontId="8" fillId="0" borderId="0" xfId="0" applyFont="1" applyAlignment="1">
      <alignment vertical="center"/>
    </xf>
    <xf numFmtId="0" fontId="8" fillId="2" borderId="0" xfId="0" applyFont="1" applyFill="1" applyAlignment="1">
      <alignment vertical="center"/>
    </xf>
    <xf numFmtId="0" fontId="8" fillId="2" borderId="1" xfId="0" applyFont="1" applyFill="1" applyBorder="1" applyAlignment="1">
      <alignment horizontal="center" vertical="center"/>
    </xf>
    <xf numFmtId="0" fontId="9" fillId="0" borderId="0" xfId="0" applyFont="1" applyAlignment="1">
      <alignment vertical="center"/>
    </xf>
    <xf numFmtId="0" fontId="8" fillId="0" borderId="0" xfId="0" applyFont="1" applyAlignment="1">
      <alignment vertical="center" wrapText="1"/>
    </xf>
    <xf numFmtId="164" fontId="8" fillId="2" borderId="0" xfId="0" applyNumberFormat="1" applyFont="1" applyFill="1" applyAlignment="1">
      <alignment horizontal="center" vertical="center"/>
    </xf>
    <xf numFmtId="164" fontId="8" fillId="2" borderId="1" xfId="0" applyNumberFormat="1" applyFont="1" applyFill="1" applyBorder="1" applyAlignment="1">
      <alignment horizontal="center" vertical="center"/>
    </xf>
    <xf numFmtId="0" fontId="8" fillId="2" borderId="0" xfId="0" applyFont="1" applyFill="1" applyAlignment="1"/>
    <xf numFmtId="0" fontId="8" fillId="2" borderId="0" xfId="0" applyFont="1" applyFill="1" applyAlignment="1">
      <alignment horizontal="right" vertical="center"/>
    </xf>
    <xf numFmtId="0" fontId="10" fillId="0" borderId="0" xfId="0" applyFont="1" applyAlignment="1">
      <alignment vertical="top"/>
    </xf>
    <xf numFmtId="0" fontId="8" fillId="0" borderId="0" xfId="0" applyFont="1" applyAlignment="1">
      <alignment wrapText="1"/>
    </xf>
    <xf numFmtId="10" fontId="8" fillId="3" borderId="1"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applyAlignment="1"/>
    <xf numFmtId="0" fontId="13" fillId="0" borderId="0" xfId="0" applyFont="1" applyAlignment="1"/>
    <xf numFmtId="0" fontId="14" fillId="0" borderId="0" xfId="0" applyFont="1" applyAlignment="1">
      <alignment wrapText="1"/>
    </xf>
    <xf numFmtId="0" fontId="15" fillId="0" borderId="0" xfId="0" applyFont="1" applyAlignment="1">
      <alignment wrapText="1"/>
    </xf>
    <xf numFmtId="0" fontId="16" fillId="0" borderId="0" xfId="0" applyFont="1"/>
    <xf numFmtId="0" fontId="16" fillId="4" borderId="0" xfId="0" applyFont="1" applyFill="1" applyAlignment="1">
      <alignment wrapText="1"/>
    </xf>
    <xf numFmtId="0" fontId="15" fillId="4" borderId="0" xfId="0" applyFont="1" applyFill="1" applyAlignment="1"/>
    <xf numFmtId="0" fontId="16" fillId="4" borderId="0" xfId="0" applyFont="1" applyFill="1" applyAlignment="1">
      <alignment wrapText="1"/>
    </xf>
    <xf numFmtId="0" fontId="18" fillId="4" borderId="1" xfId="0" applyFont="1" applyFill="1" applyBorder="1" applyAlignment="1">
      <alignment vertical="top"/>
    </xf>
    <xf numFmtId="0" fontId="18" fillId="4" borderId="1" xfId="0" applyFont="1" applyFill="1" applyBorder="1" applyAlignment="1">
      <alignment wrapText="1"/>
    </xf>
    <xf numFmtId="0" fontId="18" fillId="4" borderId="0" xfId="0" applyFont="1" applyFill="1" applyAlignment="1">
      <alignment horizontal="left"/>
    </xf>
    <xf numFmtId="0" fontId="18" fillId="4" borderId="1" xfId="0" applyFont="1" applyFill="1" applyBorder="1" applyAlignment="1">
      <alignment vertical="top" wrapText="1"/>
    </xf>
    <xf numFmtId="0" fontId="19" fillId="4" borderId="0" xfId="0" applyFont="1" applyFill="1" applyAlignment="1">
      <alignment vertical="top" wrapText="1"/>
    </xf>
    <xf numFmtId="0" fontId="16" fillId="4" borderId="0" xfId="0" applyFont="1" applyFill="1" applyAlignment="1">
      <alignment vertical="top" wrapText="1"/>
    </xf>
    <xf numFmtId="0" fontId="15" fillId="4" borderId="0" xfId="0" applyFont="1" applyFill="1"/>
    <xf numFmtId="0" fontId="15" fillId="4" borderId="0" xfId="0" applyFont="1" applyFill="1" applyAlignment="1">
      <alignment wrapText="1"/>
    </xf>
    <xf numFmtId="0" fontId="15" fillId="4" borderId="0" xfId="0" applyFont="1" applyFill="1" applyAlignment="1">
      <alignment wrapText="1"/>
    </xf>
    <xf numFmtId="0" fontId="21" fillId="0" borderId="0" xfId="0" applyFont="1" applyAlignment="1"/>
    <xf numFmtId="0" fontId="6" fillId="0" borderId="0" xfId="0" applyFont="1" applyAlignment="1">
      <alignment vertical="center"/>
    </xf>
    <xf numFmtId="0" fontId="22" fillId="0" borderId="0" xfId="0" applyFont="1" applyAlignment="1">
      <alignment wrapText="1"/>
    </xf>
    <xf numFmtId="164" fontId="8" fillId="3" borderId="1" xfId="0" applyNumberFormat="1" applyFont="1" applyFill="1" applyBorder="1" applyAlignment="1">
      <alignment horizontal="center" vertical="center"/>
    </xf>
    <xf numFmtId="0" fontId="21" fillId="2" borderId="0" xfId="0" applyFont="1" applyFill="1" applyAlignment="1">
      <alignment horizontal="left"/>
    </xf>
    <xf numFmtId="0" fontId="22" fillId="0" borderId="0" xfId="0" applyFont="1" applyAlignment="1">
      <alignment horizontal="right" wrapText="1"/>
    </xf>
    <xf numFmtId="0" fontId="6" fillId="0" borderId="0" xfId="0" applyFont="1" applyAlignment="1"/>
    <xf numFmtId="0" fontId="23" fillId="0" borderId="0" xfId="0" applyFont="1" applyAlignment="1">
      <alignment vertical="center"/>
    </xf>
    <xf numFmtId="0" fontId="0" fillId="3" borderId="1" xfId="0" applyFont="1" applyFill="1" applyBorder="1" applyAlignment="1">
      <alignment vertical="center"/>
    </xf>
    <xf numFmtId="0" fontId="0" fillId="3" borderId="1" xfId="0" applyFont="1" applyFill="1" applyBorder="1" applyAlignment="1">
      <alignment vertical="center" wrapText="1"/>
    </xf>
    <xf numFmtId="0" fontId="0" fillId="3" borderId="1" xfId="0" applyFont="1" applyFill="1" applyBorder="1" applyAlignment="1">
      <alignment horizontal="center" vertical="center"/>
    </xf>
    <xf numFmtId="0" fontId="23" fillId="0" borderId="0" xfId="0" applyFont="1" applyAlignment="1">
      <alignment vertical="center" wrapText="1"/>
    </xf>
    <xf numFmtId="0" fontId="16" fillId="0" borderId="0" xfId="0" applyFont="1" applyAlignment="1">
      <alignment vertical="center"/>
    </xf>
    <xf numFmtId="0" fontId="12" fillId="0" borderId="0" xfId="0" applyFont="1" applyAlignment="1"/>
    <xf numFmtId="0" fontId="12" fillId="2" borderId="1" xfId="0" applyFont="1" applyFill="1" applyBorder="1" applyAlignment="1">
      <alignment vertical="center"/>
    </xf>
    <xf numFmtId="164" fontId="12" fillId="2" borderId="1" xfId="0" applyNumberFormat="1" applyFont="1" applyFill="1" applyBorder="1" applyAlignment="1">
      <alignment horizontal="right" vertical="center" wrapText="1"/>
    </xf>
    <xf numFmtId="0" fontId="12" fillId="0" borderId="0" xfId="0" applyFont="1" applyAlignment="1">
      <alignment vertical="center" wrapText="1"/>
    </xf>
    <xf numFmtId="4" fontId="12" fillId="0" borderId="0" xfId="0" applyNumberFormat="1" applyFont="1" applyAlignment="1"/>
    <xf numFmtId="4" fontId="12" fillId="0" borderId="0" xfId="0" applyNumberFormat="1" applyFont="1" applyAlignment="1">
      <alignment vertical="center" wrapText="1"/>
    </xf>
    <xf numFmtId="49" fontId="12" fillId="0" borderId="0" xfId="0" applyNumberFormat="1" applyFont="1" applyAlignment="1">
      <alignment vertical="center" wrapText="1"/>
    </xf>
    <xf numFmtId="49" fontId="12" fillId="0" borderId="0" xfId="0" applyNumberFormat="1" applyFont="1" applyAlignment="1"/>
    <xf numFmtId="49" fontId="12" fillId="0" borderId="0" xfId="0" applyNumberFormat="1" applyFont="1" applyAlignment="1">
      <alignment vertical="center" wrapText="1"/>
    </xf>
    <xf numFmtId="164" fontId="12" fillId="2" borderId="1" xfId="0" applyNumberFormat="1" applyFont="1" applyFill="1" applyBorder="1" applyAlignment="1">
      <alignment horizontal="right" vertical="center" wrapText="1"/>
    </xf>
    <xf numFmtId="49" fontId="12" fillId="0" borderId="0" xfId="0" applyNumberFormat="1" applyFont="1" applyAlignment="1"/>
    <xf numFmtId="164" fontId="12" fillId="2" borderId="2" xfId="0" applyNumberFormat="1" applyFont="1" applyFill="1" applyBorder="1" applyAlignment="1">
      <alignment horizontal="right" vertical="center" wrapText="1"/>
    </xf>
    <xf numFmtId="165" fontId="15" fillId="0" borderId="1" xfId="0" applyNumberFormat="1" applyFont="1" applyBorder="1"/>
    <xf numFmtId="0" fontId="12" fillId="2" borderId="1" xfId="0" applyFont="1" applyFill="1" applyBorder="1" applyAlignment="1">
      <alignment vertical="center"/>
    </xf>
    <xf numFmtId="0" fontId="15" fillId="0" borderId="0" xfId="0" applyFont="1" applyAlignment="1">
      <alignment horizontal="right"/>
    </xf>
    <xf numFmtId="0" fontId="0" fillId="3" borderId="1" xfId="0" applyFont="1" applyFill="1" applyBorder="1" applyAlignment="1">
      <alignment vertical="center"/>
    </xf>
    <xf numFmtId="49" fontId="12" fillId="2" borderId="3" xfId="0" applyNumberFormat="1" applyFont="1" applyFill="1" applyBorder="1" applyAlignment="1"/>
    <xf numFmtId="49" fontId="12" fillId="2" borderId="3" xfId="0" applyNumberFormat="1" applyFont="1" applyFill="1" applyBorder="1" applyAlignment="1">
      <alignment vertical="center"/>
    </xf>
    <xf numFmtId="49" fontId="12" fillId="2" borderId="3" xfId="0" applyNumberFormat="1" applyFont="1" applyFill="1" applyBorder="1" applyAlignment="1">
      <alignment vertical="center"/>
    </xf>
    <xf numFmtId="0" fontId="8" fillId="0" borderId="0" xfId="0" applyFont="1" applyAlignment="1">
      <alignment horizontal="right" vertical="center" wrapText="1"/>
    </xf>
    <xf numFmtId="0" fontId="21" fillId="4" borderId="0" xfId="0" applyFont="1" applyFill="1" applyAlignment="1">
      <alignment horizontal="left"/>
    </xf>
    <xf numFmtId="0" fontId="22" fillId="4" borderId="0" xfId="0" applyFont="1" applyFill="1" applyAlignment="1">
      <alignment wrapText="1"/>
    </xf>
    <xf numFmtId="0" fontId="24" fillId="2" borderId="0" xfId="0" applyFont="1" applyFill="1" applyAlignment="1">
      <alignment horizontal="left"/>
    </xf>
    <xf numFmtId="0" fontId="0" fillId="3" borderId="4" xfId="0" applyFont="1" applyFill="1" applyBorder="1" applyAlignment="1">
      <alignment vertical="center"/>
    </xf>
    <xf numFmtId="0" fontId="21" fillId="2" borderId="1" xfId="0" applyFont="1" applyFill="1" applyBorder="1" applyAlignment="1">
      <alignment horizontal="left"/>
    </xf>
    <xf numFmtId="0" fontId="12" fillId="2" borderId="5" xfId="0" applyFont="1" applyFill="1" applyBorder="1" applyAlignment="1">
      <alignment vertical="center"/>
    </xf>
    <xf numFmtId="0" fontId="25" fillId="0" borderId="0" xfId="0" applyFont="1" applyAlignment="1"/>
    <xf numFmtId="0" fontId="1" fillId="0" borderId="0" xfId="0" applyFont="1" applyAlignment="1">
      <alignment vertical="center"/>
    </xf>
    <xf numFmtId="0" fontId="15" fillId="0" borderId="0" xfId="0" applyFont="1" applyAlignment="1">
      <alignment vertical="center"/>
    </xf>
    <xf numFmtId="0" fontId="1" fillId="4" borderId="0" xfId="0" applyFont="1" applyFill="1" applyAlignment="1"/>
    <xf numFmtId="166" fontId="15" fillId="0" borderId="6" xfId="0" applyNumberFormat="1" applyFont="1" applyBorder="1" applyAlignment="1">
      <alignment horizontal="left"/>
    </xf>
    <xf numFmtId="0" fontId="15" fillId="0" borderId="7" xfId="0" applyFont="1" applyBorder="1" applyAlignment="1"/>
    <xf numFmtId="165" fontId="15" fillId="0" borderId="7" xfId="0" applyNumberFormat="1" applyFont="1" applyBorder="1" applyAlignment="1"/>
    <xf numFmtId="0" fontId="15" fillId="0" borderId="7" xfId="0" applyFont="1" applyBorder="1" applyAlignment="1">
      <alignment horizontal="right"/>
    </xf>
    <xf numFmtId="0" fontId="15" fillId="0" borderId="0" xfId="0" applyFont="1" applyAlignment="1"/>
    <xf numFmtId="0" fontId="26" fillId="0" borderId="7" xfId="0" applyFont="1" applyBorder="1" applyAlignment="1"/>
    <xf numFmtId="165" fontId="26" fillId="0" borderId="7" xfId="0" applyNumberFormat="1" applyFont="1" applyBorder="1" applyAlignment="1"/>
    <xf numFmtId="0" fontId="26" fillId="0" borderId="7" xfId="0" applyFont="1" applyBorder="1" applyAlignment="1">
      <alignment horizontal="right"/>
    </xf>
    <xf numFmtId="0" fontId="27" fillId="0" borderId="0" xfId="0" applyFont="1" applyAlignment="1"/>
    <xf numFmtId="0" fontId="15" fillId="0" borderId="0" xfId="0" applyFont="1" applyAlignment="1">
      <alignment horizontal="right"/>
    </xf>
    <xf numFmtId="165" fontId="15" fillId="0" borderId="0" xfId="0" applyNumberFormat="1" applyFont="1" applyAlignment="1"/>
    <xf numFmtId="0" fontId="15" fillId="0" borderId="7" xfId="0" applyFont="1" applyBorder="1"/>
    <xf numFmtId="0" fontId="28" fillId="0" borderId="0" xfId="0" applyFont="1" applyAlignment="1"/>
    <xf numFmtId="0" fontId="28" fillId="0" borderId="0" xfId="0" applyFont="1"/>
    <xf numFmtId="165" fontId="28" fillId="0" borderId="0" xfId="0" applyNumberFormat="1" applyFont="1"/>
    <xf numFmtId="0" fontId="28" fillId="0" borderId="0" xfId="0" applyFont="1" applyAlignment="1">
      <alignment horizontal="right"/>
    </xf>
    <xf numFmtId="165" fontId="28" fillId="0" borderId="0" xfId="0" applyNumberFormat="1" applyFont="1" applyAlignment="1"/>
    <xf numFmtId="165" fontId="15" fillId="0" borderId="0" xfId="0" applyNumberFormat="1" applyFont="1" applyAlignment="1"/>
    <xf numFmtId="165" fontId="21" fillId="2" borderId="0" xfId="0" applyNumberFormat="1" applyFont="1" applyFill="1" applyAlignment="1">
      <alignment horizontal="left"/>
    </xf>
    <xf numFmtId="165" fontId="15" fillId="0" borderId="0" xfId="0" applyNumberFormat="1" applyFont="1"/>
    <xf numFmtId="165" fontId="21" fillId="2" borderId="0" xfId="0" applyNumberFormat="1" applyFont="1" applyFill="1" applyAlignment="1">
      <alignment horizontal="right"/>
    </xf>
    <xf numFmtId="165" fontId="29" fillId="2" borderId="0" xfId="0" applyNumberFormat="1" applyFont="1" applyFill="1" applyAlignment="1">
      <alignment horizontal="left"/>
    </xf>
    <xf numFmtId="165" fontId="15" fillId="4" borderId="0" xfId="0" applyNumberFormat="1" applyFont="1" applyFill="1" applyAlignment="1"/>
    <xf numFmtId="0" fontId="15" fillId="4" borderId="0" xfId="0" applyFont="1" applyFill="1" applyAlignment="1">
      <alignment horizontal="right"/>
    </xf>
    <xf numFmtId="165" fontId="15" fillId="4" borderId="0" xfId="0" applyNumberFormat="1" applyFont="1" applyFill="1"/>
    <xf numFmtId="0" fontId="30" fillId="0" borderId="0" xfId="0" applyFont="1"/>
    <xf numFmtId="0" fontId="15" fillId="0" borderId="0" xfId="0" applyFont="1" applyAlignment="1"/>
    <xf numFmtId="165" fontId="15" fillId="0" borderId="0" xfId="0" applyNumberFormat="1" applyFont="1" applyAlignment="1"/>
    <xf numFmtId="0" fontId="15" fillId="0" borderId="0" xfId="0" applyFont="1" applyAlignment="1">
      <alignment horizontal="right"/>
    </xf>
    <xf numFmtId="0" fontId="31" fillId="0" borderId="0" xfId="0" applyFont="1" applyAlignment="1"/>
    <xf numFmtId="0" fontId="31" fillId="0" borderId="0" xfId="0" applyFont="1"/>
    <xf numFmtId="165" fontId="31" fillId="0" borderId="0" xfId="0" applyNumberFormat="1" applyFont="1" applyAlignment="1"/>
    <xf numFmtId="0" fontId="31" fillId="0" borderId="0" xfId="0" applyFont="1" applyAlignment="1">
      <alignment horizontal="right"/>
    </xf>
    <xf numFmtId="0" fontId="15" fillId="5" borderId="0" xfId="0" applyFont="1" applyFill="1"/>
    <xf numFmtId="0" fontId="15" fillId="5" borderId="0" xfId="0" applyFont="1" applyFill="1" applyAlignment="1"/>
    <xf numFmtId="165" fontId="15" fillId="5" borderId="0" xfId="0" applyNumberFormat="1" applyFont="1" applyFill="1"/>
    <xf numFmtId="0" fontId="15" fillId="5" borderId="0" xfId="0" applyFont="1" applyFill="1" applyAlignment="1">
      <alignment horizontal="right"/>
    </xf>
    <xf numFmtId="0" fontId="1" fillId="0" borderId="0" xfId="0" applyFont="1" applyAlignment="1"/>
    <xf numFmtId="165" fontId="1" fillId="0" borderId="0" xfId="0" applyNumberFormat="1" applyFont="1" applyAlignment="1"/>
    <xf numFmtId="0" fontId="25" fillId="0" borderId="0" xfId="0" applyFont="1" applyAlignment="1"/>
    <xf numFmtId="0" fontId="15" fillId="4" borderId="0" xfId="0" applyFont="1" applyFill="1" applyAlignment="1">
      <alignment horizontal="right"/>
    </xf>
    <xf numFmtId="0" fontId="21" fillId="0" borderId="0" xfId="0" applyFont="1" applyAlignment="1"/>
    <xf numFmtId="0" fontId="15" fillId="0" borderId="0" xfId="0" applyFont="1" applyAlignment="1"/>
    <xf numFmtId="0" fontId="0" fillId="2" borderId="0" xfId="0" applyFont="1" applyFill="1" applyAlignment="1">
      <alignment horizontal="left"/>
    </xf>
    <xf numFmtId="0" fontId="0" fillId="0" borderId="0" xfId="0" applyFont="1" applyAlignment="1"/>
    <xf numFmtId="0" fontId="0" fillId="0" borderId="0" xfId="0" applyFont="1" applyAlignment="1"/>
    <xf numFmtId="0" fontId="12" fillId="2" borderId="4" xfId="0" applyFont="1" applyFill="1" applyBorder="1" applyAlignment="1">
      <alignment vertical="center"/>
    </xf>
    <xf numFmtId="49" fontId="12" fillId="2" borderId="9" xfId="0" applyNumberFormat="1" applyFont="1" applyFill="1" applyBorder="1" applyAlignment="1"/>
    <xf numFmtId="49" fontId="12" fillId="2" borderId="9" xfId="0" applyNumberFormat="1" applyFont="1" applyFill="1" applyBorder="1" applyAlignment="1">
      <alignment vertical="center"/>
    </xf>
    <xf numFmtId="164" fontId="12" fillId="2" borderId="4" xfId="0" applyNumberFormat="1" applyFont="1" applyFill="1" applyBorder="1" applyAlignment="1">
      <alignment horizontal="right" vertical="center" wrapText="1"/>
    </xf>
    <xf numFmtId="0" fontId="12" fillId="2" borderId="8" xfId="0" applyFont="1" applyFill="1" applyBorder="1" applyAlignment="1">
      <alignment vertical="center"/>
    </xf>
    <xf numFmtId="49" fontId="12" fillId="2" borderId="8" xfId="0" applyNumberFormat="1" applyFont="1" applyFill="1" applyBorder="1" applyAlignment="1"/>
    <xf numFmtId="49" fontId="12" fillId="2" borderId="8" xfId="0" applyNumberFormat="1" applyFont="1" applyFill="1" applyBorder="1" applyAlignment="1">
      <alignment vertical="center"/>
    </xf>
    <xf numFmtId="164" fontId="12" fillId="2" borderId="8" xfId="0" applyNumberFormat="1" applyFont="1" applyFill="1" applyBorder="1" applyAlignment="1">
      <alignment horizontal="right" vertical="center" wrapText="1"/>
    </xf>
    <xf numFmtId="0" fontId="37" fillId="0" borderId="8" xfId="0" applyFont="1" applyBorder="1" applyAlignment="1"/>
    <xf numFmtId="17" fontId="37" fillId="0" borderId="8" xfId="0" applyNumberFormat="1" applyFont="1" applyBorder="1" applyAlignment="1"/>
    <xf numFmtId="0" fontId="1" fillId="0" borderId="8" xfId="0" applyFont="1" applyBorder="1" applyAlignment="1"/>
    <xf numFmtId="0" fontId="1" fillId="0" borderId="8" xfId="0" applyFont="1" applyBorder="1" applyAlignment="1">
      <alignment horizontal="right"/>
    </xf>
    <xf numFmtId="0" fontId="0" fillId="3" borderId="4" xfId="0" applyFont="1" applyFill="1" applyBorder="1" applyAlignment="1">
      <alignment vertical="center" wrapText="1"/>
    </xf>
    <xf numFmtId="0" fontId="0" fillId="3" borderId="4" xfId="0" applyFont="1" applyFill="1" applyBorder="1" applyAlignment="1">
      <alignment horizontal="center" vertical="center"/>
    </xf>
    <xf numFmtId="0" fontId="0" fillId="0" borderId="8" xfId="0" applyFont="1" applyBorder="1" applyAlignment="1"/>
    <xf numFmtId="0" fontId="11" fillId="0" borderId="0" xfId="0" applyFont="1" applyAlignment="1">
      <alignment wrapText="1"/>
    </xf>
    <xf numFmtId="0" fontId="0" fillId="0" borderId="0" xfId="0" applyFont="1" applyAlignment="1"/>
    <xf numFmtId="0" fontId="21" fillId="4" borderId="0" xfId="0" applyFont="1" applyFill="1" applyAlignment="1">
      <alignment wrapText="1"/>
    </xf>
    <xf numFmtId="0" fontId="21" fillId="0" borderId="0" xfId="0" applyFont="1" applyAlignment="1">
      <alignment wrapText="1"/>
    </xf>
    <xf numFmtId="0" fontId="17" fillId="4" borderId="0" xfId="0" applyFont="1" applyFill="1" applyAlignment="1">
      <alignment vertical="top" wrapText="1"/>
    </xf>
    <xf numFmtId="0" fontId="17" fillId="0" borderId="0" xfId="0" applyFont="1" applyAlignment="1">
      <alignment vertical="top" wrapText="1"/>
    </xf>
    <xf numFmtId="0" fontId="16" fillId="4" borderId="0" xfId="0" applyFont="1" applyFill="1" applyAlignment="1">
      <alignment wrapText="1"/>
    </xf>
    <xf numFmtId="0" fontId="18" fillId="4" borderId="0" xfId="0" applyFont="1" applyFill="1" applyAlignment="1">
      <alignment wrapText="1"/>
    </xf>
    <xf numFmtId="0" fontId="20" fillId="4" borderId="0" xfId="0" applyFont="1" applyFill="1" applyAlignment="1">
      <alignment wrapText="1"/>
    </xf>
    <xf numFmtId="0" fontId="18" fillId="4" borderId="0" xfId="0" applyFont="1" applyFill="1" applyAlignment="1">
      <alignment vertical="top" wrapText="1"/>
    </xf>
    <xf numFmtId="0" fontId="0" fillId="4" borderId="0" xfId="0" applyFont="1" applyFill="1" applyAlignment="1">
      <alignment wrapText="1"/>
    </xf>
    <xf numFmtId="0" fontId="37" fillId="0" borderId="0" xfId="0" applyFont="1" applyBorder="1" applyAlignment="1"/>
    <xf numFmtId="0" fontId="0" fillId="0" borderId="0" xfId="0" applyFont="1" applyBorder="1" applyAlignment="1"/>
    <xf numFmtId="0" fontId="1" fillId="2" borderId="1" xfId="0" applyFont="1" applyFill="1" applyBorder="1" applyAlignment="1">
      <alignment vertical="center"/>
    </xf>
    <xf numFmtId="0" fontId="38" fillId="0" borderId="8" xfId="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2085975</xdr:colOff>
      <xdr:row>11</xdr:row>
      <xdr:rowOff>152400</xdr:rowOff>
    </xdr:from>
    <xdr:ext cx="2009775" cy="19716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emergeaquaponics.com/"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pca.bc.ca/programs-services/certifications-accreditation/spca-certified/" TargetMode="External"/><Relationship Id="rId2" Type="http://schemas.openxmlformats.org/officeDocument/2006/relationships/hyperlink" Target="https://www.rspcaassured.org.uk/" TargetMode="External"/><Relationship Id="rId1" Type="http://schemas.openxmlformats.org/officeDocument/2006/relationships/hyperlink" Target="https://rspcaapproved.org.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2"/>
  <sheetViews>
    <sheetView showGridLines="0" workbookViewId="0">
      <selection activeCell="H3" sqref="H3"/>
    </sheetView>
  </sheetViews>
  <sheetFormatPr baseColWidth="10" defaultColWidth="14.5" defaultRowHeight="15.75" customHeight="1"/>
  <cols>
    <col min="1" max="1" width="4" customWidth="1"/>
    <col min="2" max="2" width="95.1640625" customWidth="1"/>
    <col min="3" max="3" width="4.33203125" customWidth="1"/>
  </cols>
  <sheetData>
    <row r="1" spans="1:26" ht="13">
      <c r="A1" s="1"/>
      <c r="B1" s="2"/>
      <c r="C1" s="3"/>
      <c r="D1" s="3"/>
      <c r="E1" s="3"/>
      <c r="F1" s="3"/>
      <c r="G1" s="3"/>
      <c r="H1" s="3"/>
      <c r="I1" s="3"/>
      <c r="J1" s="3"/>
      <c r="K1" s="3"/>
      <c r="L1" s="3"/>
      <c r="M1" s="3"/>
      <c r="N1" s="3"/>
      <c r="O1" s="3"/>
      <c r="P1" s="3"/>
      <c r="Q1" s="3"/>
      <c r="R1" s="3"/>
      <c r="S1" s="3"/>
      <c r="T1" s="3"/>
      <c r="U1" s="3"/>
      <c r="V1" s="3"/>
      <c r="W1" s="3"/>
      <c r="X1" s="3"/>
      <c r="Y1" s="3"/>
      <c r="Z1" s="3"/>
    </row>
    <row r="2" spans="1:26" ht="25">
      <c r="A2" s="3"/>
      <c r="B2" s="4" t="s">
        <v>0</v>
      </c>
      <c r="C2" s="5"/>
      <c r="D2" s="5"/>
      <c r="E2" s="5"/>
      <c r="F2" s="5"/>
      <c r="G2" s="5"/>
      <c r="H2" s="5"/>
      <c r="I2" s="5"/>
      <c r="J2" s="3"/>
      <c r="K2" s="3"/>
      <c r="L2" s="3"/>
      <c r="M2" s="3"/>
      <c r="N2" s="3"/>
      <c r="O2" s="3"/>
      <c r="P2" s="3"/>
      <c r="Q2" s="3"/>
      <c r="R2" s="3"/>
      <c r="S2" s="3"/>
      <c r="T2" s="3"/>
      <c r="U2" s="3"/>
      <c r="V2" s="3"/>
      <c r="W2" s="3"/>
      <c r="X2" s="3"/>
      <c r="Y2" s="3"/>
      <c r="Z2" s="3"/>
    </row>
    <row r="3" spans="1:26" ht="13">
      <c r="A3" s="3"/>
      <c r="B3" s="2"/>
      <c r="C3" s="3"/>
      <c r="D3" s="3"/>
      <c r="E3" s="3"/>
      <c r="F3" s="3"/>
      <c r="G3" s="3"/>
      <c r="H3" s="3"/>
      <c r="I3" s="3"/>
      <c r="J3" s="3"/>
      <c r="K3" s="3"/>
      <c r="L3" s="3"/>
      <c r="M3" s="3"/>
      <c r="N3" s="3"/>
      <c r="O3" s="3"/>
      <c r="P3" s="3"/>
      <c r="Q3" s="3"/>
      <c r="R3" s="3"/>
      <c r="S3" s="3"/>
      <c r="T3" s="3"/>
      <c r="U3" s="3"/>
      <c r="V3" s="3"/>
      <c r="W3" s="3"/>
      <c r="X3" s="3"/>
      <c r="Y3" s="3"/>
      <c r="Z3" s="3"/>
    </row>
    <row r="4" spans="1:26" ht="38">
      <c r="A4" s="3"/>
      <c r="B4" s="6" t="s">
        <v>1</v>
      </c>
      <c r="C4" s="3"/>
      <c r="D4" s="3"/>
      <c r="E4" s="3"/>
      <c r="F4" s="3"/>
      <c r="G4" s="3"/>
      <c r="H4" s="3"/>
      <c r="I4" s="3"/>
      <c r="J4" s="3"/>
      <c r="K4" s="3"/>
      <c r="L4" s="3"/>
      <c r="M4" s="3"/>
      <c r="N4" s="3"/>
      <c r="O4" s="3"/>
      <c r="P4" s="3"/>
      <c r="Q4" s="3"/>
      <c r="R4" s="3"/>
      <c r="S4" s="3"/>
      <c r="T4" s="3"/>
      <c r="U4" s="3"/>
      <c r="V4" s="3"/>
      <c r="W4" s="3"/>
      <c r="X4" s="3"/>
      <c r="Y4" s="3"/>
      <c r="Z4" s="3"/>
    </row>
    <row r="5" spans="1:26" ht="13">
      <c r="A5" s="3"/>
      <c r="B5" s="2"/>
      <c r="C5" s="3"/>
      <c r="D5" s="3"/>
      <c r="E5" s="3"/>
      <c r="F5" s="3"/>
      <c r="G5" s="3"/>
      <c r="H5" s="3"/>
      <c r="I5" s="3"/>
      <c r="J5" s="3"/>
      <c r="K5" s="3"/>
      <c r="L5" s="3"/>
      <c r="M5" s="3"/>
      <c r="N5" s="3"/>
      <c r="O5" s="3"/>
      <c r="P5" s="3"/>
      <c r="Q5" s="3"/>
      <c r="R5" s="3"/>
      <c r="S5" s="3"/>
      <c r="T5" s="3"/>
      <c r="U5" s="3"/>
      <c r="V5" s="3"/>
      <c r="W5" s="3"/>
      <c r="X5" s="3"/>
      <c r="Y5" s="3"/>
      <c r="Z5" s="3"/>
    </row>
    <row r="6" spans="1:26" ht="19">
      <c r="A6" s="3"/>
      <c r="B6" s="7" t="s">
        <v>2</v>
      </c>
      <c r="C6" s="3"/>
      <c r="D6" s="3"/>
      <c r="E6" s="3"/>
      <c r="F6" s="3"/>
      <c r="G6" s="3"/>
      <c r="H6" s="3"/>
      <c r="I6" s="3"/>
      <c r="J6" s="3"/>
      <c r="K6" s="3"/>
      <c r="L6" s="3"/>
      <c r="M6" s="3"/>
      <c r="N6" s="3"/>
      <c r="O6" s="3"/>
      <c r="P6" s="3"/>
      <c r="Q6" s="3"/>
      <c r="R6" s="3"/>
      <c r="S6" s="3"/>
      <c r="T6" s="3"/>
      <c r="U6" s="3"/>
      <c r="V6" s="3"/>
      <c r="W6" s="3"/>
      <c r="X6" s="3"/>
      <c r="Y6" s="3"/>
      <c r="Z6" s="3"/>
    </row>
    <row r="7" spans="1:26" ht="13">
      <c r="A7" s="3"/>
      <c r="B7" s="8"/>
      <c r="C7" s="3"/>
      <c r="D7" s="3"/>
      <c r="E7" s="3"/>
      <c r="F7" s="3"/>
      <c r="G7" s="3"/>
      <c r="H7" s="3"/>
      <c r="I7" s="3"/>
      <c r="J7" s="3"/>
      <c r="K7" s="3"/>
      <c r="L7" s="3"/>
      <c r="M7" s="3"/>
      <c r="N7" s="3"/>
      <c r="O7" s="3"/>
      <c r="P7" s="3"/>
      <c r="Q7" s="3"/>
      <c r="R7" s="3"/>
      <c r="S7" s="3"/>
      <c r="T7" s="3"/>
      <c r="U7" s="3"/>
      <c r="V7" s="3"/>
      <c r="W7" s="3"/>
      <c r="X7" s="3"/>
      <c r="Y7" s="3"/>
      <c r="Z7" s="3"/>
    </row>
    <row r="8" spans="1:26" ht="18">
      <c r="A8" s="3"/>
      <c r="B8" s="9" t="s">
        <v>3</v>
      </c>
      <c r="C8" s="3"/>
      <c r="D8" s="3"/>
      <c r="E8" s="3"/>
      <c r="F8" s="3"/>
      <c r="G8" s="3"/>
      <c r="H8" s="3"/>
      <c r="I8" s="3"/>
      <c r="J8" s="3"/>
      <c r="K8" s="3"/>
      <c r="L8" s="3"/>
      <c r="M8" s="3"/>
      <c r="N8" s="3"/>
      <c r="O8" s="3"/>
      <c r="P8" s="3"/>
      <c r="Q8" s="3"/>
      <c r="R8" s="3"/>
      <c r="S8" s="3"/>
      <c r="T8" s="3"/>
      <c r="U8" s="3"/>
      <c r="V8" s="3"/>
      <c r="W8" s="3"/>
      <c r="X8" s="3"/>
      <c r="Y8" s="3"/>
      <c r="Z8" s="3"/>
    </row>
    <row r="9" spans="1:26" ht="19">
      <c r="A9" s="3"/>
      <c r="B9" s="10" t="s">
        <v>4</v>
      </c>
      <c r="C9" s="3"/>
      <c r="D9" s="3"/>
      <c r="E9" s="3"/>
      <c r="F9" s="3"/>
      <c r="G9" s="3"/>
      <c r="H9" s="3"/>
      <c r="I9" s="3"/>
      <c r="J9" s="3"/>
      <c r="K9" s="3"/>
      <c r="L9" s="3"/>
      <c r="M9" s="3"/>
      <c r="N9" s="3"/>
      <c r="O9" s="3"/>
      <c r="P9" s="3"/>
      <c r="Q9" s="3"/>
      <c r="R9" s="3"/>
      <c r="S9" s="3"/>
      <c r="T9" s="3"/>
      <c r="U9" s="3"/>
      <c r="V9" s="3"/>
      <c r="W9" s="3"/>
      <c r="X9" s="3"/>
      <c r="Y9" s="3"/>
      <c r="Z9" s="3"/>
    </row>
    <row r="10" spans="1:26" ht="19">
      <c r="A10" s="3"/>
      <c r="B10" s="11" t="s">
        <v>5</v>
      </c>
      <c r="C10" s="3"/>
      <c r="D10" s="3"/>
      <c r="E10" s="3"/>
      <c r="F10" s="3"/>
      <c r="G10" s="3"/>
      <c r="H10" s="3"/>
      <c r="I10" s="3"/>
      <c r="J10" s="3"/>
      <c r="K10" s="3"/>
      <c r="L10" s="3"/>
      <c r="M10" s="3"/>
      <c r="N10" s="3"/>
      <c r="O10" s="3"/>
      <c r="P10" s="3"/>
      <c r="Q10" s="3"/>
      <c r="R10" s="3"/>
      <c r="S10" s="3"/>
      <c r="T10" s="3"/>
      <c r="U10" s="3"/>
      <c r="V10" s="3"/>
      <c r="W10" s="3"/>
      <c r="X10" s="3"/>
      <c r="Y10" s="3"/>
      <c r="Z10" s="3"/>
    </row>
    <row r="11" spans="1:26" ht="13">
      <c r="A11" s="3"/>
      <c r="B11" s="2"/>
      <c r="C11" s="3"/>
      <c r="D11" s="3"/>
      <c r="E11" s="3"/>
      <c r="F11" s="3"/>
      <c r="G11" s="3"/>
      <c r="H11" s="3"/>
      <c r="I11" s="3"/>
      <c r="J11" s="3"/>
      <c r="K11" s="3"/>
      <c r="L11" s="3"/>
      <c r="M11" s="3"/>
      <c r="N11" s="3"/>
      <c r="O11" s="3"/>
      <c r="P11" s="3"/>
      <c r="Q11" s="3"/>
      <c r="R11" s="3"/>
      <c r="S11" s="3"/>
      <c r="T11" s="3"/>
      <c r="U11" s="3"/>
      <c r="V11" s="3"/>
      <c r="W11" s="3"/>
      <c r="X11" s="3"/>
      <c r="Y11" s="3"/>
      <c r="Z11" s="3"/>
    </row>
    <row r="12" spans="1:26" ht="274.5" customHeight="1">
      <c r="A12" s="2"/>
      <c r="B12" s="2"/>
      <c r="C12" s="3"/>
      <c r="D12" s="3"/>
      <c r="E12" s="3"/>
      <c r="F12" s="3"/>
      <c r="G12" s="3"/>
      <c r="H12" s="3"/>
      <c r="I12" s="3"/>
      <c r="J12" s="3"/>
      <c r="K12" s="3"/>
      <c r="L12" s="3"/>
      <c r="M12" s="3"/>
      <c r="N12" s="3"/>
      <c r="O12" s="3"/>
      <c r="P12" s="3"/>
      <c r="Q12" s="3"/>
      <c r="R12" s="3"/>
      <c r="S12" s="3"/>
      <c r="T12" s="3"/>
      <c r="U12" s="3"/>
      <c r="V12" s="3"/>
      <c r="W12" s="3"/>
      <c r="X12" s="3"/>
      <c r="Y12" s="3"/>
      <c r="Z12" s="3"/>
    </row>
    <row r="13" spans="1:26" ht="13">
      <c r="A13" s="3"/>
      <c r="B13" s="2"/>
      <c r="C13" s="3"/>
      <c r="D13" s="3"/>
      <c r="E13" s="3"/>
      <c r="F13" s="3"/>
      <c r="G13" s="3"/>
      <c r="H13" s="3"/>
      <c r="I13" s="3"/>
      <c r="J13" s="3"/>
      <c r="K13" s="3"/>
      <c r="L13" s="3"/>
      <c r="M13" s="3"/>
      <c r="N13" s="3"/>
      <c r="O13" s="3"/>
      <c r="P13" s="3"/>
      <c r="Q13" s="3"/>
      <c r="R13" s="3"/>
      <c r="S13" s="3"/>
      <c r="T13" s="3"/>
      <c r="U13" s="3"/>
      <c r="V13" s="3"/>
      <c r="W13" s="3"/>
      <c r="X13" s="3"/>
      <c r="Y13" s="3"/>
      <c r="Z13" s="3"/>
    </row>
    <row r="14" spans="1:26" ht="13">
      <c r="A14" s="3"/>
      <c r="B14" s="2"/>
      <c r="C14" s="3"/>
      <c r="D14" s="3"/>
      <c r="E14" s="3"/>
      <c r="F14" s="3"/>
      <c r="G14" s="3"/>
      <c r="H14" s="3"/>
      <c r="I14" s="3"/>
      <c r="J14" s="3"/>
      <c r="K14" s="3"/>
      <c r="L14" s="3"/>
      <c r="M14" s="3"/>
      <c r="N14" s="3"/>
      <c r="O14" s="3"/>
      <c r="P14" s="3"/>
      <c r="Q14" s="3"/>
      <c r="R14" s="3"/>
      <c r="S14" s="3"/>
      <c r="T14" s="3"/>
      <c r="U14" s="3"/>
      <c r="V14" s="3"/>
      <c r="W14" s="3"/>
      <c r="X14" s="3"/>
      <c r="Y14" s="3"/>
      <c r="Z14" s="3"/>
    </row>
    <row r="15" spans="1:26" ht="13">
      <c r="A15" s="3"/>
      <c r="B15" s="2"/>
      <c r="C15" s="3"/>
      <c r="D15" s="3"/>
      <c r="E15" s="3"/>
      <c r="F15" s="3"/>
      <c r="G15" s="3"/>
      <c r="H15" s="3"/>
      <c r="I15" s="3"/>
      <c r="J15" s="3"/>
      <c r="K15" s="3"/>
      <c r="L15" s="3"/>
      <c r="M15" s="3"/>
      <c r="N15" s="3"/>
      <c r="O15" s="3"/>
      <c r="P15" s="3"/>
      <c r="Q15" s="3"/>
      <c r="R15" s="3"/>
      <c r="S15" s="3"/>
      <c r="T15" s="3"/>
      <c r="U15" s="3"/>
      <c r="V15" s="3"/>
      <c r="W15" s="3"/>
      <c r="X15" s="3"/>
      <c r="Y15" s="3"/>
      <c r="Z15" s="3"/>
    </row>
    <row r="16" spans="1:26" ht="13">
      <c r="A16" s="3"/>
      <c r="B16" s="2"/>
      <c r="C16" s="3"/>
      <c r="D16" s="3"/>
      <c r="E16" s="3"/>
      <c r="F16" s="3"/>
      <c r="G16" s="3"/>
      <c r="H16" s="3"/>
      <c r="I16" s="3"/>
      <c r="J16" s="3"/>
      <c r="K16" s="3"/>
      <c r="L16" s="3"/>
      <c r="M16" s="3"/>
      <c r="N16" s="3"/>
      <c r="O16" s="3"/>
      <c r="P16" s="3"/>
      <c r="Q16" s="3"/>
      <c r="R16" s="3"/>
      <c r="S16" s="3"/>
      <c r="T16" s="3"/>
      <c r="U16" s="3"/>
      <c r="V16" s="3"/>
      <c r="W16" s="3"/>
      <c r="X16" s="3"/>
      <c r="Y16" s="3"/>
      <c r="Z16" s="3"/>
    </row>
    <row r="17" spans="1:26" ht="13">
      <c r="A17" s="3"/>
      <c r="B17" s="2"/>
      <c r="C17" s="3"/>
      <c r="D17" s="3"/>
      <c r="E17" s="3"/>
      <c r="F17" s="3"/>
      <c r="G17" s="3"/>
      <c r="H17" s="3"/>
      <c r="I17" s="3"/>
      <c r="J17" s="3"/>
      <c r="K17" s="3"/>
      <c r="L17" s="3"/>
      <c r="M17" s="3"/>
      <c r="N17" s="3"/>
      <c r="O17" s="3"/>
      <c r="P17" s="3"/>
      <c r="Q17" s="3"/>
      <c r="R17" s="3"/>
      <c r="S17" s="3"/>
      <c r="T17" s="3"/>
      <c r="U17" s="3"/>
      <c r="V17" s="3"/>
      <c r="W17" s="3"/>
      <c r="X17" s="3"/>
      <c r="Y17" s="3"/>
      <c r="Z17" s="3"/>
    </row>
    <row r="18" spans="1:26" ht="13">
      <c r="A18" s="3"/>
      <c r="B18" s="2"/>
      <c r="C18" s="3"/>
      <c r="D18" s="3"/>
      <c r="E18" s="3"/>
      <c r="F18" s="3"/>
      <c r="G18" s="3"/>
      <c r="H18" s="3"/>
      <c r="I18" s="3"/>
      <c r="J18" s="3"/>
      <c r="K18" s="3"/>
      <c r="L18" s="3"/>
      <c r="M18" s="3"/>
      <c r="N18" s="3"/>
      <c r="O18" s="3"/>
      <c r="P18" s="3"/>
      <c r="Q18" s="3"/>
      <c r="R18" s="3"/>
      <c r="S18" s="3"/>
      <c r="T18" s="3"/>
      <c r="U18" s="3"/>
      <c r="V18" s="3"/>
      <c r="W18" s="3"/>
      <c r="X18" s="3"/>
      <c r="Y18" s="3"/>
      <c r="Z18" s="3"/>
    </row>
    <row r="19" spans="1:26" ht="13">
      <c r="A19" s="3"/>
      <c r="B19" s="2"/>
      <c r="C19" s="3"/>
      <c r="D19" s="3"/>
      <c r="E19" s="3"/>
      <c r="F19" s="3"/>
      <c r="G19" s="3"/>
      <c r="H19" s="3"/>
      <c r="I19" s="3"/>
      <c r="J19" s="3"/>
      <c r="K19" s="3"/>
      <c r="L19" s="3"/>
      <c r="M19" s="3"/>
      <c r="N19" s="3"/>
      <c r="O19" s="3"/>
      <c r="P19" s="3"/>
      <c r="Q19" s="3"/>
      <c r="R19" s="3"/>
      <c r="S19" s="3"/>
      <c r="T19" s="3"/>
      <c r="U19" s="3"/>
      <c r="V19" s="3"/>
      <c r="W19" s="3"/>
      <c r="X19" s="3"/>
      <c r="Y19" s="3"/>
      <c r="Z19" s="3"/>
    </row>
    <row r="20" spans="1:26" ht="13">
      <c r="A20" s="3"/>
      <c r="B20" s="2"/>
      <c r="C20" s="3"/>
      <c r="D20" s="3"/>
      <c r="E20" s="3"/>
      <c r="F20" s="3"/>
      <c r="G20" s="3"/>
      <c r="H20" s="3"/>
      <c r="I20" s="3"/>
      <c r="J20" s="3"/>
      <c r="K20" s="3"/>
      <c r="L20" s="3"/>
      <c r="M20" s="3"/>
      <c r="N20" s="3"/>
      <c r="O20" s="3"/>
      <c r="P20" s="3"/>
      <c r="Q20" s="3"/>
      <c r="R20" s="3"/>
      <c r="S20" s="3"/>
      <c r="T20" s="3"/>
      <c r="U20" s="3"/>
      <c r="V20" s="3"/>
      <c r="W20" s="3"/>
      <c r="X20" s="3"/>
      <c r="Y20" s="3"/>
      <c r="Z20" s="3"/>
    </row>
    <row r="21" spans="1:26" ht="13">
      <c r="A21" s="3"/>
      <c r="B21" s="2"/>
      <c r="C21" s="3"/>
      <c r="D21" s="3"/>
      <c r="E21" s="3"/>
      <c r="F21" s="3"/>
      <c r="G21" s="3"/>
      <c r="H21" s="3"/>
      <c r="I21" s="3"/>
      <c r="J21" s="3"/>
      <c r="K21" s="3"/>
      <c r="L21" s="3"/>
      <c r="M21" s="3"/>
      <c r="N21" s="3"/>
      <c r="O21" s="3"/>
      <c r="P21" s="3"/>
      <c r="Q21" s="3"/>
      <c r="R21" s="3"/>
      <c r="S21" s="3"/>
      <c r="T21" s="3"/>
      <c r="U21" s="3"/>
      <c r="V21" s="3"/>
      <c r="W21" s="3"/>
      <c r="X21" s="3"/>
      <c r="Y21" s="3"/>
      <c r="Z21" s="3"/>
    </row>
    <row r="22" spans="1:26" ht="13">
      <c r="A22" s="3"/>
      <c r="B22" s="2"/>
      <c r="C22" s="3"/>
      <c r="D22" s="3"/>
      <c r="E22" s="3"/>
      <c r="F22" s="3"/>
      <c r="G22" s="3"/>
      <c r="H22" s="3"/>
      <c r="I22" s="3"/>
      <c r="J22" s="3"/>
      <c r="K22" s="3"/>
      <c r="L22" s="3"/>
      <c r="M22" s="3"/>
      <c r="N22" s="3"/>
      <c r="O22" s="3"/>
      <c r="P22" s="3"/>
      <c r="Q22" s="3"/>
      <c r="R22" s="3"/>
      <c r="S22" s="3"/>
      <c r="T22" s="3"/>
      <c r="U22" s="3"/>
      <c r="V22" s="3"/>
      <c r="W22" s="3"/>
      <c r="X22" s="3"/>
      <c r="Y22" s="3"/>
      <c r="Z22" s="3"/>
    </row>
    <row r="23" spans="1:26" ht="13">
      <c r="A23" s="3"/>
      <c r="B23" s="2"/>
      <c r="C23" s="3"/>
      <c r="D23" s="3"/>
      <c r="E23" s="3"/>
      <c r="F23" s="3"/>
      <c r="G23" s="3"/>
      <c r="H23" s="3"/>
      <c r="I23" s="3"/>
      <c r="J23" s="3"/>
      <c r="K23" s="3"/>
      <c r="L23" s="3"/>
      <c r="M23" s="3"/>
      <c r="N23" s="3"/>
      <c r="O23" s="3"/>
      <c r="P23" s="3"/>
      <c r="Q23" s="3"/>
      <c r="R23" s="3"/>
      <c r="S23" s="3"/>
      <c r="T23" s="3"/>
      <c r="U23" s="3"/>
      <c r="V23" s="3"/>
      <c r="W23" s="3"/>
      <c r="X23" s="3"/>
      <c r="Y23" s="3"/>
      <c r="Z23" s="3"/>
    </row>
    <row r="24" spans="1:26" ht="13">
      <c r="A24" s="3"/>
      <c r="B24" s="2"/>
      <c r="C24" s="3"/>
      <c r="D24" s="3"/>
      <c r="E24" s="3"/>
      <c r="F24" s="3"/>
      <c r="G24" s="3"/>
      <c r="H24" s="3"/>
      <c r="I24" s="3"/>
      <c r="J24" s="3"/>
      <c r="K24" s="3"/>
      <c r="L24" s="3"/>
      <c r="M24" s="3"/>
      <c r="N24" s="3"/>
      <c r="O24" s="3"/>
      <c r="P24" s="3"/>
      <c r="Q24" s="3"/>
      <c r="R24" s="3"/>
      <c r="S24" s="3"/>
      <c r="T24" s="3"/>
      <c r="U24" s="3"/>
      <c r="V24" s="3"/>
      <c r="W24" s="3"/>
      <c r="X24" s="3"/>
      <c r="Y24" s="3"/>
      <c r="Z24" s="3"/>
    </row>
    <row r="25" spans="1:26" ht="13">
      <c r="A25" s="3"/>
      <c r="B25" s="2"/>
      <c r="C25" s="3"/>
      <c r="D25" s="3"/>
      <c r="E25" s="3"/>
      <c r="F25" s="3"/>
      <c r="G25" s="3"/>
      <c r="H25" s="3"/>
      <c r="I25" s="3"/>
      <c r="J25" s="3"/>
      <c r="K25" s="3"/>
      <c r="L25" s="3"/>
      <c r="M25" s="3"/>
      <c r="N25" s="3"/>
      <c r="O25" s="3"/>
      <c r="P25" s="3"/>
      <c r="Q25" s="3"/>
      <c r="R25" s="3"/>
      <c r="S25" s="3"/>
      <c r="T25" s="3"/>
      <c r="U25" s="3"/>
      <c r="V25" s="3"/>
      <c r="W25" s="3"/>
      <c r="X25" s="3"/>
      <c r="Y25" s="3"/>
      <c r="Z25" s="3"/>
    </row>
    <row r="26" spans="1:26" ht="13">
      <c r="A26" s="3"/>
      <c r="B26" s="2"/>
      <c r="C26" s="3"/>
      <c r="D26" s="3"/>
      <c r="E26" s="3"/>
      <c r="F26" s="3"/>
      <c r="G26" s="3"/>
      <c r="H26" s="3"/>
      <c r="I26" s="3"/>
      <c r="J26" s="3"/>
      <c r="K26" s="3"/>
      <c r="L26" s="3"/>
      <c r="M26" s="3"/>
      <c r="N26" s="3"/>
      <c r="O26" s="3"/>
      <c r="P26" s="3"/>
      <c r="Q26" s="3"/>
      <c r="R26" s="3"/>
      <c r="S26" s="3"/>
      <c r="T26" s="3"/>
      <c r="U26" s="3"/>
      <c r="V26" s="3"/>
      <c r="W26" s="3"/>
      <c r="X26" s="3"/>
      <c r="Y26" s="3"/>
      <c r="Z26" s="3"/>
    </row>
    <row r="27" spans="1:26" ht="13">
      <c r="A27" s="3"/>
      <c r="B27" s="2"/>
      <c r="C27" s="3"/>
      <c r="D27" s="3"/>
      <c r="E27" s="3"/>
      <c r="F27" s="3"/>
      <c r="G27" s="3"/>
      <c r="H27" s="3"/>
      <c r="I27" s="3"/>
      <c r="J27" s="3"/>
      <c r="K27" s="3"/>
      <c r="L27" s="3"/>
      <c r="M27" s="3"/>
      <c r="N27" s="3"/>
      <c r="O27" s="3"/>
      <c r="P27" s="3"/>
      <c r="Q27" s="3"/>
      <c r="R27" s="3"/>
      <c r="S27" s="3"/>
      <c r="T27" s="3"/>
      <c r="U27" s="3"/>
      <c r="V27" s="3"/>
      <c r="W27" s="3"/>
      <c r="X27" s="3"/>
      <c r="Y27" s="3"/>
      <c r="Z27" s="3"/>
    </row>
    <row r="28" spans="1:26" ht="13">
      <c r="A28" s="3"/>
      <c r="B28" s="2"/>
      <c r="C28" s="3"/>
      <c r="D28" s="3"/>
      <c r="E28" s="3"/>
      <c r="F28" s="3"/>
      <c r="G28" s="3"/>
      <c r="H28" s="3"/>
      <c r="I28" s="3"/>
      <c r="J28" s="3"/>
      <c r="K28" s="3"/>
      <c r="L28" s="3"/>
      <c r="M28" s="3"/>
      <c r="N28" s="3"/>
      <c r="O28" s="3"/>
      <c r="P28" s="3"/>
      <c r="Q28" s="3"/>
      <c r="R28" s="3"/>
      <c r="S28" s="3"/>
      <c r="T28" s="3"/>
      <c r="U28" s="3"/>
      <c r="V28" s="3"/>
      <c r="W28" s="3"/>
      <c r="X28" s="3"/>
      <c r="Y28" s="3"/>
      <c r="Z28" s="3"/>
    </row>
    <row r="29" spans="1:26" ht="13">
      <c r="A29" s="3"/>
      <c r="B29" s="2"/>
      <c r="C29" s="3"/>
      <c r="D29" s="3"/>
      <c r="E29" s="3"/>
      <c r="F29" s="3"/>
      <c r="G29" s="3"/>
      <c r="H29" s="3"/>
      <c r="I29" s="3"/>
      <c r="J29" s="3"/>
      <c r="K29" s="3"/>
      <c r="L29" s="3"/>
      <c r="M29" s="3"/>
      <c r="N29" s="3"/>
      <c r="O29" s="3"/>
      <c r="P29" s="3"/>
      <c r="Q29" s="3"/>
      <c r="R29" s="3"/>
      <c r="S29" s="3"/>
      <c r="T29" s="3"/>
      <c r="U29" s="3"/>
      <c r="V29" s="3"/>
      <c r="W29" s="3"/>
      <c r="X29" s="3"/>
      <c r="Y29" s="3"/>
      <c r="Z29" s="3"/>
    </row>
    <row r="30" spans="1:26" ht="13">
      <c r="A30" s="3"/>
      <c r="B30" s="2"/>
      <c r="C30" s="3"/>
      <c r="D30" s="3"/>
      <c r="E30" s="3"/>
      <c r="F30" s="3"/>
      <c r="G30" s="3"/>
      <c r="H30" s="3"/>
      <c r="I30" s="3"/>
      <c r="J30" s="3"/>
      <c r="K30" s="3"/>
      <c r="L30" s="3"/>
      <c r="M30" s="3"/>
      <c r="N30" s="3"/>
      <c r="O30" s="3"/>
      <c r="P30" s="3"/>
      <c r="Q30" s="3"/>
      <c r="R30" s="3"/>
      <c r="S30" s="3"/>
      <c r="T30" s="3"/>
      <c r="U30" s="3"/>
      <c r="V30" s="3"/>
      <c r="W30" s="3"/>
      <c r="X30" s="3"/>
      <c r="Y30" s="3"/>
      <c r="Z30" s="3"/>
    </row>
    <row r="31" spans="1:26" ht="13">
      <c r="A31" s="3"/>
      <c r="B31" s="2"/>
      <c r="C31" s="3"/>
      <c r="D31" s="3"/>
      <c r="E31" s="3"/>
      <c r="F31" s="3"/>
      <c r="G31" s="3"/>
      <c r="H31" s="3"/>
      <c r="I31" s="3"/>
      <c r="J31" s="3"/>
      <c r="K31" s="3"/>
      <c r="L31" s="3"/>
      <c r="M31" s="3"/>
      <c r="N31" s="3"/>
      <c r="O31" s="3"/>
      <c r="P31" s="3"/>
      <c r="Q31" s="3"/>
      <c r="R31" s="3"/>
      <c r="S31" s="3"/>
      <c r="T31" s="3"/>
      <c r="U31" s="3"/>
      <c r="V31" s="3"/>
      <c r="W31" s="3"/>
      <c r="X31" s="3"/>
      <c r="Y31" s="3"/>
      <c r="Z31" s="3"/>
    </row>
    <row r="32" spans="1:26" ht="13">
      <c r="A32" s="3"/>
      <c r="B32" s="2"/>
      <c r="C32" s="3"/>
      <c r="D32" s="3"/>
      <c r="E32" s="3"/>
      <c r="F32" s="3"/>
      <c r="G32" s="3"/>
      <c r="H32" s="3"/>
      <c r="I32" s="3"/>
      <c r="J32" s="3"/>
      <c r="K32" s="3"/>
      <c r="L32" s="3"/>
      <c r="M32" s="3"/>
      <c r="N32" s="3"/>
      <c r="O32" s="3"/>
      <c r="P32" s="3"/>
      <c r="Q32" s="3"/>
      <c r="R32" s="3"/>
      <c r="S32" s="3"/>
      <c r="T32" s="3"/>
      <c r="U32" s="3"/>
      <c r="V32" s="3"/>
      <c r="W32" s="3"/>
      <c r="X32" s="3"/>
      <c r="Y32" s="3"/>
      <c r="Z32" s="3"/>
    </row>
    <row r="33" spans="1:26" ht="13">
      <c r="A33" s="3"/>
      <c r="B33" s="2"/>
      <c r="C33" s="3"/>
      <c r="D33" s="3"/>
      <c r="E33" s="3"/>
      <c r="F33" s="3"/>
      <c r="G33" s="3"/>
      <c r="H33" s="3"/>
      <c r="I33" s="3"/>
      <c r="J33" s="3"/>
      <c r="K33" s="3"/>
      <c r="L33" s="3"/>
      <c r="M33" s="3"/>
      <c r="N33" s="3"/>
      <c r="O33" s="3"/>
      <c r="P33" s="3"/>
      <c r="Q33" s="3"/>
      <c r="R33" s="3"/>
      <c r="S33" s="3"/>
      <c r="T33" s="3"/>
      <c r="U33" s="3"/>
      <c r="V33" s="3"/>
      <c r="W33" s="3"/>
      <c r="X33" s="3"/>
      <c r="Y33" s="3"/>
      <c r="Z33" s="3"/>
    </row>
    <row r="34" spans="1:26" ht="13">
      <c r="A34" s="3"/>
      <c r="B34" s="2"/>
      <c r="C34" s="3"/>
      <c r="D34" s="3"/>
      <c r="E34" s="3"/>
      <c r="F34" s="3"/>
      <c r="G34" s="3"/>
      <c r="H34" s="3"/>
      <c r="I34" s="3"/>
      <c r="J34" s="3"/>
      <c r="K34" s="3"/>
      <c r="L34" s="3"/>
      <c r="M34" s="3"/>
      <c r="N34" s="3"/>
      <c r="O34" s="3"/>
      <c r="P34" s="3"/>
      <c r="Q34" s="3"/>
      <c r="R34" s="3"/>
      <c r="S34" s="3"/>
      <c r="T34" s="3"/>
      <c r="U34" s="3"/>
      <c r="V34" s="3"/>
      <c r="W34" s="3"/>
      <c r="X34" s="3"/>
      <c r="Y34" s="3"/>
      <c r="Z34" s="3"/>
    </row>
    <row r="35" spans="1:26" ht="13">
      <c r="A35" s="3"/>
      <c r="B35" s="2"/>
      <c r="C35" s="3"/>
      <c r="D35" s="3"/>
      <c r="E35" s="3"/>
      <c r="F35" s="3"/>
      <c r="G35" s="3"/>
      <c r="H35" s="3"/>
      <c r="I35" s="3"/>
      <c r="J35" s="3"/>
      <c r="K35" s="3"/>
      <c r="L35" s="3"/>
      <c r="M35" s="3"/>
      <c r="N35" s="3"/>
      <c r="O35" s="3"/>
      <c r="P35" s="3"/>
      <c r="Q35" s="3"/>
      <c r="R35" s="3"/>
      <c r="S35" s="3"/>
      <c r="T35" s="3"/>
      <c r="U35" s="3"/>
      <c r="V35" s="3"/>
      <c r="W35" s="3"/>
      <c r="X35" s="3"/>
      <c r="Y35" s="3"/>
      <c r="Z35" s="3"/>
    </row>
    <row r="36" spans="1:26" ht="13">
      <c r="A36" s="3"/>
      <c r="B36" s="2"/>
      <c r="C36" s="3"/>
      <c r="D36" s="3"/>
      <c r="E36" s="3"/>
      <c r="F36" s="3"/>
      <c r="G36" s="3"/>
      <c r="H36" s="3"/>
      <c r="I36" s="3"/>
      <c r="J36" s="3"/>
      <c r="K36" s="3"/>
      <c r="L36" s="3"/>
      <c r="M36" s="3"/>
      <c r="N36" s="3"/>
      <c r="O36" s="3"/>
      <c r="P36" s="3"/>
      <c r="Q36" s="3"/>
      <c r="R36" s="3"/>
      <c r="S36" s="3"/>
      <c r="T36" s="3"/>
      <c r="U36" s="3"/>
      <c r="V36" s="3"/>
      <c r="W36" s="3"/>
      <c r="X36" s="3"/>
      <c r="Y36" s="3"/>
      <c r="Z36" s="3"/>
    </row>
    <row r="37" spans="1:26" ht="13">
      <c r="A37" s="3"/>
      <c r="B37" s="2"/>
      <c r="C37" s="3"/>
      <c r="D37" s="3"/>
      <c r="E37" s="3"/>
      <c r="F37" s="3"/>
      <c r="G37" s="3"/>
      <c r="H37" s="3"/>
      <c r="I37" s="3"/>
      <c r="J37" s="3"/>
      <c r="K37" s="3"/>
      <c r="L37" s="3"/>
      <c r="M37" s="3"/>
      <c r="N37" s="3"/>
      <c r="O37" s="3"/>
      <c r="P37" s="3"/>
      <c r="Q37" s="3"/>
      <c r="R37" s="3"/>
      <c r="S37" s="3"/>
      <c r="T37" s="3"/>
      <c r="U37" s="3"/>
      <c r="V37" s="3"/>
      <c r="W37" s="3"/>
      <c r="X37" s="3"/>
      <c r="Y37" s="3"/>
      <c r="Z37" s="3"/>
    </row>
    <row r="38" spans="1:26" ht="13">
      <c r="A38" s="3"/>
      <c r="B38" s="2"/>
      <c r="C38" s="3"/>
      <c r="D38" s="3"/>
      <c r="E38" s="3"/>
      <c r="F38" s="3"/>
      <c r="G38" s="3"/>
      <c r="H38" s="3"/>
      <c r="I38" s="3"/>
      <c r="J38" s="3"/>
      <c r="K38" s="3"/>
      <c r="L38" s="3"/>
      <c r="M38" s="3"/>
      <c r="N38" s="3"/>
      <c r="O38" s="3"/>
      <c r="P38" s="3"/>
      <c r="Q38" s="3"/>
      <c r="R38" s="3"/>
      <c r="S38" s="3"/>
      <c r="T38" s="3"/>
      <c r="U38" s="3"/>
      <c r="V38" s="3"/>
      <c r="W38" s="3"/>
      <c r="X38" s="3"/>
      <c r="Y38" s="3"/>
      <c r="Z38" s="3"/>
    </row>
    <row r="39" spans="1:26" ht="13">
      <c r="A39" s="3"/>
      <c r="B39" s="2"/>
      <c r="C39" s="3"/>
      <c r="D39" s="3"/>
      <c r="E39" s="3"/>
      <c r="F39" s="3"/>
      <c r="G39" s="3"/>
      <c r="H39" s="3"/>
      <c r="I39" s="3"/>
      <c r="J39" s="3"/>
      <c r="K39" s="3"/>
      <c r="L39" s="3"/>
      <c r="M39" s="3"/>
      <c r="N39" s="3"/>
      <c r="O39" s="3"/>
      <c r="P39" s="3"/>
      <c r="Q39" s="3"/>
      <c r="R39" s="3"/>
      <c r="S39" s="3"/>
      <c r="T39" s="3"/>
      <c r="U39" s="3"/>
      <c r="V39" s="3"/>
      <c r="W39" s="3"/>
      <c r="X39" s="3"/>
      <c r="Y39" s="3"/>
      <c r="Z39" s="3"/>
    </row>
    <row r="40" spans="1:26" ht="13">
      <c r="A40" s="3"/>
      <c r="B40" s="2"/>
      <c r="C40" s="3"/>
      <c r="D40" s="3"/>
      <c r="E40" s="3"/>
      <c r="F40" s="3"/>
      <c r="G40" s="3"/>
      <c r="H40" s="3"/>
      <c r="I40" s="3"/>
      <c r="J40" s="3"/>
      <c r="K40" s="3"/>
      <c r="L40" s="3"/>
      <c r="M40" s="3"/>
      <c r="N40" s="3"/>
      <c r="O40" s="3"/>
      <c r="P40" s="3"/>
      <c r="Q40" s="3"/>
      <c r="R40" s="3"/>
      <c r="S40" s="3"/>
      <c r="T40" s="3"/>
      <c r="U40" s="3"/>
      <c r="V40" s="3"/>
      <c r="W40" s="3"/>
      <c r="X40" s="3"/>
      <c r="Y40" s="3"/>
      <c r="Z40" s="3"/>
    </row>
    <row r="41" spans="1:26" ht="13">
      <c r="A41" s="3"/>
      <c r="B41" s="2"/>
      <c r="C41" s="3"/>
      <c r="D41" s="3"/>
      <c r="E41" s="3"/>
      <c r="F41" s="3"/>
      <c r="G41" s="3"/>
      <c r="H41" s="3"/>
      <c r="I41" s="3"/>
      <c r="J41" s="3"/>
      <c r="K41" s="3"/>
      <c r="L41" s="3"/>
      <c r="M41" s="3"/>
      <c r="N41" s="3"/>
      <c r="O41" s="3"/>
      <c r="P41" s="3"/>
      <c r="Q41" s="3"/>
      <c r="R41" s="3"/>
      <c r="S41" s="3"/>
      <c r="T41" s="3"/>
      <c r="U41" s="3"/>
      <c r="V41" s="3"/>
      <c r="W41" s="3"/>
      <c r="X41" s="3"/>
      <c r="Y41" s="3"/>
      <c r="Z41" s="3"/>
    </row>
    <row r="42" spans="1:26" ht="13">
      <c r="A42" s="3"/>
      <c r="B42" s="2"/>
      <c r="C42" s="3"/>
      <c r="D42" s="3"/>
      <c r="E42" s="3"/>
      <c r="F42" s="3"/>
      <c r="G42" s="3"/>
      <c r="H42" s="3"/>
      <c r="I42" s="3"/>
      <c r="J42" s="3"/>
      <c r="K42" s="3"/>
      <c r="L42" s="3"/>
      <c r="M42" s="3"/>
      <c r="N42" s="3"/>
      <c r="O42" s="3"/>
      <c r="P42" s="3"/>
      <c r="Q42" s="3"/>
      <c r="R42" s="3"/>
      <c r="S42" s="3"/>
      <c r="T42" s="3"/>
      <c r="U42" s="3"/>
      <c r="V42" s="3"/>
      <c r="W42" s="3"/>
      <c r="X42" s="3"/>
      <c r="Y42" s="3"/>
      <c r="Z42" s="3"/>
    </row>
    <row r="43" spans="1:26" ht="13">
      <c r="A43" s="3"/>
      <c r="B43" s="2"/>
      <c r="C43" s="3"/>
      <c r="D43" s="3"/>
      <c r="E43" s="3"/>
      <c r="F43" s="3"/>
      <c r="G43" s="3"/>
      <c r="H43" s="3"/>
      <c r="I43" s="3"/>
      <c r="J43" s="3"/>
      <c r="K43" s="3"/>
      <c r="L43" s="3"/>
      <c r="M43" s="3"/>
      <c r="N43" s="3"/>
      <c r="O43" s="3"/>
      <c r="P43" s="3"/>
      <c r="Q43" s="3"/>
      <c r="R43" s="3"/>
      <c r="S43" s="3"/>
      <c r="T43" s="3"/>
      <c r="U43" s="3"/>
      <c r="V43" s="3"/>
      <c r="W43" s="3"/>
      <c r="X43" s="3"/>
      <c r="Y43" s="3"/>
      <c r="Z43" s="3"/>
    </row>
    <row r="44" spans="1:26" ht="13">
      <c r="A44" s="3"/>
      <c r="B44" s="2"/>
      <c r="C44" s="3"/>
      <c r="D44" s="3"/>
      <c r="E44" s="3"/>
      <c r="F44" s="3"/>
      <c r="G44" s="3"/>
      <c r="H44" s="3"/>
      <c r="I44" s="3"/>
      <c r="J44" s="3"/>
      <c r="K44" s="3"/>
      <c r="L44" s="3"/>
      <c r="M44" s="3"/>
      <c r="N44" s="3"/>
      <c r="O44" s="3"/>
      <c r="P44" s="3"/>
      <c r="Q44" s="3"/>
      <c r="R44" s="3"/>
      <c r="S44" s="3"/>
      <c r="T44" s="3"/>
      <c r="U44" s="3"/>
      <c r="V44" s="3"/>
      <c r="W44" s="3"/>
      <c r="X44" s="3"/>
      <c r="Y44" s="3"/>
      <c r="Z44" s="3"/>
    </row>
    <row r="45" spans="1:26" ht="13">
      <c r="A45" s="3"/>
      <c r="B45" s="2"/>
      <c r="C45" s="3"/>
      <c r="D45" s="3"/>
      <c r="E45" s="3"/>
      <c r="F45" s="3"/>
      <c r="G45" s="3"/>
      <c r="H45" s="3"/>
      <c r="I45" s="3"/>
      <c r="J45" s="3"/>
      <c r="K45" s="3"/>
      <c r="L45" s="3"/>
      <c r="M45" s="3"/>
      <c r="N45" s="3"/>
      <c r="O45" s="3"/>
      <c r="P45" s="3"/>
      <c r="Q45" s="3"/>
      <c r="R45" s="3"/>
      <c r="S45" s="3"/>
      <c r="T45" s="3"/>
      <c r="U45" s="3"/>
      <c r="V45" s="3"/>
      <c r="W45" s="3"/>
      <c r="X45" s="3"/>
      <c r="Y45" s="3"/>
      <c r="Z45" s="3"/>
    </row>
    <row r="46" spans="1:26" ht="13">
      <c r="A46" s="3"/>
      <c r="B46" s="2"/>
      <c r="C46" s="3"/>
      <c r="D46" s="3"/>
      <c r="E46" s="3"/>
      <c r="F46" s="3"/>
      <c r="G46" s="3"/>
      <c r="H46" s="3"/>
      <c r="I46" s="3"/>
      <c r="J46" s="3"/>
      <c r="K46" s="3"/>
      <c r="L46" s="3"/>
      <c r="M46" s="3"/>
      <c r="N46" s="3"/>
      <c r="O46" s="3"/>
      <c r="P46" s="3"/>
      <c r="Q46" s="3"/>
      <c r="R46" s="3"/>
      <c r="S46" s="3"/>
      <c r="T46" s="3"/>
      <c r="U46" s="3"/>
      <c r="V46" s="3"/>
      <c r="W46" s="3"/>
      <c r="X46" s="3"/>
      <c r="Y46" s="3"/>
      <c r="Z46" s="3"/>
    </row>
    <row r="47" spans="1:26" ht="13">
      <c r="A47" s="3"/>
      <c r="B47" s="2"/>
      <c r="C47" s="3"/>
      <c r="D47" s="3"/>
      <c r="E47" s="3"/>
      <c r="F47" s="3"/>
      <c r="G47" s="3"/>
      <c r="H47" s="3"/>
      <c r="I47" s="3"/>
      <c r="J47" s="3"/>
      <c r="K47" s="3"/>
      <c r="L47" s="3"/>
      <c r="M47" s="3"/>
      <c r="N47" s="3"/>
      <c r="O47" s="3"/>
      <c r="P47" s="3"/>
      <c r="Q47" s="3"/>
      <c r="R47" s="3"/>
      <c r="S47" s="3"/>
      <c r="T47" s="3"/>
      <c r="U47" s="3"/>
      <c r="V47" s="3"/>
      <c r="W47" s="3"/>
      <c r="X47" s="3"/>
      <c r="Y47" s="3"/>
      <c r="Z47" s="3"/>
    </row>
    <row r="48" spans="1:26" ht="13">
      <c r="A48" s="3"/>
      <c r="B48" s="2"/>
      <c r="C48" s="3"/>
      <c r="D48" s="3"/>
      <c r="E48" s="3"/>
      <c r="F48" s="3"/>
      <c r="G48" s="3"/>
      <c r="H48" s="3"/>
      <c r="I48" s="3"/>
      <c r="J48" s="3"/>
      <c r="K48" s="3"/>
      <c r="L48" s="3"/>
      <c r="M48" s="3"/>
      <c r="N48" s="3"/>
      <c r="O48" s="3"/>
      <c r="P48" s="3"/>
      <c r="Q48" s="3"/>
      <c r="R48" s="3"/>
      <c r="S48" s="3"/>
      <c r="T48" s="3"/>
      <c r="U48" s="3"/>
      <c r="V48" s="3"/>
      <c r="W48" s="3"/>
      <c r="X48" s="3"/>
      <c r="Y48" s="3"/>
      <c r="Z48" s="3"/>
    </row>
    <row r="49" spans="1:26" ht="13">
      <c r="A49" s="3"/>
      <c r="B49" s="2"/>
      <c r="C49" s="3"/>
      <c r="D49" s="3"/>
      <c r="E49" s="3"/>
      <c r="F49" s="3"/>
      <c r="G49" s="3"/>
      <c r="H49" s="3"/>
      <c r="I49" s="3"/>
      <c r="J49" s="3"/>
      <c r="K49" s="3"/>
      <c r="L49" s="3"/>
      <c r="M49" s="3"/>
      <c r="N49" s="3"/>
      <c r="O49" s="3"/>
      <c r="P49" s="3"/>
      <c r="Q49" s="3"/>
      <c r="R49" s="3"/>
      <c r="S49" s="3"/>
      <c r="T49" s="3"/>
      <c r="U49" s="3"/>
      <c r="V49" s="3"/>
      <c r="W49" s="3"/>
      <c r="X49" s="3"/>
      <c r="Y49" s="3"/>
      <c r="Z49" s="3"/>
    </row>
    <row r="50" spans="1:26" ht="13">
      <c r="A50" s="3"/>
      <c r="B50" s="2"/>
      <c r="C50" s="3"/>
      <c r="D50" s="3"/>
      <c r="E50" s="3"/>
      <c r="F50" s="3"/>
      <c r="G50" s="3"/>
      <c r="H50" s="3"/>
      <c r="I50" s="3"/>
      <c r="J50" s="3"/>
      <c r="K50" s="3"/>
      <c r="L50" s="3"/>
      <c r="M50" s="3"/>
      <c r="N50" s="3"/>
      <c r="O50" s="3"/>
      <c r="P50" s="3"/>
      <c r="Q50" s="3"/>
      <c r="R50" s="3"/>
      <c r="S50" s="3"/>
      <c r="T50" s="3"/>
      <c r="U50" s="3"/>
      <c r="V50" s="3"/>
      <c r="W50" s="3"/>
      <c r="X50" s="3"/>
      <c r="Y50" s="3"/>
      <c r="Z50" s="3"/>
    </row>
    <row r="51" spans="1:26" ht="13">
      <c r="A51" s="3"/>
      <c r="B51" s="2"/>
      <c r="C51" s="3"/>
      <c r="D51" s="3"/>
      <c r="E51" s="3"/>
      <c r="F51" s="3"/>
      <c r="G51" s="3"/>
      <c r="H51" s="3"/>
      <c r="I51" s="3"/>
      <c r="J51" s="3"/>
      <c r="K51" s="3"/>
      <c r="L51" s="3"/>
      <c r="M51" s="3"/>
      <c r="N51" s="3"/>
      <c r="O51" s="3"/>
      <c r="P51" s="3"/>
      <c r="Q51" s="3"/>
      <c r="R51" s="3"/>
      <c r="S51" s="3"/>
      <c r="T51" s="3"/>
      <c r="U51" s="3"/>
      <c r="V51" s="3"/>
      <c r="W51" s="3"/>
      <c r="X51" s="3"/>
      <c r="Y51" s="3"/>
      <c r="Z51" s="3"/>
    </row>
    <row r="52" spans="1:26" ht="13">
      <c r="A52" s="3"/>
      <c r="B52" s="2"/>
      <c r="C52" s="3"/>
      <c r="D52" s="3"/>
      <c r="E52" s="3"/>
      <c r="F52" s="3"/>
      <c r="G52" s="3"/>
      <c r="H52" s="3"/>
      <c r="I52" s="3"/>
      <c r="J52" s="3"/>
      <c r="K52" s="3"/>
      <c r="L52" s="3"/>
      <c r="M52" s="3"/>
      <c r="N52" s="3"/>
      <c r="O52" s="3"/>
      <c r="P52" s="3"/>
      <c r="Q52" s="3"/>
      <c r="R52" s="3"/>
      <c r="S52" s="3"/>
      <c r="T52" s="3"/>
      <c r="U52" s="3"/>
      <c r="V52" s="3"/>
      <c r="W52" s="3"/>
      <c r="X52" s="3"/>
      <c r="Y52" s="3"/>
      <c r="Z52" s="3"/>
    </row>
    <row r="53" spans="1:26" ht="13">
      <c r="A53" s="3"/>
      <c r="B53" s="2"/>
      <c r="C53" s="3"/>
      <c r="D53" s="3"/>
      <c r="E53" s="3"/>
      <c r="F53" s="3"/>
      <c r="G53" s="3"/>
      <c r="H53" s="3"/>
      <c r="I53" s="3"/>
      <c r="J53" s="3"/>
      <c r="K53" s="3"/>
      <c r="L53" s="3"/>
      <c r="M53" s="3"/>
      <c r="N53" s="3"/>
      <c r="O53" s="3"/>
      <c r="P53" s="3"/>
      <c r="Q53" s="3"/>
      <c r="R53" s="3"/>
      <c r="S53" s="3"/>
      <c r="T53" s="3"/>
      <c r="U53" s="3"/>
      <c r="V53" s="3"/>
      <c r="W53" s="3"/>
      <c r="X53" s="3"/>
      <c r="Y53" s="3"/>
      <c r="Z53" s="3"/>
    </row>
    <row r="54" spans="1:26" ht="13">
      <c r="A54" s="3"/>
      <c r="B54" s="2"/>
      <c r="C54" s="3"/>
      <c r="D54" s="3"/>
      <c r="E54" s="3"/>
      <c r="F54" s="3"/>
      <c r="G54" s="3"/>
      <c r="H54" s="3"/>
      <c r="I54" s="3"/>
      <c r="J54" s="3"/>
      <c r="K54" s="3"/>
      <c r="L54" s="3"/>
      <c r="M54" s="3"/>
      <c r="N54" s="3"/>
      <c r="O54" s="3"/>
      <c r="P54" s="3"/>
      <c r="Q54" s="3"/>
      <c r="R54" s="3"/>
      <c r="S54" s="3"/>
      <c r="T54" s="3"/>
      <c r="U54" s="3"/>
      <c r="V54" s="3"/>
      <c r="W54" s="3"/>
      <c r="X54" s="3"/>
      <c r="Y54" s="3"/>
      <c r="Z54" s="3"/>
    </row>
    <row r="55" spans="1:26" ht="13">
      <c r="A55" s="3"/>
      <c r="B55" s="2"/>
      <c r="C55" s="3"/>
      <c r="D55" s="3"/>
      <c r="E55" s="3"/>
      <c r="F55" s="3"/>
      <c r="G55" s="3"/>
      <c r="H55" s="3"/>
      <c r="I55" s="3"/>
      <c r="J55" s="3"/>
      <c r="K55" s="3"/>
      <c r="L55" s="3"/>
      <c r="M55" s="3"/>
      <c r="N55" s="3"/>
      <c r="O55" s="3"/>
      <c r="P55" s="3"/>
      <c r="Q55" s="3"/>
      <c r="R55" s="3"/>
      <c r="S55" s="3"/>
      <c r="T55" s="3"/>
      <c r="U55" s="3"/>
      <c r="V55" s="3"/>
      <c r="W55" s="3"/>
      <c r="X55" s="3"/>
      <c r="Y55" s="3"/>
      <c r="Z55" s="3"/>
    </row>
    <row r="56" spans="1:26" ht="13">
      <c r="A56" s="3"/>
      <c r="B56" s="2"/>
      <c r="C56" s="3"/>
      <c r="D56" s="3"/>
      <c r="E56" s="3"/>
      <c r="F56" s="3"/>
      <c r="G56" s="3"/>
      <c r="H56" s="3"/>
      <c r="I56" s="3"/>
      <c r="J56" s="3"/>
      <c r="K56" s="3"/>
      <c r="L56" s="3"/>
      <c r="M56" s="3"/>
      <c r="N56" s="3"/>
      <c r="O56" s="3"/>
      <c r="P56" s="3"/>
      <c r="Q56" s="3"/>
      <c r="R56" s="3"/>
      <c r="S56" s="3"/>
      <c r="T56" s="3"/>
      <c r="U56" s="3"/>
      <c r="V56" s="3"/>
      <c r="W56" s="3"/>
      <c r="X56" s="3"/>
      <c r="Y56" s="3"/>
      <c r="Z56" s="3"/>
    </row>
    <row r="57" spans="1:26" ht="13">
      <c r="A57" s="3"/>
      <c r="B57" s="2"/>
      <c r="C57" s="3"/>
      <c r="D57" s="3"/>
      <c r="E57" s="3"/>
      <c r="F57" s="3"/>
      <c r="G57" s="3"/>
      <c r="H57" s="3"/>
      <c r="I57" s="3"/>
      <c r="J57" s="3"/>
      <c r="K57" s="3"/>
      <c r="L57" s="3"/>
      <c r="M57" s="3"/>
      <c r="N57" s="3"/>
      <c r="O57" s="3"/>
      <c r="P57" s="3"/>
      <c r="Q57" s="3"/>
      <c r="R57" s="3"/>
      <c r="S57" s="3"/>
      <c r="T57" s="3"/>
      <c r="U57" s="3"/>
      <c r="V57" s="3"/>
      <c r="W57" s="3"/>
      <c r="X57" s="3"/>
      <c r="Y57" s="3"/>
      <c r="Z57" s="3"/>
    </row>
    <row r="58" spans="1:26" ht="13">
      <c r="A58" s="3"/>
      <c r="B58" s="2"/>
      <c r="C58" s="3"/>
      <c r="D58" s="3"/>
      <c r="E58" s="3"/>
      <c r="F58" s="3"/>
      <c r="G58" s="3"/>
      <c r="H58" s="3"/>
      <c r="I58" s="3"/>
      <c r="J58" s="3"/>
      <c r="K58" s="3"/>
      <c r="L58" s="3"/>
      <c r="M58" s="3"/>
      <c r="N58" s="3"/>
      <c r="O58" s="3"/>
      <c r="P58" s="3"/>
      <c r="Q58" s="3"/>
      <c r="R58" s="3"/>
      <c r="S58" s="3"/>
      <c r="T58" s="3"/>
      <c r="U58" s="3"/>
      <c r="V58" s="3"/>
      <c r="W58" s="3"/>
      <c r="X58" s="3"/>
      <c r="Y58" s="3"/>
      <c r="Z58" s="3"/>
    </row>
    <row r="59" spans="1:26" ht="13">
      <c r="A59" s="3"/>
      <c r="B59" s="2"/>
      <c r="C59" s="3"/>
      <c r="D59" s="3"/>
      <c r="E59" s="3"/>
      <c r="F59" s="3"/>
      <c r="G59" s="3"/>
      <c r="H59" s="3"/>
      <c r="I59" s="3"/>
      <c r="J59" s="3"/>
      <c r="K59" s="3"/>
      <c r="L59" s="3"/>
      <c r="M59" s="3"/>
      <c r="N59" s="3"/>
      <c r="O59" s="3"/>
      <c r="P59" s="3"/>
      <c r="Q59" s="3"/>
      <c r="R59" s="3"/>
      <c r="S59" s="3"/>
      <c r="T59" s="3"/>
      <c r="U59" s="3"/>
      <c r="V59" s="3"/>
      <c r="W59" s="3"/>
      <c r="X59" s="3"/>
      <c r="Y59" s="3"/>
      <c r="Z59" s="3"/>
    </row>
    <row r="60" spans="1:26" ht="13">
      <c r="A60" s="3"/>
      <c r="B60" s="2"/>
      <c r="C60" s="3"/>
      <c r="D60" s="3"/>
      <c r="E60" s="3"/>
      <c r="F60" s="3"/>
      <c r="G60" s="3"/>
      <c r="H60" s="3"/>
      <c r="I60" s="3"/>
      <c r="J60" s="3"/>
      <c r="K60" s="3"/>
      <c r="L60" s="3"/>
      <c r="M60" s="3"/>
      <c r="N60" s="3"/>
      <c r="O60" s="3"/>
      <c r="P60" s="3"/>
      <c r="Q60" s="3"/>
      <c r="R60" s="3"/>
      <c r="S60" s="3"/>
      <c r="T60" s="3"/>
      <c r="U60" s="3"/>
      <c r="V60" s="3"/>
      <c r="W60" s="3"/>
      <c r="X60" s="3"/>
      <c r="Y60" s="3"/>
      <c r="Z60" s="3"/>
    </row>
    <row r="61" spans="1:26" ht="13">
      <c r="A61" s="3"/>
      <c r="B61" s="2"/>
      <c r="C61" s="3"/>
      <c r="D61" s="3"/>
      <c r="E61" s="3"/>
      <c r="F61" s="3"/>
      <c r="G61" s="3"/>
      <c r="H61" s="3"/>
      <c r="I61" s="3"/>
      <c r="J61" s="3"/>
      <c r="K61" s="3"/>
      <c r="L61" s="3"/>
      <c r="M61" s="3"/>
      <c r="N61" s="3"/>
      <c r="O61" s="3"/>
      <c r="P61" s="3"/>
      <c r="Q61" s="3"/>
      <c r="R61" s="3"/>
      <c r="S61" s="3"/>
      <c r="T61" s="3"/>
      <c r="U61" s="3"/>
      <c r="V61" s="3"/>
      <c r="W61" s="3"/>
      <c r="X61" s="3"/>
      <c r="Y61" s="3"/>
      <c r="Z61" s="3"/>
    </row>
    <row r="62" spans="1:26" ht="13">
      <c r="A62" s="3"/>
      <c r="B62" s="2"/>
      <c r="C62" s="3"/>
      <c r="D62" s="3"/>
      <c r="E62" s="3"/>
      <c r="F62" s="3"/>
      <c r="G62" s="3"/>
      <c r="H62" s="3"/>
      <c r="I62" s="3"/>
      <c r="J62" s="3"/>
      <c r="K62" s="3"/>
      <c r="L62" s="3"/>
      <c r="M62" s="3"/>
      <c r="N62" s="3"/>
      <c r="O62" s="3"/>
      <c r="P62" s="3"/>
      <c r="Q62" s="3"/>
      <c r="R62" s="3"/>
      <c r="S62" s="3"/>
      <c r="T62" s="3"/>
      <c r="U62" s="3"/>
      <c r="V62" s="3"/>
      <c r="W62" s="3"/>
      <c r="X62" s="3"/>
      <c r="Y62" s="3"/>
      <c r="Z62" s="3"/>
    </row>
    <row r="63" spans="1:26" ht="13">
      <c r="A63" s="3"/>
      <c r="B63" s="2"/>
      <c r="C63" s="3"/>
      <c r="D63" s="3"/>
      <c r="E63" s="3"/>
      <c r="F63" s="3"/>
      <c r="G63" s="3"/>
      <c r="H63" s="3"/>
      <c r="I63" s="3"/>
      <c r="J63" s="3"/>
      <c r="K63" s="3"/>
      <c r="L63" s="3"/>
      <c r="M63" s="3"/>
      <c r="N63" s="3"/>
      <c r="O63" s="3"/>
      <c r="P63" s="3"/>
      <c r="Q63" s="3"/>
      <c r="R63" s="3"/>
      <c r="S63" s="3"/>
      <c r="T63" s="3"/>
      <c r="U63" s="3"/>
      <c r="V63" s="3"/>
      <c r="W63" s="3"/>
      <c r="X63" s="3"/>
      <c r="Y63" s="3"/>
      <c r="Z63" s="3"/>
    </row>
    <row r="64" spans="1:26" ht="13">
      <c r="A64" s="3"/>
      <c r="B64" s="2"/>
      <c r="C64" s="3"/>
      <c r="D64" s="3"/>
      <c r="E64" s="3"/>
      <c r="F64" s="3"/>
      <c r="G64" s="3"/>
      <c r="H64" s="3"/>
      <c r="I64" s="3"/>
      <c r="J64" s="3"/>
      <c r="K64" s="3"/>
      <c r="L64" s="3"/>
      <c r="M64" s="3"/>
      <c r="N64" s="3"/>
      <c r="O64" s="3"/>
      <c r="P64" s="3"/>
      <c r="Q64" s="3"/>
      <c r="R64" s="3"/>
      <c r="S64" s="3"/>
      <c r="T64" s="3"/>
      <c r="U64" s="3"/>
      <c r="V64" s="3"/>
      <c r="W64" s="3"/>
      <c r="X64" s="3"/>
      <c r="Y64" s="3"/>
      <c r="Z64" s="3"/>
    </row>
    <row r="65" spans="1:26" ht="13">
      <c r="A65" s="3"/>
      <c r="B65" s="2"/>
      <c r="C65" s="3"/>
      <c r="D65" s="3"/>
      <c r="E65" s="3"/>
      <c r="F65" s="3"/>
      <c r="G65" s="3"/>
      <c r="H65" s="3"/>
      <c r="I65" s="3"/>
      <c r="J65" s="3"/>
      <c r="K65" s="3"/>
      <c r="L65" s="3"/>
      <c r="M65" s="3"/>
      <c r="N65" s="3"/>
      <c r="O65" s="3"/>
      <c r="P65" s="3"/>
      <c r="Q65" s="3"/>
      <c r="R65" s="3"/>
      <c r="S65" s="3"/>
      <c r="T65" s="3"/>
      <c r="U65" s="3"/>
      <c r="V65" s="3"/>
      <c r="W65" s="3"/>
      <c r="X65" s="3"/>
      <c r="Y65" s="3"/>
      <c r="Z65" s="3"/>
    </row>
    <row r="66" spans="1:26" ht="13">
      <c r="A66" s="3"/>
      <c r="B66" s="2"/>
      <c r="C66" s="3"/>
      <c r="D66" s="3"/>
      <c r="E66" s="3"/>
      <c r="F66" s="3"/>
      <c r="G66" s="3"/>
      <c r="H66" s="3"/>
      <c r="I66" s="3"/>
      <c r="J66" s="3"/>
      <c r="K66" s="3"/>
      <c r="L66" s="3"/>
      <c r="M66" s="3"/>
      <c r="N66" s="3"/>
      <c r="O66" s="3"/>
      <c r="P66" s="3"/>
      <c r="Q66" s="3"/>
      <c r="R66" s="3"/>
      <c r="S66" s="3"/>
      <c r="T66" s="3"/>
      <c r="U66" s="3"/>
      <c r="V66" s="3"/>
      <c r="W66" s="3"/>
      <c r="X66" s="3"/>
      <c r="Y66" s="3"/>
      <c r="Z66" s="3"/>
    </row>
    <row r="67" spans="1:26" ht="13">
      <c r="A67" s="3"/>
      <c r="B67" s="2"/>
      <c r="C67" s="3"/>
      <c r="D67" s="3"/>
      <c r="E67" s="3"/>
      <c r="F67" s="3"/>
      <c r="G67" s="3"/>
      <c r="H67" s="3"/>
      <c r="I67" s="3"/>
      <c r="J67" s="3"/>
      <c r="K67" s="3"/>
      <c r="L67" s="3"/>
      <c r="M67" s="3"/>
      <c r="N67" s="3"/>
      <c r="O67" s="3"/>
      <c r="P67" s="3"/>
      <c r="Q67" s="3"/>
      <c r="R67" s="3"/>
      <c r="S67" s="3"/>
      <c r="T67" s="3"/>
      <c r="U67" s="3"/>
      <c r="V67" s="3"/>
      <c r="W67" s="3"/>
      <c r="X67" s="3"/>
      <c r="Y67" s="3"/>
      <c r="Z67" s="3"/>
    </row>
    <row r="68" spans="1:26" ht="13">
      <c r="A68" s="3"/>
      <c r="B68" s="2"/>
      <c r="C68" s="3"/>
      <c r="D68" s="3"/>
      <c r="E68" s="3"/>
      <c r="F68" s="3"/>
      <c r="G68" s="3"/>
      <c r="H68" s="3"/>
      <c r="I68" s="3"/>
      <c r="J68" s="3"/>
      <c r="K68" s="3"/>
      <c r="L68" s="3"/>
      <c r="M68" s="3"/>
      <c r="N68" s="3"/>
      <c r="O68" s="3"/>
      <c r="P68" s="3"/>
      <c r="Q68" s="3"/>
      <c r="R68" s="3"/>
      <c r="S68" s="3"/>
      <c r="T68" s="3"/>
      <c r="U68" s="3"/>
      <c r="V68" s="3"/>
      <c r="W68" s="3"/>
      <c r="X68" s="3"/>
      <c r="Y68" s="3"/>
      <c r="Z68" s="3"/>
    </row>
    <row r="69" spans="1:26" ht="13">
      <c r="A69" s="3"/>
      <c r="B69" s="2"/>
      <c r="C69" s="3"/>
      <c r="D69" s="3"/>
      <c r="E69" s="3"/>
      <c r="F69" s="3"/>
      <c r="G69" s="3"/>
      <c r="H69" s="3"/>
      <c r="I69" s="3"/>
      <c r="J69" s="3"/>
      <c r="K69" s="3"/>
      <c r="L69" s="3"/>
      <c r="M69" s="3"/>
      <c r="N69" s="3"/>
      <c r="O69" s="3"/>
      <c r="P69" s="3"/>
      <c r="Q69" s="3"/>
      <c r="R69" s="3"/>
      <c r="S69" s="3"/>
      <c r="T69" s="3"/>
      <c r="U69" s="3"/>
      <c r="V69" s="3"/>
      <c r="W69" s="3"/>
      <c r="X69" s="3"/>
      <c r="Y69" s="3"/>
      <c r="Z69" s="3"/>
    </row>
    <row r="70" spans="1:26" ht="13">
      <c r="A70" s="3"/>
      <c r="B70" s="2"/>
      <c r="C70" s="3"/>
      <c r="D70" s="3"/>
      <c r="E70" s="3"/>
      <c r="F70" s="3"/>
      <c r="G70" s="3"/>
      <c r="H70" s="3"/>
      <c r="I70" s="3"/>
      <c r="J70" s="3"/>
      <c r="K70" s="3"/>
      <c r="L70" s="3"/>
      <c r="M70" s="3"/>
      <c r="N70" s="3"/>
      <c r="O70" s="3"/>
      <c r="P70" s="3"/>
      <c r="Q70" s="3"/>
      <c r="R70" s="3"/>
      <c r="S70" s="3"/>
      <c r="T70" s="3"/>
      <c r="U70" s="3"/>
      <c r="V70" s="3"/>
      <c r="W70" s="3"/>
      <c r="X70" s="3"/>
      <c r="Y70" s="3"/>
      <c r="Z70" s="3"/>
    </row>
    <row r="71" spans="1:26" ht="13">
      <c r="A71" s="3"/>
      <c r="B71" s="2"/>
      <c r="C71" s="3"/>
      <c r="D71" s="3"/>
      <c r="E71" s="3"/>
      <c r="F71" s="3"/>
      <c r="G71" s="3"/>
      <c r="H71" s="3"/>
      <c r="I71" s="3"/>
      <c r="J71" s="3"/>
      <c r="K71" s="3"/>
      <c r="L71" s="3"/>
      <c r="M71" s="3"/>
      <c r="N71" s="3"/>
      <c r="O71" s="3"/>
      <c r="P71" s="3"/>
      <c r="Q71" s="3"/>
      <c r="R71" s="3"/>
      <c r="S71" s="3"/>
      <c r="T71" s="3"/>
      <c r="U71" s="3"/>
      <c r="V71" s="3"/>
      <c r="W71" s="3"/>
      <c r="X71" s="3"/>
      <c r="Y71" s="3"/>
      <c r="Z71" s="3"/>
    </row>
    <row r="72" spans="1:26" ht="13">
      <c r="A72" s="3"/>
      <c r="B72" s="2"/>
      <c r="C72" s="3"/>
      <c r="D72" s="3"/>
      <c r="E72" s="3"/>
      <c r="F72" s="3"/>
      <c r="G72" s="3"/>
      <c r="H72" s="3"/>
      <c r="I72" s="3"/>
      <c r="J72" s="3"/>
      <c r="K72" s="3"/>
      <c r="L72" s="3"/>
      <c r="M72" s="3"/>
      <c r="N72" s="3"/>
      <c r="O72" s="3"/>
      <c r="P72" s="3"/>
      <c r="Q72" s="3"/>
      <c r="R72" s="3"/>
      <c r="S72" s="3"/>
      <c r="T72" s="3"/>
      <c r="U72" s="3"/>
      <c r="V72" s="3"/>
      <c r="W72" s="3"/>
      <c r="X72" s="3"/>
      <c r="Y72" s="3"/>
      <c r="Z72" s="3"/>
    </row>
    <row r="73" spans="1:26" ht="13">
      <c r="A73" s="3"/>
      <c r="B73" s="2"/>
      <c r="C73" s="3"/>
      <c r="D73" s="3"/>
      <c r="E73" s="3"/>
      <c r="F73" s="3"/>
      <c r="G73" s="3"/>
      <c r="H73" s="3"/>
      <c r="I73" s="3"/>
      <c r="J73" s="3"/>
      <c r="K73" s="3"/>
      <c r="L73" s="3"/>
      <c r="M73" s="3"/>
      <c r="N73" s="3"/>
      <c r="O73" s="3"/>
      <c r="P73" s="3"/>
      <c r="Q73" s="3"/>
      <c r="R73" s="3"/>
      <c r="S73" s="3"/>
      <c r="T73" s="3"/>
      <c r="U73" s="3"/>
      <c r="V73" s="3"/>
      <c r="W73" s="3"/>
      <c r="X73" s="3"/>
      <c r="Y73" s="3"/>
      <c r="Z73" s="3"/>
    </row>
    <row r="74" spans="1:26" ht="13">
      <c r="A74" s="3"/>
      <c r="B74" s="2"/>
      <c r="C74" s="3"/>
      <c r="D74" s="3"/>
      <c r="E74" s="3"/>
      <c r="F74" s="3"/>
      <c r="G74" s="3"/>
      <c r="H74" s="3"/>
      <c r="I74" s="3"/>
      <c r="J74" s="3"/>
      <c r="K74" s="3"/>
      <c r="L74" s="3"/>
      <c r="M74" s="3"/>
      <c r="N74" s="3"/>
      <c r="O74" s="3"/>
      <c r="P74" s="3"/>
      <c r="Q74" s="3"/>
      <c r="R74" s="3"/>
      <c r="S74" s="3"/>
      <c r="T74" s="3"/>
      <c r="U74" s="3"/>
      <c r="V74" s="3"/>
      <c r="W74" s="3"/>
      <c r="X74" s="3"/>
      <c r="Y74" s="3"/>
      <c r="Z74" s="3"/>
    </row>
    <row r="75" spans="1:26" ht="13">
      <c r="A75" s="3"/>
      <c r="B75" s="2"/>
      <c r="C75" s="3"/>
      <c r="D75" s="3"/>
      <c r="E75" s="3"/>
      <c r="F75" s="3"/>
      <c r="G75" s="3"/>
      <c r="H75" s="3"/>
      <c r="I75" s="3"/>
      <c r="J75" s="3"/>
      <c r="K75" s="3"/>
      <c r="L75" s="3"/>
      <c r="M75" s="3"/>
      <c r="N75" s="3"/>
      <c r="O75" s="3"/>
      <c r="P75" s="3"/>
      <c r="Q75" s="3"/>
      <c r="R75" s="3"/>
      <c r="S75" s="3"/>
      <c r="T75" s="3"/>
      <c r="U75" s="3"/>
      <c r="V75" s="3"/>
      <c r="W75" s="3"/>
      <c r="X75" s="3"/>
      <c r="Y75" s="3"/>
      <c r="Z75" s="3"/>
    </row>
    <row r="76" spans="1:26" ht="13">
      <c r="A76" s="3"/>
      <c r="B76" s="2"/>
      <c r="C76" s="3"/>
      <c r="D76" s="3"/>
      <c r="E76" s="3"/>
      <c r="F76" s="3"/>
      <c r="G76" s="3"/>
      <c r="H76" s="3"/>
      <c r="I76" s="3"/>
      <c r="J76" s="3"/>
      <c r="K76" s="3"/>
      <c r="L76" s="3"/>
      <c r="M76" s="3"/>
      <c r="N76" s="3"/>
      <c r="O76" s="3"/>
      <c r="P76" s="3"/>
      <c r="Q76" s="3"/>
      <c r="R76" s="3"/>
      <c r="S76" s="3"/>
      <c r="T76" s="3"/>
      <c r="U76" s="3"/>
      <c r="V76" s="3"/>
      <c r="W76" s="3"/>
      <c r="X76" s="3"/>
      <c r="Y76" s="3"/>
      <c r="Z76" s="3"/>
    </row>
    <row r="77" spans="1:26" ht="13">
      <c r="A77" s="3"/>
      <c r="B77" s="2"/>
      <c r="C77" s="3"/>
      <c r="D77" s="3"/>
      <c r="E77" s="3"/>
      <c r="F77" s="3"/>
      <c r="G77" s="3"/>
      <c r="H77" s="3"/>
      <c r="I77" s="3"/>
      <c r="J77" s="3"/>
      <c r="K77" s="3"/>
      <c r="L77" s="3"/>
      <c r="M77" s="3"/>
      <c r="N77" s="3"/>
      <c r="O77" s="3"/>
      <c r="P77" s="3"/>
      <c r="Q77" s="3"/>
      <c r="R77" s="3"/>
      <c r="S77" s="3"/>
      <c r="T77" s="3"/>
      <c r="U77" s="3"/>
      <c r="V77" s="3"/>
      <c r="W77" s="3"/>
      <c r="X77" s="3"/>
      <c r="Y77" s="3"/>
      <c r="Z77" s="3"/>
    </row>
    <row r="78" spans="1:26" ht="13">
      <c r="A78" s="3"/>
      <c r="B78" s="2"/>
      <c r="C78" s="3"/>
      <c r="D78" s="3"/>
      <c r="E78" s="3"/>
      <c r="F78" s="3"/>
      <c r="G78" s="3"/>
      <c r="H78" s="3"/>
      <c r="I78" s="3"/>
      <c r="J78" s="3"/>
      <c r="K78" s="3"/>
      <c r="L78" s="3"/>
      <c r="M78" s="3"/>
      <c r="N78" s="3"/>
      <c r="O78" s="3"/>
      <c r="P78" s="3"/>
      <c r="Q78" s="3"/>
      <c r="R78" s="3"/>
      <c r="S78" s="3"/>
      <c r="T78" s="3"/>
      <c r="U78" s="3"/>
      <c r="V78" s="3"/>
      <c r="W78" s="3"/>
      <c r="X78" s="3"/>
      <c r="Y78" s="3"/>
      <c r="Z78" s="3"/>
    </row>
    <row r="79" spans="1:26" ht="13">
      <c r="A79" s="3"/>
      <c r="B79" s="2"/>
      <c r="C79" s="3"/>
      <c r="D79" s="3"/>
      <c r="E79" s="3"/>
      <c r="F79" s="3"/>
      <c r="G79" s="3"/>
      <c r="H79" s="3"/>
      <c r="I79" s="3"/>
      <c r="J79" s="3"/>
      <c r="K79" s="3"/>
      <c r="L79" s="3"/>
      <c r="M79" s="3"/>
      <c r="N79" s="3"/>
      <c r="O79" s="3"/>
      <c r="P79" s="3"/>
      <c r="Q79" s="3"/>
      <c r="R79" s="3"/>
      <c r="S79" s="3"/>
      <c r="T79" s="3"/>
      <c r="U79" s="3"/>
      <c r="V79" s="3"/>
      <c r="W79" s="3"/>
      <c r="X79" s="3"/>
      <c r="Y79" s="3"/>
      <c r="Z79" s="3"/>
    </row>
    <row r="80" spans="1:26" ht="13">
      <c r="A80" s="3"/>
      <c r="B80" s="2"/>
      <c r="C80" s="3"/>
      <c r="D80" s="3"/>
      <c r="E80" s="3"/>
      <c r="F80" s="3"/>
      <c r="G80" s="3"/>
      <c r="H80" s="3"/>
      <c r="I80" s="3"/>
      <c r="J80" s="3"/>
      <c r="K80" s="3"/>
      <c r="L80" s="3"/>
      <c r="M80" s="3"/>
      <c r="N80" s="3"/>
      <c r="O80" s="3"/>
      <c r="P80" s="3"/>
      <c r="Q80" s="3"/>
      <c r="R80" s="3"/>
      <c r="S80" s="3"/>
      <c r="T80" s="3"/>
      <c r="U80" s="3"/>
      <c r="V80" s="3"/>
      <c r="W80" s="3"/>
      <c r="X80" s="3"/>
      <c r="Y80" s="3"/>
      <c r="Z80" s="3"/>
    </row>
    <row r="81" spans="1:26" ht="13">
      <c r="A81" s="3"/>
      <c r="B81" s="2"/>
      <c r="C81" s="3"/>
      <c r="D81" s="3"/>
      <c r="E81" s="3"/>
      <c r="F81" s="3"/>
      <c r="G81" s="3"/>
      <c r="H81" s="3"/>
      <c r="I81" s="3"/>
      <c r="J81" s="3"/>
      <c r="K81" s="3"/>
      <c r="L81" s="3"/>
      <c r="M81" s="3"/>
      <c r="N81" s="3"/>
      <c r="O81" s="3"/>
      <c r="P81" s="3"/>
      <c r="Q81" s="3"/>
      <c r="R81" s="3"/>
      <c r="S81" s="3"/>
      <c r="T81" s="3"/>
      <c r="U81" s="3"/>
      <c r="V81" s="3"/>
      <c r="W81" s="3"/>
      <c r="X81" s="3"/>
      <c r="Y81" s="3"/>
      <c r="Z81" s="3"/>
    </row>
    <row r="82" spans="1:26" ht="13">
      <c r="A82" s="3"/>
      <c r="B82" s="2"/>
      <c r="C82" s="3"/>
      <c r="D82" s="3"/>
      <c r="E82" s="3"/>
      <c r="F82" s="3"/>
      <c r="G82" s="3"/>
      <c r="H82" s="3"/>
      <c r="I82" s="3"/>
      <c r="J82" s="3"/>
      <c r="K82" s="3"/>
      <c r="L82" s="3"/>
      <c r="M82" s="3"/>
      <c r="N82" s="3"/>
      <c r="O82" s="3"/>
      <c r="P82" s="3"/>
      <c r="Q82" s="3"/>
      <c r="R82" s="3"/>
      <c r="S82" s="3"/>
      <c r="T82" s="3"/>
      <c r="U82" s="3"/>
      <c r="V82" s="3"/>
      <c r="W82" s="3"/>
      <c r="X82" s="3"/>
      <c r="Y82" s="3"/>
      <c r="Z82" s="3"/>
    </row>
    <row r="83" spans="1:26" ht="13">
      <c r="A83" s="3"/>
      <c r="B83" s="2"/>
      <c r="C83" s="3"/>
      <c r="D83" s="3"/>
      <c r="E83" s="3"/>
      <c r="F83" s="3"/>
      <c r="G83" s="3"/>
      <c r="H83" s="3"/>
      <c r="I83" s="3"/>
      <c r="J83" s="3"/>
      <c r="K83" s="3"/>
      <c r="L83" s="3"/>
      <c r="M83" s="3"/>
      <c r="N83" s="3"/>
      <c r="O83" s="3"/>
      <c r="P83" s="3"/>
      <c r="Q83" s="3"/>
      <c r="R83" s="3"/>
      <c r="S83" s="3"/>
      <c r="T83" s="3"/>
      <c r="U83" s="3"/>
      <c r="V83" s="3"/>
      <c r="W83" s="3"/>
      <c r="X83" s="3"/>
      <c r="Y83" s="3"/>
      <c r="Z83" s="3"/>
    </row>
    <row r="84" spans="1:26" ht="13">
      <c r="A84" s="3"/>
      <c r="B84" s="2"/>
      <c r="C84" s="3"/>
      <c r="D84" s="3"/>
      <c r="E84" s="3"/>
      <c r="F84" s="3"/>
      <c r="G84" s="3"/>
      <c r="H84" s="3"/>
      <c r="I84" s="3"/>
      <c r="J84" s="3"/>
      <c r="K84" s="3"/>
      <c r="L84" s="3"/>
      <c r="M84" s="3"/>
      <c r="N84" s="3"/>
      <c r="O84" s="3"/>
      <c r="P84" s="3"/>
      <c r="Q84" s="3"/>
      <c r="R84" s="3"/>
      <c r="S84" s="3"/>
      <c r="T84" s="3"/>
      <c r="U84" s="3"/>
      <c r="V84" s="3"/>
      <c r="W84" s="3"/>
      <c r="X84" s="3"/>
      <c r="Y84" s="3"/>
      <c r="Z84" s="3"/>
    </row>
    <row r="85" spans="1:26" ht="13">
      <c r="A85" s="3"/>
      <c r="B85" s="2"/>
      <c r="C85" s="3"/>
      <c r="D85" s="3"/>
      <c r="E85" s="3"/>
      <c r="F85" s="3"/>
      <c r="G85" s="3"/>
      <c r="H85" s="3"/>
      <c r="I85" s="3"/>
      <c r="J85" s="3"/>
      <c r="K85" s="3"/>
      <c r="L85" s="3"/>
      <c r="M85" s="3"/>
      <c r="N85" s="3"/>
      <c r="O85" s="3"/>
      <c r="P85" s="3"/>
      <c r="Q85" s="3"/>
      <c r="R85" s="3"/>
      <c r="S85" s="3"/>
      <c r="T85" s="3"/>
      <c r="U85" s="3"/>
      <c r="V85" s="3"/>
      <c r="W85" s="3"/>
      <c r="X85" s="3"/>
      <c r="Y85" s="3"/>
      <c r="Z85" s="3"/>
    </row>
    <row r="86" spans="1:26" ht="13">
      <c r="A86" s="3"/>
      <c r="B86" s="2"/>
      <c r="C86" s="3"/>
      <c r="D86" s="3"/>
      <c r="E86" s="3"/>
      <c r="F86" s="3"/>
      <c r="G86" s="3"/>
      <c r="H86" s="3"/>
      <c r="I86" s="3"/>
      <c r="J86" s="3"/>
      <c r="K86" s="3"/>
      <c r="L86" s="3"/>
      <c r="M86" s="3"/>
      <c r="N86" s="3"/>
      <c r="O86" s="3"/>
      <c r="P86" s="3"/>
      <c r="Q86" s="3"/>
      <c r="R86" s="3"/>
      <c r="S86" s="3"/>
      <c r="T86" s="3"/>
      <c r="U86" s="3"/>
      <c r="V86" s="3"/>
      <c r="W86" s="3"/>
      <c r="X86" s="3"/>
      <c r="Y86" s="3"/>
      <c r="Z86" s="3"/>
    </row>
    <row r="87" spans="1:26" ht="13">
      <c r="A87" s="3"/>
      <c r="B87" s="2"/>
      <c r="C87" s="3"/>
      <c r="D87" s="3"/>
      <c r="E87" s="3"/>
      <c r="F87" s="3"/>
      <c r="G87" s="3"/>
      <c r="H87" s="3"/>
      <c r="I87" s="3"/>
      <c r="J87" s="3"/>
      <c r="K87" s="3"/>
      <c r="L87" s="3"/>
      <c r="M87" s="3"/>
      <c r="N87" s="3"/>
      <c r="O87" s="3"/>
      <c r="P87" s="3"/>
      <c r="Q87" s="3"/>
      <c r="R87" s="3"/>
      <c r="S87" s="3"/>
      <c r="T87" s="3"/>
      <c r="U87" s="3"/>
      <c r="V87" s="3"/>
      <c r="W87" s="3"/>
      <c r="X87" s="3"/>
      <c r="Y87" s="3"/>
      <c r="Z87" s="3"/>
    </row>
    <row r="88" spans="1:26" ht="13">
      <c r="A88" s="3"/>
      <c r="B88" s="2"/>
      <c r="C88" s="3"/>
      <c r="D88" s="3"/>
      <c r="E88" s="3"/>
      <c r="F88" s="3"/>
      <c r="G88" s="3"/>
      <c r="H88" s="3"/>
      <c r="I88" s="3"/>
      <c r="J88" s="3"/>
      <c r="K88" s="3"/>
      <c r="L88" s="3"/>
      <c r="M88" s="3"/>
      <c r="N88" s="3"/>
      <c r="O88" s="3"/>
      <c r="P88" s="3"/>
      <c r="Q88" s="3"/>
      <c r="R88" s="3"/>
      <c r="S88" s="3"/>
      <c r="T88" s="3"/>
      <c r="U88" s="3"/>
      <c r="V88" s="3"/>
      <c r="W88" s="3"/>
      <c r="X88" s="3"/>
      <c r="Y88" s="3"/>
      <c r="Z88" s="3"/>
    </row>
    <row r="89" spans="1:26" ht="13">
      <c r="A89" s="3"/>
      <c r="B89" s="2"/>
      <c r="C89" s="3"/>
      <c r="D89" s="3"/>
      <c r="E89" s="3"/>
      <c r="F89" s="3"/>
      <c r="G89" s="3"/>
      <c r="H89" s="3"/>
      <c r="I89" s="3"/>
      <c r="J89" s="3"/>
      <c r="K89" s="3"/>
      <c r="L89" s="3"/>
      <c r="M89" s="3"/>
      <c r="N89" s="3"/>
      <c r="O89" s="3"/>
      <c r="P89" s="3"/>
      <c r="Q89" s="3"/>
      <c r="R89" s="3"/>
      <c r="S89" s="3"/>
      <c r="T89" s="3"/>
      <c r="U89" s="3"/>
      <c r="V89" s="3"/>
      <c r="W89" s="3"/>
      <c r="X89" s="3"/>
      <c r="Y89" s="3"/>
      <c r="Z89" s="3"/>
    </row>
    <row r="90" spans="1:26" ht="13">
      <c r="A90" s="3"/>
      <c r="B90" s="2"/>
      <c r="C90" s="3"/>
      <c r="D90" s="3"/>
      <c r="E90" s="3"/>
      <c r="F90" s="3"/>
      <c r="G90" s="3"/>
      <c r="H90" s="3"/>
      <c r="I90" s="3"/>
      <c r="J90" s="3"/>
      <c r="K90" s="3"/>
      <c r="L90" s="3"/>
      <c r="M90" s="3"/>
      <c r="N90" s="3"/>
      <c r="O90" s="3"/>
      <c r="P90" s="3"/>
      <c r="Q90" s="3"/>
      <c r="R90" s="3"/>
      <c r="S90" s="3"/>
      <c r="T90" s="3"/>
      <c r="U90" s="3"/>
      <c r="V90" s="3"/>
      <c r="W90" s="3"/>
      <c r="X90" s="3"/>
      <c r="Y90" s="3"/>
      <c r="Z90" s="3"/>
    </row>
    <row r="91" spans="1:26" ht="13">
      <c r="A91" s="3"/>
      <c r="B91" s="2"/>
      <c r="C91" s="3"/>
      <c r="D91" s="3"/>
      <c r="E91" s="3"/>
      <c r="F91" s="3"/>
      <c r="G91" s="3"/>
      <c r="H91" s="3"/>
      <c r="I91" s="3"/>
      <c r="J91" s="3"/>
      <c r="K91" s="3"/>
      <c r="L91" s="3"/>
      <c r="M91" s="3"/>
      <c r="N91" s="3"/>
      <c r="O91" s="3"/>
      <c r="P91" s="3"/>
      <c r="Q91" s="3"/>
      <c r="R91" s="3"/>
      <c r="S91" s="3"/>
      <c r="T91" s="3"/>
      <c r="U91" s="3"/>
      <c r="V91" s="3"/>
      <c r="W91" s="3"/>
      <c r="X91" s="3"/>
      <c r="Y91" s="3"/>
      <c r="Z91" s="3"/>
    </row>
    <row r="92" spans="1:26" ht="13">
      <c r="A92" s="3"/>
      <c r="B92" s="2"/>
      <c r="C92" s="3"/>
      <c r="D92" s="3"/>
      <c r="E92" s="3"/>
      <c r="F92" s="3"/>
      <c r="G92" s="3"/>
      <c r="H92" s="3"/>
      <c r="I92" s="3"/>
      <c r="J92" s="3"/>
      <c r="K92" s="3"/>
      <c r="L92" s="3"/>
      <c r="M92" s="3"/>
      <c r="N92" s="3"/>
      <c r="O92" s="3"/>
      <c r="P92" s="3"/>
      <c r="Q92" s="3"/>
      <c r="R92" s="3"/>
      <c r="S92" s="3"/>
      <c r="T92" s="3"/>
      <c r="U92" s="3"/>
      <c r="V92" s="3"/>
      <c r="W92" s="3"/>
      <c r="X92" s="3"/>
      <c r="Y92" s="3"/>
      <c r="Z92" s="3"/>
    </row>
    <row r="93" spans="1:26" ht="13">
      <c r="A93" s="3"/>
      <c r="B93" s="2"/>
      <c r="C93" s="3"/>
      <c r="D93" s="3"/>
      <c r="E93" s="3"/>
      <c r="F93" s="3"/>
      <c r="G93" s="3"/>
      <c r="H93" s="3"/>
      <c r="I93" s="3"/>
      <c r="J93" s="3"/>
      <c r="K93" s="3"/>
      <c r="L93" s="3"/>
      <c r="M93" s="3"/>
      <c r="N93" s="3"/>
      <c r="O93" s="3"/>
      <c r="P93" s="3"/>
      <c r="Q93" s="3"/>
      <c r="R93" s="3"/>
      <c r="S93" s="3"/>
      <c r="T93" s="3"/>
      <c r="U93" s="3"/>
      <c r="V93" s="3"/>
      <c r="W93" s="3"/>
      <c r="X93" s="3"/>
      <c r="Y93" s="3"/>
      <c r="Z93" s="3"/>
    </row>
    <row r="94" spans="1:26" ht="13">
      <c r="A94" s="3"/>
      <c r="B94" s="2"/>
      <c r="C94" s="3"/>
      <c r="D94" s="3"/>
      <c r="E94" s="3"/>
      <c r="F94" s="3"/>
      <c r="G94" s="3"/>
      <c r="H94" s="3"/>
      <c r="I94" s="3"/>
      <c r="J94" s="3"/>
      <c r="K94" s="3"/>
      <c r="L94" s="3"/>
      <c r="M94" s="3"/>
      <c r="N94" s="3"/>
      <c r="O94" s="3"/>
      <c r="P94" s="3"/>
      <c r="Q94" s="3"/>
      <c r="R94" s="3"/>
      <c r="S94" s="3"/>
      <c r="T94" s="3"/>
      <c r="U94" s="3"/>
      <c r="V94" s="3"/>
      <c r="W94" s="3"/>
      <c r="X94" s="3"/>
      <c r="Y94" s="3"/>
      <c r="Z94" s="3"/>
    </row>
    <row r="95" spans="1:26" ht="13">
      <c r="A95" s="3"/>
      <c r="B95" s="2"/>
      <c r="C95" s="3"/>
      <c r="D95" s="3"/>
      <c r="E95" s="3"/>
      <c r="F95" s="3"/>
      <c r="G95" s="3"/>
      <c r="H95" s="3"/>
      <c r="I95" s="3"/>
      <c r="J95" s="3"/>
      <c r="K95" s="3"/>
      <c r="L95" s="3"/>
      <c r="M95" s="3"/>
      <c r="N95" s="3"/>
      <c r="O95" s="3"/>
      <c r="P95" s="3"/>
      <c r="Q95" s="3"/>
      <c r="R95" s="3"/>
      <c r="S95" s="3"/>
      <c r="T95" s="3"/>
      <c r="U95" s="3"/>
      <c r="V95" s="3"/>
      <c r="W95" s="3"/>
      <c r="X95" s="3"/>
      <c r="Y95" s="3"/>
      <c r="Z95" s="3"/>
    </row>
    <row r="96" spans="1:26" ht="13">
      <c r="A96" s="3"/>
      <c r="B96" s="2"/>
      <c r="C96" s="3"/>
      <c r="D96" s="3"/>
      <c r="E96" s="3"/>
      <c r="F96" s="3"/>
      <c r="G96" s="3"/>
      <c r="H96" s="3"/>
      <c r="I96" s="3"/>
      <c r="J96" s="3"/>
      <c r="K96" s="3"/>
      <c r="L96" s="3"/>
      <c r="M96" s="3"/>
      <c r="N96" s="3"/>
      <c r="O96" s="3"/>
      <c r="P96" s="3"/>
      <c r="Q96" s="3"/>
      <c r="R96" s="3"/>
      <c r="S96" s="3"/>
      <c r="T96" s="3"/>
      <c r="U96" s="3"/>
      <c r="V96" s="3"/>
      <c r="W96" s="3"/>
      <c r="X96" s="3"/>
      <c r="Y96" s="3"/>
      <c r="Z96" s="3"/>
    </row>
    <row r="97" spans="1:26" ht="13">
      <c r="A97" s="3"/>
      <c r="B97" s="2"/>
      <c r="C97" s="3"/>
      <c r="D97" s="3"/>
      <c r="E97" s="3"/>
      <c r="F97" s="3"/>
      <c r="G97" s="3"/>
      <c r="H97" s="3"/>
      <c r="I97" s="3"/>
      <c r="J97" s="3"/>
      <c r="K97" s="3"/>
      <c r="L97" s="3"/>
      <c r="M97" s="3"/>
      <c r="N97" s="3"/>
      <c r="O97" s="3"/>
      <c r="P97" s="3"/>
      <c r="Q97" s="3"/>
      <c r="R97" s="3"/>
      <c r="S97" s="3"/>
      <c r="T97" s="3"/>
      <c r="U97" s="3"/>
      <c r="V97" s="3"/>
      <c r="W97" s="3"/>
      <c r="X97" s="3"/>
      <c r="Y97" s="3"/>
      <c r="Z97" s="3"/>
    </row>
    <row r="98" spans="1:26" ht="13">
      <c r="A98" s="3"/>
      <c r="B98" s="2"/>
      <c r="C98" s="3"/>
      <c r="D98" s="3"/>
      <c r="E98" s="3"/>
      <c r="F98" s="3"/>
      <c r="G98" s="3"/>
      <c r="H98" s="3"/>
      <c r="I98" s="3"/>
      <c r="J98" s="3"/>
      <c r="K98" s="3"/>
      <c r="L98" s="3"/>
      <c r="M98" s="3"/>
      <c r="N98" s="3"/>
      <c r="O98" s="3"/>
      <c r="P98" s="3"/>
      <c r="Q98" s="3"/>
      <c r="R98" s="3"/>
      <c r="S98" s="3"/>
      <c r="T98" s="3"/>
      <c r="U98" s="3"/>
      <c r="V98" s="3"/>
      <c r="W98" s="3"/>
      <c r="X98" s="3"/>
      <c r="Y98" s="3"/>
      <c r="Z98" s="3"/>
    </row>
    <row r="99" spans="1:26" ht="13">
      <c r="A99" s="3"/>
      <c r="B99" s="2"/>
      <c r="C99" s="3"/>
      <c r="D99" s="3"/>
      <c r="E99" s="3"/>
      <c r="F99" s="3"/>
      <c r="G99" s="3"/>
      <c r="H99" s="3"/>
      <c r="I99" s="3"/>
      <c r="J99" s="3"/>
      <c r="K99" s="3"/>
      <c r="L99" s="3"/>
      <c r="M99" s="3"/>
      <c r="N99" s="3"/>
      <c r="O99" s="3"/>
      <c r="P99" s="3"/>
      <c r="Q99" s="3"/>
      <c r="R99" s="3"/>
      <c r="S99" s="3"/>
      <c r="T99" s="3"/>
      <c r="U99" s="3"/>
      <c r="V99" s="3"/>
      <c r="W99" s="3"/>
      <c r="X99" s="3"/>
      <c r="Y99" s="3"/>
      <c r="Z99" s="3"/>
    </row>
    <row r="100" spans="1:26" ht="13">
      <c r="A100" s="3"/>
      <c r="B100" s="2"/>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3">
      <c r="A101" s="3"/>
      <c r="B101" s="2"/>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3">
      <c r="A102" s="3"/>
      <c r="B102" s="2"/>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3">
      <c r="A103" s="3"/>
      <c r="B103" s="2"/>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3">
      <c r="A104" s="3"/>
      <c r="B104" s="2"/>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3">
      <c r="A105" s="3"/>
      <c r="B105" s="2"/>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3">
      <c r="A106" s="3"/>
      <c r="B106" s="2"/>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3">
      <c r="A107" s="3"/>
      <c r="B107" s="2"/>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3">
      <c r="A108" s="3"/>
      <c r="B108" s="2"/>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3">
      <c r="A109" s="3"/>
      <c r="B109" s="2"/>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3">
      <c r="A110" s="3"/>
      <c r="B110" s="2"/>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3">
      <c r="A111" s="3"/>
      <c r="B111" s="2"/>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3">
      <c r="A112" s="3"/>
      <c r="B112" s="2"/>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3">
      <c r="A113" s="3"/>
      <c r="B113" s="2"/>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3">
      <c r="A114" s="3"/>
      <c r="B114" s="2"/>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3">
      <c r="A115" s="3"/>
      <c r="B115" s="2"/>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3">
      <c r="A116" s="3"/>
      <c r="B116" s="2"/>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3">
      <c r="A117" s="3"/>
      <c r="B117" s="2"/>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3">
      <c r="A118" s="3"/>
      <c r="B118" s="2"/>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3">
      <c r="A119" s="3"/>
      <c r="B119" s="2"/>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3">
      <c r="A120" s="3"/>
      <c r="B120" s="2"/>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3">
      <c r="A121" s="3"/>
      <c r="B121" s="2"/>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3">
      <c r="A122" s="3"/>
      <c r="B122" s="2"/>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3">
      <c r="A123" s="3"/>
      <c r="B123" s="2"/>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3">
      <c r="A124" s="3"/>
      <c r="B124" s="2"/>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3">
      <c r="A125" s="3"/>
      <c r="B125" s="2"/>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3">
      <c r="A126" s="3"/>
      <c r="B126" s="2"/>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3">
      <c r="A127" s="3"/>
      <c r="B127" s="2"/>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3">
      <c r="A128" s="3"/>
      <c r="B128" s="2"/>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3">
      <c r="A129" s="3"/>
      <c r="B129" s="2"/>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3">
      <c r="A130" s="3"/>
      <c r="B130" s="2"/>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3">
      <c r="A131" s="3"/>
      <c r="B131" s="2"/>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3">
      <c r="A132" s="3"/>
      <c r="B132" s="2"/>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3">
      <c r="A133" s="3"/>
      <c r="B133" s="2"/>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3">
      <c r="A134" s="3"/>
      <c r="B134" s="2"/>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3">
      <c r="A135" s="3"/>
      <c r="B135" s="2"/>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3">
      <c r="A136" s="3"/>
      <c r="B136" s="2"/>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3">
      <c r="A137" s="3"/>
      <c r="B137" s="2"/>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3">
      <c r="A138" s="3"/>
      <c r="B138" s="2"/>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3">
      <c r="A139" s="3"/>
      <c r="B139" s="2"/>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3">
      <c r="A140" s="3"/>
      <c r="B140" s="2"/>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3">
      <c r="A141" s="3"/>
      <c r="B141" s="2"/>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3">
      <c r="A142" s="3"/>
      <c r="B142" s="2"/>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3">
      <c r="A143" s="3"/>
      <c r="B143" s="2"/>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3">
      <c r="A144" s="3"/>
      <c r="B144" s="2"/>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3">
      <c r="A145" s="3"/>
      <c r="B145" s="2"/>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3">
      <c r="A146" s="3"/>
      <c r="B146" s="2"/>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3">
      <c r="A147" s="3"/>
      <c r="B147" s="2"/>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3">
      <c r="A148" s="3"/>
      <c r="B148" s="2"/>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3">
      <c r="A149" s="3"/>
      <c r="B149" s="2"/>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3">
      <c r="A150" s="3"/>
      <c r="B150" s="2"/>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3">
      <c r="A151" s="3"/>
      <c r="B151" s="2"/>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3">
      <c r="A152" s="3"/>
      <c r="B152" s="2"/>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3">
      <c r="A153" s="3"/>
      <c r="B153" s="2"/>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3">
      <c r="A154" s="3"/>
      <c r="B154" s="2"/>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3">
      <c r="A155" s="3"/>
      <c r="B155" s="2"/>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3">
      <c r="A156" s="3"/>
      <c r="B156" s="2"/>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3">
      <c r="A157" s="3"/>
      <c r="B157" s="2"/>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3">
      <c r="A158" s="3"/>
      <c r="B158" s="2"/>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3">
      <c r="A159" s="3"/>
      <c r="B159" s="2"/>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3">
      <c r="A160" s="3"/>
      <c r="B160" s="2"/>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3">
      <c r="A161" s="3"/>
      <c r="B161" s="2"/>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3">
      <c r="A162" s="3"/>
      <c r="B162" s="2"/>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3">
      <c r="A163" s="3"/>
      <c r="B163" s="2"/>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3">
      <c r="A164" s="3"/>
      <c r="B164" s="2"/>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3">
      <c r="A165" s="3"/>
      <c r="B165" s="2"/>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3">
      <c r="A166" s="3"/>
      <c r="B166" s="2"/>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3">
      <c r="A167" s="3"/>
      <c r="B167" s="2"/>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3">
      <c r="A168" s="3"/>
      <c r="B168" s="2"/>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3">
      <c r="A169" s="3"/>
      <c r="B169" s="2"/>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3">
      <c r="A170" s="3"/>
      <c r="B170" s="2"/>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3">
      <c r="A171" s="3"/>
      <c r="B171" s="2"/>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3">
      <c r="A172" s="3"/>
      <c r="B172" s="2"/>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3">
      <c r="A173" s="3"/>
      <c r="B173" s="2"/>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3">
      <c r="A174" s="3"/>
      <c r="B174" s="2"/>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3">
      <c r="A175" s="3"/>
      <c r="B175" s="2"/>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3">
      <c r="A176" s="3"/>
      <c r="B176" s="2"/>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3">
      <c r="A177" s="3"/>
      <c r="B177" s="2"/>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3">
      <c r="A178" s="3"/>
      <c r="B178" s="2"/>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3">
      <c r="A179" s="3"/>
      <c r="B179" s="2"/>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3">
      <c r="A180" s="3"/>
      <c r="B180" s="2"/>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3">
      <c r="A181" s="3"/>
      <c r="B181" s="2"/>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3">
      <c r="A182" s="3"/>
      <c r="B182" s="2"/>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3">
      <c r="A183" s="3"/>
      <c r="B183" s="2"/>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3">
      <c r="A184" s="3"/>
      <c r="B184" s="2"/>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3">
      <c r="A185" s="3"/>
      <c r="B185" s="2"/>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3">
      <c r="A186" s="3"/>
      <c r="B186" s="2"/>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3">
      <c r="A187" s="3"/>
      <c r="B187" s="2"/>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3">
      <c r="A188" s="3"/>
      <c r="B188" s="2"/>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3">
      <c r="A189" s="3"/>
      <c r="B189" s="2"/>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3">
      <c r="A190" s="3"/>
      <c r="B190" s="2"/>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3">
      <c r="A191" s="3"/>
      <c r="B191" s="2"/>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3">
      <c r="A192" s="3"/>
      <c r="B192" s="2"/>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3">
      <c r="A193" s="3"/>
      <c r="B193" s="2"/>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3">
      <c r="A194" s="3"/>
      <c r="B194" s="2"/>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3">
      <c r="A195" s="3"/>
      <c r="B195" s="2"/>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3">
      <c r="A196" s="3"/>
      <c r="B196" s="2"/>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3">
      <c r="A197" s="3"/>
      <c r="B197" s="2"/>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3">
      <c r="A198" s="3"/>
      <c r="B198" s="2"/>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3">
      <c r="A199" s="3"/>
      <c r="B199" s="2"/>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3">
      <c r="A200" s="3"/>
      <c r="B200" s="2"/>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3">
      <c r="A201" s="3"/>
      <c r="B201" s="2"/>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3">
      <c r="A202" s="3"/>
      <c r="B202" s="2"/>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3">
      <c r="A203" s="3"/>
      <c r="B203" s="2"/>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3">
      <c r="A204" s="3"/>
      <c r="B204" s="2"/>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3">
      <c r="A205" s="3"/>
      <c r="B205" s="2"/>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3">
      <c r="A206" s="3"/>
      <c r="B206" s="2"/>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3">
      <c r="A207" s="3"/>
      <c r="B207" s="2"/>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3">
      <c r="A208" s="3"/>
      <c r="B208" s="2"/>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3">
      <c r="A209" s="3"/>
      <c r="B209" s="2"/>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3">
      <c r="A210" s="3"/>
      <c r="B210" s="2"/>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3">
      <c r="A211" s="3"/>
      <c r="B211" s="2"/>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3">
      <c r="A212" s="3"/>
      <c r="B212" s="2"/>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3">
      <c r="A213" s="3"/>
      <c r="B213" s="2"/>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3">
      <c r="A214" s="3"/>
      <c r="B214" s="2"/>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3">
      <c r="A215" s="3"/>
      <c r="B215" s="2"/>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3">
      <c r="A216" s="3"/>
      <c r="B216" s="2"/>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3">
      <c r="A217" s="3"/>
      <c r="B217" s="2"/>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3">
      <c r="A218" s="3"/>
      <c r="B218" s="2"/>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3">
      <c r="A219" s="3"/>
      <c r="B219" s="2"/>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3">
      <c r="A220" s="3"/>
      <c r="B220" s="2"/>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3">
      <c r="A221" s="3"/>
      <c r="B221" s="2"/>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3">
      <c r="A222" s="3"/>
      <c r="B222" s="2"/>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3">
      <c r="A223" s="3"/>
      <c r="B223" s="2"/>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3">
      <c r="A224" s="3"/>
      <c r="B224" s="2"/>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3">
      <c r="A225" s="3"/>
      <c r="B225" s="2"/>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3">
      <c r="A226" s="3"/>
      <c r="B226" s="2"/>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3">
      <c r="A227" s="3"/>
      <c r="B227" s="2"/>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3">
      <c r="A228" s="3"/>
      <c r="B228" s="2"/>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3">
      <c r="A229" s="3"/>
      <c r="B229" s="2"/>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3">
      <c r="A230" s="3"/>
      <c r="B230" s="2"/>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3">
      <c r="A231" s="3"/>
      <c r="B231" s="2"/>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3">
      <c r="A232" s="3"/>
      <c r="B232" s="2"/>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3">
      <c r="A233" s="3"/>
      <c r="B233" s="2"/>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3">
      <c r="A234" s="3"/>
      <c r="B234" s="2"/>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3">
      <c r="A235" s="3"/>
      <c r="B235" s="2"/>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3">
      <c r="A236" s="3"/>
      <c r="B236" s="2"/>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3">
      <c r="A237" s="3"/>
      <c r="B237" s="2"/>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3">
      <c r="A238" s="3"/>
      <c r="B238" s="2"/>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3">
      <c r="A239" s="3"/>
      <c r="B239" s="2"/>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3">
      <c r="A240" s="3"/>
      <c r="B240" s="2"/>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3">
      <c r="A241" s="3"/>
      <c r="B241" s="2"/>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3">
      <c r="A242" s="3"/>
      <c r="B242" s="2"/>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3">
      <c r="A243" s="3"/>
      <c r="B243" s="2"/>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3">
      <c r="A244" s="3"/>
      <c r="B244" s="2"/>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3">
      <c r="A245" s="3"/>
      <c r="B245" s="2"/>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3">
      <c r="A246" s="3"/>
      <c r="B246" s="2"/>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3">
      <c r="A247" s="3"/>
      <c r="B247" s="2"/>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3">
      <c r="A248" s="3"/>
      <c r="B248" s="2"/>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3">
      <c r="A249" s="3"/>
      <c r="B249" s="2"/>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3">
      <c r="A250" s="3"/>
      <c r="B250" s="2"/>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3">
      <c r="A251" s="3"/>
      <c r="B251" s="2"/>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3">
      <c r="A252" s="3"/>
      <c r="B252" s="2"/>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3">
      <c r="A253" s="3"/>
      <c r="B253" s="2"/>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3">
      <c r="A254" s="3"/>
      <c r="B254" s="2"/>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3">
      <c r="A255" s="3"/>
      <c r="B255" s="2"/>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3">
      <c r="A256" s="3"/>
      <c r="B256" s="2"/>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3">
      <c r="A257" s="3"/>
      <c r="B257" s="2"/>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3">
      <c r="A258" s="3"/>
      <c r="B258" s="2"/>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3">
      <c r="A259" s="3"/>
      <c r="B259" s="2"/>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3">
      <c r="A260" s="3"/>
      <c r="B260" s="2"/>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3">
      <c r="A261" s="3"/>
      <c r="B261" s="2"/>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3">
      <c r="A262" s="3"/>
      <c r="B262" s="2"/>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3">
      <c r="A263" s="3"/>
      <c r="B263" s="2"/>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3">
      <c r="A264" s="3"/>
      <c r="B264" s="2"/>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3">
      <c r="A265" s="3"/>
      <c r="B265" s="2"/>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3">
      <c r="A266" s="3"/>
      <c r="B266" s="2"/>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3">
      <c r="A267" s="3"/>
      <c r="B267" s="2"/>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3">
      <c r="A268" s="3"/>
      <c r="B268" s="2"/>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3">
      <c r="A269" s="3"/>
      <c r="B269" s="2"/>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3">
      <c r="A270" s="3"/>
      <c r="B270" s="2"/>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3">
      <c r="A271" s="3"/>
      <c r="B271" s="2"/>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3">
      <c r="A272" s="3"/>
      <c r="B272" s="2"/>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3">
      <c r="A273" s="3"/>
      <c r="B273" s="2"/>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3">
      <c r="A274" s="3"/>
      <c r="B274" s="2"/>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3">
      <c r="A275" s="3"/>
      <c r="B275" s="2"/>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3">
      <c r="A276" s="3"/>
      <c r="B276" s="2"/>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3">
      <c r="A277" s="3"/>
      <c r="B277" s="2"/>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3">
      <c r="A278" s="3"/>
      <c r="B278" s="2"/>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3">
      <c r="A279" s="3"/>
      <c r="B279" s="2"/>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3">
      <c r="A280" s="3"/>
      <c r="B280" s="2"/>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3">
      <c r="A281" s="3"/>
      <c r="B281" s="2"/>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3">
      <c r="A282" s="3"/>
      <c r="B282" s="2"/>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3">
      <c r="A283" s="3"/>
      <c r="B283" s="2"/>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3">
      <c r="A284" s="3"/>
      <c r="B284" s="2"/>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3">
      <c r="A285" s="3"/>
      <c r="B285" s="2"/>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3">
      <c r="A286" s="3"/>
      <c r="B286" s="2"/>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3">
      <c r="A287" s="3"/>
      <c r="B287" s="2"/>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3">
      <c r="A288" s="3"/>
      <c r="B288" s="2"/>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3">
      <c r="A289" s="3"/>
      <c r="B289" s="2"/>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3">
      <c r="A290" s="3"/>
      <c r="B290" s="2"/>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3">
      <c r="A291" s="3"/>
      <c r="B291" s="2"/>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3">
      <c r="A292" s="3"/>
      <c r="B292" s="2"/>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3">
      <c r="A293" s="3"/>
      <c r="B293" s="2"/>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3">
      <c r="A294" s="3"/>
      <c r="B294" s="2"/>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3">
      <c r="A295" s="3"/>
      <c r="B295" s="2"/>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3">
      <c r="A296" s="3"/>
      <c r="B296" s="2"/>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3">
      <c r="A297" s="3"/>
      <c r="B297" s="2"/>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3">
      <c r="A298" s="3"/>
      <c r="B298" s="2"/>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3">
      <c r="A299" s="3"/>
      <c r="B299" s="2"/>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3">
      <c r="A300" s="3"/>
      <c r="B300" s="2"/>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3">
      <c r="A301" s="3"/>
      <c r="B301" s="2"/>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3">
      <c r="A302" s="3"/>
      <c r="B302" s="2"/>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3">
      <c r="A303" s="3"/>
      <c r="B303" s="2"/>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3">
      <c r="A304" s="3"/>
      <c r="B304" s="2"/>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3">
      <c r="A305" s="3"/>
      <c r="B305" s="2"/>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3">
      <c r="A306" s="3"/>
      <c r="B306" s="2"/>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3">
      <c r="A307" s="3"/>
      <c r="B307" s="2"/>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3">
      <c r="A308" s="3"/>
      <c r="B308" s="2"/>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3">
      <c r="A309" s="3"/>
      <c r="B309" s="2"/>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3">
      <c r="A310" s="3"/>
      <c r="B310" s="2"/>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3">
      <c r="A311" s="3"/>
      <c r="B311" s="2"/>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3">
      <c r="A312" s="3"/>
      <c r="B312" s="2"/>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3">
      <c r="A313" s="3"/>
      <c r="B313" s="2"/>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3">
      <c r="A314" s="3"/>
      <c r="B314" s="2"/>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3">
      <c r="A315" s="3"/>
      <c r="B315" s="2"/>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3">
      <c r="A316" s="3"/>
      <c r="B316" s="2"/>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3">
      <c r="A317" s="3"/>
      <c r="B317" s="2"/>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3">
      <c r="A318" s="3"/>
      <c r="B318" s="2"/>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3">
      <c r="A319" s="3"/>
      <c r="B319" s="2"/>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3">
      <c r="A320" s="3"/>
      <c r="B320" s="2"/>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3">
      <c r="A321" s="3"/>
      <c r="B321" s="2"/>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3">
      <c r="A322" s="3"/>
      <c r="B322" s="2"/>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3">
      <c r="A323" s="3"/>
      <c r="B323" s="2"/>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3">
      <c r="A324" s="3"/>
      <c r="B324" s="2"/>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3">
      <c r="A325" s="3"/>
      <c r="B325" s="2"/>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3">
      <c r="A326" s="3"/>
      <c r="B326" s="2"/>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3">
      <c r="A327" s="3"/>
      <c r="B327" s="2"/>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3">
      <c r="A328" s="3"/>
      <c r="B328" s="2"/>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3">
      <c r="A329" s="3"/>
      <c r="B329" s="2"/>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3">
      <c r="A330" s="3"/>
      <c r="B330" s="2"/>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3">
      <c r="A331" s="3"/>
      <c r="B331" s="2"/>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3">
      <c r="A332" s="3"/>
      <c r="B332" s="2"/>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3">
      <c r="A333" s="3"/>
      <c r="B333" s="2"/>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3">
      <c r="A334" s="3"/>
      <c r="B334" s="2"/>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3">
      <c r="A335" s="3"/>
      <c r="B335" s="2"/>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3">
      <c r="A336" s="3"/>
      <c r="B336" s="2"/>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3">
      <c r="A337" s="3"/>
      <c r="B337" s="2"/>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3">
      <c r="A338" s="3"/>
      <c r="B338" s="2"/>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3">
      <c r="A339" s="3"/>
      <c r="B339" s="2"/>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3">
      <c r="A340" s="3"/>
      <c r="B340" s="2"/>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3">
      <c r="A341" s="3"/>
      <c r="B341" s="2"/>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3">
      <c r="A342" s="3"/>
      <c r="B342" s="2"/>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3">
      <c r="A343" s="3"/>
      <c r="B343" s="2"/>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3">
      <c r="A344" s="3"/>
      <c r="B344" s="2"/>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3">
      <c r="A345" s="3"/>
      <c r="B345" s="2"/>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3">
      <c r="A346" s="3"/>
      <c r="B346" s="2"/>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3">
      <c r="A347" s="3"/>
      <c r="B347" s="2"/>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3">
      <c r="A348" s="3"/>
      <c r="B348" s="2"/>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3">
      <c r="A349" s="3"/>
      <c r="B349" s="2"/>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3">
      <c r="A350" s="3"/>
      <c r="B350" s="2"/>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3">
      <c r="A351" s="3"/>
      <c r="B351" s="2"/>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3">
      <c r="A352" s="3"/>
      <c r="B352" s="2"/>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3">
      <c r="A353" s="3"/>
      <c r="B353" s="2"/>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3">
      <c r="A354" s="3"/>
      <c r="B354" s="2"/>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3">
      <c r="A355" s="3"/>
      <c r="B355" s="2"/>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3">
      <c r="A356" s="3"/>
      <c r="B356" s="2"/>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3">
      <c r="A357" s="3"/>
      <c r="B357" s="2"/>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3">
      <c r="A358" s="3"/>
      <c r="B358" s="2"/>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3">
      <c r="A359" s="3"/>
      <c r="B359" s="2"/>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3">
      <c r="A360" s="3"/>
      <c r="B360" s="2"/>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3">
      <c r="A361" s="3"/>
      <c r="B361" s="2"/>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3">
      <c r="A362" s="3"/>
      <c r="B362" s="2"/>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3">
      <c r="A363" s="3"/>
      <c r="B363" s="2"/>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3">
      <c r="A364" s="3"/>
      <c r="B364" s="2"/>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3">
      <c r="A365" s="3"/>
      <c r="B365" s="2"/>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3">
      <c r="A366" s="3"/>
      <c r="B366" s="2"/>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3">
      <c r="A367" s="3"/>
      <c r="B367" s="2"/>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3">
      <c r="A368" s="3"/>
      <c r="B368" s="2"/>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3">
      <c r="A369" s="3"/>
      <c r="B369" s="2"/>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3">
      <c r="A370" s="3"/>
      <c r="B370" s="2"/>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3">
      <c r="A371" s="3"/>
      <c r="B371" s="2"/>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3">
      <c r="A372" s="3"/>
      <c r="B372" s="2"/>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3">
      <c r="A373" s="3"/>
      <c r="B373" s="2"/>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3">
      <c r="A374" s="3"/>
      <c r="B374" s="2"/>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3">
      <c r="A375" s="3"/>
      <c r="B375" s="2"/>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3">
      <c r="A376" s="3"/>
      <c r="B376" s="2"/>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3">
      <c r="A377" s="3"/>
      <c r="B377" s="2"/>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3">
      <c r="A378" s="3"/>
      <c r="B378" s="2"/>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3">
      <c r="A379" s="3"/>
      <c r="B379" s="2"/>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3">
      <c r="A380" s="3"/>
      <c r="B380" s="2"/>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3">
      <c r="A381" s="3"/>
      <c r="B381" s="2"/>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3">
      <c r="A382" s="3"/>
      <c r="B382" s="2"/>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3">
      <c r="A383" s="3"/>
      <c r="B383" s="2"/>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3">
      <c r="A384" s="3"/>
      <c r="B384" s="2"/>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3">
      <c r="A385" s="3"/>
      <c r="B385" s="2"/>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3">
      <c r="A386" s="3"/>
      <c r="B386" s="2"/>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3">
      <c r="A387" s="3"/>
      <c r="B387" s="2"/>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3">
      <c r="A388" s="3"/>
      <c r="B388" s="2"/>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3">
      <c r="A389" s="3"/>
      <c r="B389" s="2"/>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3">
      <c r="A390" s="3"/>
      <c r="B390" s="2"/>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3">
      <c r="A391" s="3"/>
      <c r="B391" s="2"/>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3">
      <c r="A392" s="3"/>
      <c r="B392" s="2"/>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3">
      <c r="A393" s="3"/>
      <c r="B393" s="2"/>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3">
      <c r="A394" s="3"/>
      <c r="B394" s="2"/>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3">
      <c r="A395" s="3"/>
      <c r="B395" s="2"/>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3">
      <c r="A396" s="3"/>
      <c r="B396" s="2"/>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3">
      <c r="A397" s="3"/>
      <c r="B397" s="2"/>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3">
      <c r="A398" s="3"/>
      <c r="B398" s="2"/>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3">
      <c r="A399" s="3"/>
      <c r="B399" s="2"/>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3">
      <c r="A400" s="3"/>
      <c r="B400" s="2"/>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3">
      <c r="A401" s="3"/>
      <c r="B401" s="2"/>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3">
      <c r="A402" s="3"/>
      <c r="B402" s="2"/>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3">
      <c r="A403" s="3"/>
      <c r="B403" s="2"/>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3">
      <c r="A404" s="3"/>
      <c r="B404" s="2"/>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3">
      <c r="A405" s="3"/>
      <c r="B405" s="2"/>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3">
      <c r="A406" s="3"/>
      <c r="B406" s="2"/>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3">
      <c r="A407" s="3"/>
      <c r="B407" s="2"/>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3">
      <c r="A408" s="3"/>
      <c r="B408" s="2"/>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3">
      <c r="A409" s="3"/>
      <c r="B409" s="2"/>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3">
      <c r="A410" s="3"/>
      <c r="B410" s="2"/>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3">
      <c r="A411" s="3"/>
      <c r="B411" s="2"/>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3">
      <c r="A412" s="3"/>
      <c r="B412" s="2"/>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3">
      <c r="A413" s="3"/>
      <c r="B413" s="2"/>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3">
      <c r="A414" s="3"/>
      <c r="B414" s="2"/>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3">
      <c r="A415" s="3"/>
      <c r="B415" s="2"/>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3">
      <c r="A416" s="3"/>
      <c r="B416" s="2"/>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3">
      <c r="A417" s="3"/>
      <c r="B417" s="2"/>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3">
      <c r="A418" s="3"/>
      <c r="B418" s="2"/>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3">
      <c r="A419" s="3"/>
      <c r="B419" s="2"/>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3">
      <c r="A420" s="3"/>
      <c r="B420" s="2"/>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3">
      <c r="A421" s="3"/>
      <c r="B421" s="2"/>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3">
      <c r="A422" s="3"/>
      <c r="B422" s="2"/>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3">
      <c r="A423" s="3"/>
      <c r="B423" s="2"/>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3">
      <c r="A424" s="3"/>
      <c r="B424" s="2"/>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3">
      <c r="A425" s="3"/>
      <c r="B425" s="2"/>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3">
      <c r="A426" s="3"/>
      <c r="B426" s="2"/>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3">
      <c r="A427" s="3"/>
      <c r="B427" s="2"/>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3">
      <c r="A428" s="3"/>
      <c r="B428" s="2"/>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3">
      <c r="A429" s="3"/>
      <c r="B429" s="2"/>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3">
      <c r="A430" s="3"/>
      <c r="B430" s="2"/>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3">
      <c r="A431" s="3"/>
      <c r="B431" s="2"/>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3">
      <c r="A432" s="3"/>
      <c r="B432" s="2"/>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3">
      <c r="A433" s="3"/>
      <c r="B433" s="2"/>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3">
      <c r="A434" s="3"/>
      <c r="B434" s="2"/>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3">
      <c r="A435" s="3"/>
      <c r="B435" s="2"/>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3">
      <c r="A436" s="3"/>
      <c r="B436" s="2"/>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3">
      <c r="A437" s="3"/>
      <c r="B437" s="2"/>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3">
      <c r="A438" s="3"/>
      <c r="B438" s="2"/>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3">
      <c r="A439" s="3"/>
      <c r="B439" s="2"/>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3">
      <c r="A440" s="3"/>
      <c r="B440" s="2"/>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3">
      <c r="A441" s="3"/>
      <c r="B441" s="2"/>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3">
      <c r="A442" s="3"/>
      <c r="B442" s="2"/>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3">
      <c r="A443" s="3"/>
      <c r="B443" s="2"/>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3">
      <c r="A444" s="3"/>
      <c r="B444" s="2"/>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3">
      <c r="A445" s="3"/>
      <c r="B445" s="2"/>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3">
      <c r="A446" s="3"/>
      <c r="B446" s="2"/>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3">
      <c r="A447" s="3"/>
      <c r="B447" s="2"/>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3">
      <c r="A448" s="3"/>
      <c r="B448" s="2"/>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3">
      <c r="A449" s="3"/>
      <c r="B449" s="2"/>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3">
      <c r="A450" s="3"/>
      <c r="B450" s="2"/>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3">
      <c r="A451" s="3"/>
      <c r="B451" s="2"/>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3">
      <c r="A452" s="3"/>
      <c r="B452" s="2"/>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3">
      <c r="A453" s="3"/>
      <c r="B453" s="2"/>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3">
      <c r="A454" s="3"/>
      <c r="B454" s="2"/>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3">
      <c r="A455" s="3"/>
      <c r="B455" s="2"/>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3">
      <c r="A456" s="3"/>
      <c r="B456" s="2"/>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3">
      <c r="A457" s="3"/>
      <c r="B457" s="2"/>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3">
      <c r="A458" s="3"/>
      <c r="B458" s="2"/>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3">
      <c r="A459" s="3"/>
      <c r="B459" s="2"/>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3">
      <c r="A460" s="3"/>
      <c r="B460" s="2"/>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3">
      <c r="A461" s="3"/>
      <c r="B461" s="2"/>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3">
      <c r="A462" s="3"/>
      <c r="B462" s="2"/>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3">
      <c r="A463" s="3"/>
      <c r="B463" s="2"/>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3">
      <c r="A464" s="3"/>
      <c r="B464" s="2"/>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3">
      <c r="A465" s="3"/>
      <c r="B465" s="2"/>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3">
      <c r="A466" s="3"/>
      <c r="B466" s="2"/>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3">
      <c r="A467" s="3"/>
      <c r="B467" s="2"/>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3">
      <c r="A468" s="3"/>
      <c r="B468" s="2"/>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3">
      <c r="A469" s="3"/>
      <c r="B469" s="2"/>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3">
      <c r="A470" s="3"/>
      <c r="B470" s="2"/>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3">
      <c r="A471" s="3"/>
      <c r="B471" s="2"/>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3">
      <c r="A472" s="3"/>
      <c r="B472" s="2"/>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3">
      <c r="A473" s="3"/>
      <c r="B473" s="2"/>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3">
      <c r="A474" s="3"/>
      <c r="B474" s="2"/>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3">
      <c r="A475" s="3"/>
      <c r="B475" s="2"/>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3">
      <c r="A476" s="3"/>
      <c r="B476" s="2"/>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3">
      <c r="A477" s="3"/>
      <c r="B477" s="2"/>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3">
      <c r="A478" s="3"/>
      <c r="B478" s="2"/>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3">
      <c r="A479" s="3"/>
      <c r="B479" s="2"/>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3">
      <c r="A480" s="3"/>
      <c r="B480" s="2"/>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3">
      <c r="A481" s="3"/>
      <c r="B481" s="2"/>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3">
      <c r="A482" s="3"/>
      <c r="B482" s="2"/>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3">
      <c r="A483" s="3"/>
      <c r="B483" s="2"/>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3">
      <c r="A484" s="3"/>
      <c r="B484" s="2"/>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3">
      <c r="A485" s="3"/>
      <c r="B485" s="2"/>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3">
      <c r="A486" s="3"/>
      <c r="B486" s="2"/>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3">
      <c r="A487" s="3"/>
      <c r="B487" s="2"/>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3">
      <c r="A488" s="3"/>
      <c r="B488" s="2"/>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3">
      <c r="A489" s="3"/>
      <c r="B489" s="2"/>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3">
      <c r="A490" s="3"/>
      <c r="B490" s="2"/>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3">
      <c r="A491" s="3"/>
      <c r="B491" s="2"/>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3">
      <c r="A492" s="3"/>
      <c r="B492" s="2"/>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3">
      <c r="A493" s="3"/>
      <c r="B493" s="2"/>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3">
      <c r="A494" s="3"/>
      <c r="B494" s="2"/>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3">
      <c r="A495" s="3"/>
      <c r="B495" s="2"/>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3">
      <c r="A496" s="3"/>
      <c r="B496" s="2"/>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3">
      <c r="A497" s="3"/>
      <c r="B497" s="2"/>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3">
      <c r="A498" s="3"/>
      <c r="B498" s="2"/>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3">
      <c r="A499" s="3"/>
      <c r="B499" s="2"/>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3">
      <c r="A500" s="3"/>
      <c r="B500" s="2"/>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3">
      <c r="A501" s="3"/>
      <c r="B501" s="2"/>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3">
      <c r="A502" s="3"/>
      <c r="B502" s="2"/>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3">
      <c r="A503" s="3"/>
      <c r="B503" s="2"/>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3">
      <c r="A504" s="3"/>
      <c r="B504" s="2"/>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3">
      <c r="A505" s="3"/>
      <c r="B505" s="2"/>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3">
      <c r="A506" s="3"/>
      <c r="B506" s="2"/>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3">
      <c r="A507" s="3"/>
      <c r="B507" s="2"/>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3">
      <c r="A508" s="3"/>
      <c r="B508" s="2"/>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3">
      <c r="A509" s="3"/>
      <c r="B509" s="2"/>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3">
      <c r="A510" s="3"/>
      <c r="B510" s="2"/>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3">
      <c r="A511" s="3"/>
      <c r="B511" s="2"/>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3">
      <c r="A512" s="3"/>
      <c r="B512" s="2"/>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3">
      <c r="A513" s="3"/>
      <c r="B513" s="2"/>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3">
      <c r="A514" s="3"/>
      <c r="B514" s="2"/>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3">
      <c r="A515" s="3"/>
      <c r="B515" s="2"/>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3">
      <c r="A516" s="3"/>
      <c r="B516" s="2"/>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3">
      <c r="A517" s="3"/>
      <c r="B517" s="2"/>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3">
      <c r="A518" s="3"/>
      <c r="B518" s="2"/>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3">
      <c r="A519" s="3"/>
      <c r="B519" s="2"/>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3">
      <c r="A520" s="3"/>
      <c r="B520" s="2"/>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3">
      <c r="A521" s="3"/>
      <c r="B521" s="2"/>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3">
      <c r="A522" s="3"/>
      <c r="B522" s="2"/>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3">
      <c r="A523" s="3"/>
      <c r="B523" s="2"/>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3">
      <c r="A524" s="3"/>
      <c r="B524" s="2"/>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3">
      <c r="A525" s="3"/>
      <c r="B525" s="2"/>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3">
      <c r="A526" s="3"/>
      <c r="B526" s="2"/>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3">
      <c r="A527" s="3"/>
      <c r="B527" s="2"/>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3">
      <c r="A528" s="3"/>
      <c r="B528" s="2"/>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3">
      <c r="A529" s="3"/>
      <c r="B529" s="2"/>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3">
      <c r="A530" s="3"/>
      <c r="B530" s="2"/>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3">
      <c r="A531" s="3"/>
      <c r="B531" s="2"/>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3">
      <c r="A532" s="3"/>
      <c r="B532" s="2"/>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3">
      <c r="A533" s="3"/>
      <c r="B533" s="2"/>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3">
      <c r="A534" s="3"/>
      <c r="B534" s="2"/>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3">
      <c r="A535" s="3"/>
      <c r="B535" s="2"/>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3">
      <c r="A536" s="3"/>
      <c r="B536" s="2"/>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3">
      <c r="A537" s="3"/>
      <c r="B537" s="2"/>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3">
      <c r="A538" s="3"/>
      <c r="B538" s="2"/>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3">
      <c r="A539" s="3"/>
      <c r="B539" s="2"/>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3">
      <c r="A540" s="3"/>
      <c r="B540" s="2"/>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3">
      <c r="A541" s="3"/>
      <c r="B541" s="2"/>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3">
      <c r="A542" s="3"/>
      <c r="B542" s="2"/>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3">
      <c r="A543" s="3"/>
      <c r="B543" s="2"/>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3">
      <c r="A544" s="3"/>
      <c r="B544" s="2"/>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3">
      <c r="A545" s="3"/>
      <c r="B545" s="2"/>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3">
      <c r="A546" s="3"/>
      <c r="B546" s="2"/>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3">
      <c r="A547" s="3"/>
      <c r="B547" s="2"/>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3">
      <c r="A548" s="3"/>
      <c r="B548" s="2"/>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3">
      <c r="A549" s="3"/>
      <c r="B549" s="2"/>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3">
      <c r="A550" s="3"/>
      <c r="B550" s="2"/>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3">
      <c r="A551" s="3"/>
      <c r="B551" s="2"/>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3">
      <c r="A552" s="3"/>
      <c r="B552" s="2"/>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3">
      <c r="A553" s="3"/>
      <c r="B553" s="2"/>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3">
      <c r="A554" s="3"/>
      <c r="B554" s="2"/>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3">
      <c r="A555" s="3"/>
      <c r="B555" s="2"/>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3">
      <c r="A556" s="3"/>
      <c r="B556" s="2"/>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3">
      <c r="A557" s="3"/>
      <c r="B557" s="2"/>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3">
      <c r="A558" s="3"/>
      <c r="B558" s="2"/>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3">
      <c r="A559" s="3"/>
      <c r="B559" s="2"/>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3">
      <c r="A560" s="3"/>
      <c r="B560" s="2"/>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3">
      <c r="A561" s="3"/>
      <c r="B561" s="2"/>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3">
      <c r="A562" s="3"/>
      <c r="B562" s="2"/>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3">
      <c r="A563" s="3"/>
      <c r="B563" s="2"/>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3">
      <c r="A564" s="3"/>
      <c r="B564" s="2"/>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3">
      <c r="A565" s="3"/>
      <c r="B565" s="2"/>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3">
      <c r="A566" s="3"/>
      <c r="B566" s="2"/>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3">
      <c r="A567" s="3"/>
      <c r="B567" s="2"/>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3">
      <c r="A568" s="3"/>
      <c r="B568" s="2"/>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3">
      <c r="A569" s="3"/>
      <c r="B569" s="2"/>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3">
      <c r="A570" s="3"/>
      <c r="B570" s="2"/>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3">
      <c r="A571" s="3"/>
      <c r="B571" s="2"/>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3">
      <c r="A572" s="3"/>
      <c r="B572" s="2"/>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3">
      <c r="A573" s="3"/>
      <c r="B573" s="2"/>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3">
      <c r="A574" s="3"/>
      <c r="B574" s="2"/>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3">
      <c r="A575" s="3"/>
      <c r="B575" s="2"/>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3">
      <c r="A576" s="3"/>
      <c r="B576" s="2"/>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3">
      <c r="A577" s="3"/>
      <c r="B577" s="2"/>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3">
      <c r="A578" s="3"/>
      <c r="B578" s="2"/>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3">
      <c r="A579" s="3"/>
      <c r="B579" s="2"/>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3">
      <c r="A580" s="3"/>
      <c r="B580" s="2"/>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3">
      <c r="A581" s="3"/>
      <c r="B581" s="2"/>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3">
      <c r="A582" s="3"/>
      <c r="B582" s="2"/>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3">
      <c r="A583" s="3"/>
      <c r="B583" s="2"/>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3">
      <c r="A584" s="3"/>
      <c r="B584" s="2"/>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3">
      <c r="A585" s="3"/>
      <c r="B585" s="2"/>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3">
      <c r="A586" s="3"/>
      <c r="B586" s="2"/>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3">
      <c r="A587" s="3"/>
      <c r="B587" s="2"/>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3">
      <c r="A588" s="3"/>
      <c r="B588" s="2"/>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3">
      <c r="A589" s="3"/>
      <c r="B589" s="2"/>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3">
      <c r="A590" s="3"/>
      <c r="B590" s="2"/>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3">
      <c r="A591" s="3"/>
      <c r="B591" s="2"/>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3">
      <c r="A592" s="3"/>
      <c r="B592" s="2"/>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3">
      <c r="A593" s="3"/>
      <c r="B593" s="2"/>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3">
      <c r="A594" s="3"/>
      <c r="B594" s="2"/>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3">
      <c r="A595" s="3"/>
      <c r="B595" s="2"/>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3">
      <c r="A596" s="3"/>
      <c r="B596" s="2"/>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3">
      <c r="A597" s="3"/>
      <c r="B597" s="2"/>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3">
      <c r="A598" s="3"/>
      <c r="B598" s="2"/>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3">
      <c r="A599" s="3"/>
      <c r="B599" s="2"/>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3">
      <c r="A600" s="3"/>
      <c r="B600" s="2"/>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3">
      <c r="A601" s="3"/>
      <c r="B601" s="2"/>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3">
      <c r="A602" s="3"/>
      <c r="B602" s="2"/>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3">
      <c r="A603" s="3"/>
      <c r="B603" s="2"/>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3">
      <c r="A604" s="3"/>
      <c r="B604" s="2"/>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3">
      <c r="A605" s="3"/>
      <c r="B605" s="2"/>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3">
      <c r="A606" s="3"/>
      <c r="B606" s="2"/>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3">
      <c r="A607" s="3"/>
      <c r="B607" s="2"/>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3">
      <c r="A608" s="3"/>
      <c r="B608" s="2"/>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3">
      <c r="A609" s="3"/>
      <c r="B609" s="2"/>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3">
      <c r="A610" s="3"/>
      <c r="B610" s="2"/>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3">
      <c r="A611" s="3"/>
      <c r="B611" s="2"/>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3">
      <c r="A612" s="3"/>
      <c r="B612" s="2"/>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3">
      <c r="A613" s="3"/>
      <c r="B613" s="2"/>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3">
      <c r="A614" s="3"/>
      <c r="B614" s="2"/>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3">
      <c r="A615" s="3"/>
      <c r="B615" s="2"/>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3">
      <c r="A616" s="3"/>
      <c r="B616" s="2"/>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3">
      <c r="A617" s="3"/>
      <c r="B617" s="2"/>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3">
      <c r="A618" s="3"/>
      <c r="B618" s="2"/>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3">
      <c r="A619" s="3"/>
      <c r="B619" s="2"/>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3">
      <c r="A620" s="3"/>
      <c r="B620" s="2"/>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3">
      <c r="A621" s="3"/>
      <c r="B621" s="2"/>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3">
      <c r="A622" s="3"/>
      <c r="B622" s="2"/>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3">
      <c r="A623" s="3"/>
      <c r="B623" s="2"/>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3">
      <c r="A624" s="3"/>
      <c r="B624" s="2"/>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3">
      <c r="A625" s="3"/>
      <c r="B625" s="2"/>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3">
      <c r="A626" s="3"/>
      <c r="B626" s="2"/>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3">
      <c r="A627" s="3"/>
      <c r="B627" s="2"/>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3">
      <c r="A628" s="3"/>
      <c r="B628" s="2"/>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3">
      <c r="A629" s="3"/>
      <c r="B629" s="2"/>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3">
      <c r="A630" s="3"/>
      <c r="B630" s="2"/>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3">
      <c r="A631" s="3"/>
      <c r="B631" s="2"/>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3">
      <c r="A632" s="3"/>
      <c r="B632" s="2"/>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3">
      <c r="A633" s="3"/>
      <c r="B633" s="2"/>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3">
      <c r="A634" s="3"/>
      <c r="B634" s="2"/>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3">
      <c r="A635" s="3"/>
      <c r="B635" s="2"/>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3">
      <c r="A636" s="3"/>
      <c r="B636" s="2"/>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3">
      <c r="A637" s="3"/>
      <c r="B637" s="2"/>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3">
      <c r="A638" s="3"/>
      <c r="B638" s="2"/>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3">
      <c r="A639" s="3"/>
      <c r="B639" s="2"/>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3">
      <c r="A640" s="3"/>
      <c r="B640" s="2"/>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3">
      <c r="A641" s="3"/>
      <c r="B641" s="2"/>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3">
      <c r="A642" s="3"/>
      <c r="B642" s="2"/>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3">
      <c r="A643" s="3"/>
      <c r="B643" s="2"/>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3">
      <c r="A644" s="3"/>
      <c r="B644" s="2"/>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3">
      <c r="A645" s="3"/>
      <c r="B645" s="2"/>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3">
      <c r="A646" s="3"/>
      <c r="B646" s="2"/>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3">
      <c r="A647" s="3"/>
      <c r="B647" s="2"/>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3">
      <c r="A648" s="3"/>
      <c r="B648" s="2"/>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3">
      <c r="A649" s="3"/>
      <c r="B649" s="2"/>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3">
      <c r="A650" s="3"/>
      <c r="B650" s="2"/>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3">
      <c r="A651" s="3"/>
      <c r="B651" s="2"/>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3">
      <c r="A652" s="3"/>
      <c r="B652" s="2"/>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3">
      <c r="A653" s="3"/>
      <c r="B653" s="2"/>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3">
      <c r="A654" s="3"/>
      <c r="B654" s="2"/>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3">
      <c r="A655" s="3"/>
      <c r="B655" s="2"/>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3">
      <c r="A656" s="3"/>
      <c r="B656" s="2"/>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3">
      <c r="A657" s="3"/>
      <c r="B657" s="2"/>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3">
      <c r="A658" s="3"/>
      <c r="B658" s="2"/>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3">
      <c r="A659" s="3"/>
      <c r="B659" s="2"/>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3">
      <c r="A660" s="3"/>
      <c r="B660" s="2"/>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3">
      <c r="A661" s="3"/>
      <c r="B661" s="2"/>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3">
      <c r="A662" s="3"/>
      <c r="B662" s="2"/>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3">
      <c r="A663" s="3"/>
      <c r="B663" s="2"/>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3">
      <c r="A664" s="3"/>
      <c r="B664" s="2"/>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3">
      <c r="A665" s="3"/>
      <c r="B665" s="2"/>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3">
      <c r="A666" s="3"/>
      <c r="B666" s="2"/>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3">
      <c r="A667" s="3"/>
      <c r="B667" s="2"/>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3">
      <c r="A668" s="3"/>
      <c r="B668" s="2"/>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3">
      <c r="A669" s="3"/>
      <c r="B669" s="2"/>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3">
      <c r="A670" s="3"/>
      <c r="B670" s="2"/>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3">
      <c r="A671" s="3"/>
      <c r="B671" s="2"/>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3">
      <c r="A672" s="3"/>
      <c r="B672" s="2"/>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3">
      <c r="A673" s="3"/>
      <c r="B673" s="2"/>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3">
      <c r="A674" s="3"/>
      <c r="B674" s="2"/>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3">
      <c r="A675" s="3"/>
      <c r="B675" s="2"/>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3">
      <c r="A676" s="3"/>
      <c r="B676" s="2"/>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3">
      <c r="A677" s="3"/>
      <c r="B677" s="2"/>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3">
      <c r="A678" s="3"/>
      <c r="B678" s="2"/>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3">
      <c r="A679" s="3"/>
      <c r="B679" s="2"/>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3">
      <c r="A680" s="3"/>
      <c r="B680" s="2"/>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3">
      <c r="A681" s="3"/>
      <c r="B681" s="2"/>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3">
      <c r="A682" s="3"/>
      <c r="B682" s="2"/>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3">
      <c r="A683" s="3"/>
      <c r="B683" s="2"/>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3">
      <c r="A684" s="3"/>
      <c r="B684" s="2"/>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3">
      <c r="A685" s="3"/>
      <c r="B685" s="2"/>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3">
      <c r="A686" s="3"/>
      <c r="B686" s="2"/>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3">
      <c r="A687" s="3"/>
      <c r="B687" s="2"/>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3">
      <c r="A688" s="3"/>
      <c r="B688" s="2"/>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3">
      <c r="A689" s="3"/>
      <c r="B689" s="2"/>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3">
      <c r="A690" s="3"/>
      <c r="B690" s="2"/>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3">
      <c r="A691" s="3"/>
      <c r="B691" s="2"/>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3">
      <c r="A692" s="3"/>
      <c r="B692" s="2"/>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3">
      <c r="A693" s="3"/>
      <c r="B693" s="2"/>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3">
      <c r="A694" s="3"/>
      <c r="B694" s="2"/>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3">
      <c r="A695" s="3"/>
      <c r="B695" s="2"/>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3">
      <c r="A696" s="3"/>
      <c r="B696" s="2"/>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3">
      <c r="A697" s="3"/>
      <c r="B697" s="2"/>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3">
      <c r="A698" s="3"/>
      <c r="B698" s="2"/>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3">
      <c r="A699" s="3"/>
      <c r="B699" s="2"/>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3">
      <c r="A700" s="3"/>
      <c r="B700" s="2"/>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3">
      <c r="A701" s="3"/>
      <c r="B701" s="2"/>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3">
      <c r="A702" s="3"/>
      <c r="B702" s="2"/>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3">
      <c r="A703" s="3"/>
      <c r="B703" s="2"/>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3">
      <c r="A704" s="3"/>
      <c r="B704" s="2"/>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3">
      <c r="A705" s="3"/>
      <c r="B705" s="2"/>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3">
      <c r="A706" s="3"/>
      <c r="B706" s="2"/>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3">
      <c r="A707" s="3"/>
      <c r="B707" s="2"/>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3">
      <c r="A708" s="3"/>
      <c r="B708" s="2"/>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3">
      <c r="A709" s="3"/>
      <c r="B709" s="2"/>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3">
      <c r="A710" s="3"/>
      <c r="B710" s="2"/>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3">
      <c r="A711" s="3"/>
      <c r="B711" s="2"/>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3">
      <c r="A712" s="3"/>
      <c r="B712" s="2"/>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3">
      <c r="A713" s="3"/>
      <c r="B713" s="2"/>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3">
      <c r="A714" s="3"/>
      <c r="B714" s="2"/>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3">
      <c r="A715" s="3"/>
      <c r="B715" s="2"/>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3">
      <c r="A716" s="3"/>
      <c r="B716" s="2"/>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3">
      <c r="A717" s="3"/>
      <c r="B717" s="2"/>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3">
      <c r="A718" s="3"/>
      <c r="B718" s="2"/>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3">
      <c r="A719" s="3"/>
      <c r="B719" s="2"/>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3">
      <c r="A720" s="3"/>
      <c r="B720" s="2"/>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3">
      <c r="A721" s="3"/>
      <c r="B721" s="2"/>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3">
      <c r="A722" s="3"/>
      <c r="B722" s="2"/>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3">
      <c r="A723" s="3"/>
      <c r="B723" s="2"/>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3">
      <c r="A724" s="3"/>
      <c r="B724" s="2"/>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3">
      <c r="A725" s="3"/>
      <c r="B725" s="2"/>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3">
      <c r="A726" s="3"/>
      <c r="B726" s="2"/>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3">
      <c r="A727" s="3"/>
      <c r="B727" s="2"/>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3">
      <c r="A728" s="3"/>
      <c r="B728" s="2"/>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3">
      <c r="A729" s="3"/>
      <c r="B729" s="2"/>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3">
      <c r="A730" s="3"/>
      <c r="B730" s="2"/>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3">
      <c r="A731" s="3"/>
      <c r="B731" s="2"/>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3">
      <c r="A732" s="3"/>
      <c r="B732" s="2"/>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3">
      <c r="A733" s="3"/>
      <c r="B733" s="2"/>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3">
      <c r="A734" s="3"/>
      <c r="B734" s="2"/>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3">
      <c r="A735" s="3"/>
      <c r="B735" s="2"/>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3">
      <c r="A736" s="3"/>
      <c r="B736" s="2"/>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3">
      <c r="A737" s="3"/>
      <c r="B737" s="2"/>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3">
      <c r="A738" s="3"/>
      <c r="B738" s="2"/>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3">
      <c r="A739" s="3"/>
      <c r="B739" s="2"/>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3">
      <c r="A740" s="3"/>
      <c r="B740" s="2"/>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3">
      <c r="A741" s="3"/>
      <c r="B741" s="2"/>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3">
      <c r="A742" s="3"/>
      <c r="B742" s="2"/>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3">
      <c r="A743" s="3"/>
      <c r="B743" s="2"/>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3">
      <c r="A744" s="3"/>
      <c r="B744" s="2"/>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3">
      <c r="A745" s="3"/>
      <c r="B745" s="2"/>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3">
      <c r="A746" s="3"/>
      <c r="B746" s="2"/>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3">
      <c r="A747" s="3"/>
      <c r="B747" s="2"/>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3">
      <c r="A748" s="3"/>
      <c r="B748" s="2"/>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3">
      <c r="A749" s="3"/>
      <c r="B749" s="2"/>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3">
      <c r="A750" s="3"/>
      <c r="B750" s="2"/>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3">
      <c r="A751" s="3"/>
      <c r="B751" s="2"/>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3">
      <c r="A752" s="3"/>
      <c r="B752" s="2"/>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3">
      <c r="A753" s="3"/>
      <c r="B753" s="2"/>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3">
      <c r="A754" s="3"/>
      <c r="B754" s="2"/>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3">
      <c r="A755" s="3"/>
      <c r="B755" s="2"/>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3">
      <c r="A756" s="3"/>
      <c r="B756" s="2"/>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3">
      <c r="A757" s="3"/>
      <c r="B757" s="2"/>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3">
      <c r="A758" s="3"/>
      <c r="B758" s="2"/>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3">
      <c r="A759" s="3"/>
      <c r="B759" s="2"/>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3">
      <c r="A760" s="3"/>
      <c r="B760" s="2"/>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3">
      <c r="A761" s="3"/>
      <c r="B761" s="2"/>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3">
      <c r="A762" s="3"/>
      <c r="B762" s="2"/>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3">
      <c r="A763" s="3"/>
      <c r="B763" s="2"/>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3">
      <c r="A764" s="3"/>
      <c r="B764" s="2"/>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3">
      <c r="A765" s="3"/>
      <c r="B765" s="2"/>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3">
      <c r="A766" s="3"/>
      <c r="B766" s="2"/>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3">
      <c r="A767" s="3"/>
      <c r="B767" s="2"/>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3">
      <c r="A768" s="3"/>
      <c r="B768" s="2"/>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3">
      <c r="A769" s="3"/>
      <c r="B769" s="2"/>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3">
      <c r="A770" s="3"/>
      <c r="B770" s="2"/>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3">
      <c r="A771" s="3"/>
      <c r="B771" s="2"/>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3">
      <c r="A772" s="3"/>
      <c r="B772" s="2"/>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3">
      <c r="A773" s="3"/>
      <c r="B773" s="2"/>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3">
      <c r="A774" s="3"/>
      <c r="B774" s="2"/>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3">
      <c r="A775" s="3"/>
      <c r="B775" s="2"/>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3">
      <c r="A776" s="3"/>
      <c r="B776" s="2"/>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3">
      <c r="A777" s="3"/>
      <c r="B777" s="2"/>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3">
      <c r="A778" s="3"/>
      <c r="B778" s="2"/>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3">
      <c r="A779" s="3"/>
      <c r="B779" s="2"/>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3">
      <c r="A780" s="3"/>
      <c r="B780" s="2"/>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3">
      <c r="A781" s="3"/>
      <c r="B781" s="2"/>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3">
      <c r="A782" s="3"/>
      <c r="B782" s="2"/>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3">
      <c r="A783" s="3"/>
      <c r="B783" s="2"/>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3">
      <c r="A784" s="3"/>
      <c r="B784" s="2"/>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3">
      <c r="A785" s="3"/>
      <c r="B785" s="2"/>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3">
      <c r="A786" s="3"/>
      <c r="B786" s="2"/>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3">
      <c r="A787" s="3"/>
      <c r="B787" s="2"/>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3">
      <c r="A788" s="3"/>
      <c r="B788" s="2"/>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3">
      <c r="A789" s="3"/>
      <c r="B789" s="2"/>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3">
      <c r="A790" s="3"/>
      <c r="B790" s="2"/>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3">
      <c r="A791" s="3"/>
      <c r="B791" s="2"/>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3">
      <c r="A792" s="3"/>
      <c r="B792" s="2"/>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3">
      <c r="A793" s="3"/>
      <c r="B793" s="2"/>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3">
      <c r="A794" s="3"/>
      <c r="B794" s="2"/>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3">
      <c r="A795" s="3"/>
      <c r="B795" s="2"/>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3">
      <c r="A796" s="3"/>
      <c r="B796" s="2"/>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3">
      <c r="A797" s="3"/>
      <c r="B797" s="2"/>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3">
      <c r="A798" s="3"/>
      <c r="B798" s="2"/>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3">
      <c r="A799" s="3"/>
      <c r="B799" s="2"/>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3">
      <c r="A800" s="3"/>
      <c r="B800" s="2"/>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3">
      <c r="A801" s="3"/>
      <c r="B801" s="2"/>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3">
      <c r="A802" s="3"/>
      <c r="B802" s="2"/>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3">
      <c r="A803" s="3"/>
      <c r="B803" s="2"/>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3">
      <c r="A804" s="3"/>
      <c r="B804" s="2"/>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3">
      <c r="A805" s="3"/>
      <c r="B805" s="2"/>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3">
      <c r="A806" s="3"/>
      <c r="B806" s="2"/>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3">
      <c r="A807" s="3"/>
      <c r="B807" s="2"/>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3">
      <c r="A808" s="3"/>
      <c r="B808" s="2"/>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3">
      <c r="A809" s="3"/>
      <c r="B809" s="2"/>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3">
      <c r="A810" s="3"/>
      <c r="B810" s="2"/>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3">
      <c r="A811" s="3"/>
      <c r="B811" s="2"/>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3">
      <c r="A812" s="3"/>
      <c r="B812" s="2"/>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3">
      <c r="A813" s="3"/>
      <c r="B813" s="2"/>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3">
      <c r="A814" s="3"/>
      <c r="B814" s="2"/>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3">
      <c r="A815" s="3"/>
      <c r="B815" s="2"/>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3">
      <c r="A816" s="3"/>
      <c r="B816" s="2"/>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3">
      <c r="A817" s="3"/>
      <c r="B817" s="2"/>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3">
      <c r="A818" s="3"/>
      <c r="B818" s="2"/>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3">
      <c r="A819" s="3"/>
      <c r="B819" s="2"/>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3">
      <c r="A820" s="3"/>
      <c r="B820" s="2"/>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3">
      <c r="A821" s="3"/>
      <c r="B821" s="2"/>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3">
      <c r="A822" s="3"/>
      <c r="B822" s="2"/>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3">
      <c r="A823" s="3"/>
      <c r="B823" s="2"/>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3">
      <c r="A824" s="3"/>
      <c r="B824" s="2"/>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3">
      <c r="A825" s="3"/>
      <c r="B825" s="2"/>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3">
      <c r="A826" s="3"/>
      <c r="B826" s="2"/>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3">
      <c r="A827" s="3"/>
      <c r="B827" s="2"/>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3">
      <c r="A828" s="3"/>
      <c r="B828" s="2"/>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3">
      <c r="A829" s="3"/>
      <c r="B829" s="2"/>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3">
      <c r="A830" s="3"/>
      <c r="B830" s="2"/>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3">
      <c r="A831" s="3"/>
      <c r="B831" s="2"/>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3">
      <c r="A832" s="3"/>
      <c r="B832" s="2"/>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3">
      <c r="A833" s="3"/>
      <c r="B833" s="2"/>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3">
      <c r="A834" s="3"/>
      <c r="B834" s="2"/>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3">
      <c r="A835" s="3"/>
      <c r="B835" s="2"/>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3">
      <c r="A836" s="3"/>
      <c r="B836" s="2"/>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3">
      <c r="A837" s="3"/>
      <c r="B837" s="2"/>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3">
      <c r="A838" s="3"/>
      <c r="B838" s="2"/>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3">
      <c r="A839" s="3"/>
      <c r="B839" s="2"/>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3">
      <c r="A840" s="3"/>
      <c r="B840" s="2"/>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3">
      <c r="A841" s="3"/>
      <c r="B841" s="2"/>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3">
      <c r="A842" s="3"/>
      <c r="B842" s="2"/>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3">
      <c r="A843" s="3"/>
      <c r="B843" s="2"/>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3">
      <c r="A844" s="3"/>
      <c r="B844" s="2"/>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3">
      <c r="A845" s="3"/>
      <c r="B845" s="2"/>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3">
      <c r="A846" s="3"/>
      <c r="B846" s="2"/>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3">
      <c r="A847" s="3"/>
      <c r="B847" s="2"/>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3">
      <c r="A848" s="3"/>
      <c r="B848" s="2"/>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3">
      <c r="A849" s="3"/>
      <c r="B849" s="2"/>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3">
      <c r="A850" s="3"/>
      <c r="B850" s="2"/>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3">
      <c r="A851" s="3"/>
      <c r="B851" s="2"/>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3">
      <c r="A852" s="3"/>
      <c r="B852" s="2"/>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3">
      <c r="A853" s="3"/>
      <c r="B853" s="2"/>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3">
      <c r="A854" s="3"/>
      <c r="B854" s="2"/>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3">
      <c r="A855" s="3"/>
      <c r="B855" s="2"/>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3">
      <c r="A856" s="3"/>
      <c r="B856" s="2"/>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3">
      <c r="A857" s="3"/>
      <c r="B857" s="2"/>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3">
      <c r="A858" s="3"/>
      <c r="B858" s="2"/>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3">
      <c r="A859" s="3"/>
      <c r="B859" s="2"/>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3">
      <c r="A860" s="3"/>
      <c r="B860" s="2"/>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3">
      <c r="A861" s="3"/>
      <c r="B861" s="2"/>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3">
      <c r="A862" s="3"/>
      <c r="B862" s="2"/>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3">
      <c r="A863" s="3"/>
      <c r="B863" s="2"/>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3">
      <c r="A864" s="3"/>
      <c r="B864" s="2"/>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3">
      <c r="A865" s="3"/>
      <c r="B865" s="2"/>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3">
      <c r="A866" s="3"/>
      <c r="B866" s="2"/>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3">
      <c r="A867" s="3"/>
      <c r="B867" s="2"/>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3">
      <c r="A868" s="3"/>
      <c r="B868" s="2"/>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3">
      <c r="A869" s="3"/>
      <c r="B869" s="2"/>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3">
      <c r="A870" s="3"/>
      <c r="B870" s="2"/>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3">
      <c r="A871" s="3"/>
      <c r="B871" s="2"/>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3">
      <c r="A872" s="3"/>
      <c r="B872" s="2"/>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3">
      <c r="A873" s="3"/>
      <c r="B873" s="2"/>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3">
      <c r="A874" s="3"/>
      <c r="B874" s="2"/>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3">
      <c r="A875" s="3"/>
      <c r="B875" s="2"/>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3">
      <c r="A876" s="3"/>
      <c r="B876" s="2"/>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3">
      <c r="A877" s="3"/>
      <c r="B877" s="2"/>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3">
      <c r="A878" s="3"/>
      <c r="B878" s="2"/>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3">
      <c r="A879" s="3"/>
      <c r="B879" s="2"/>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3">
      <c r="A880" s="3"/>
      <c r="B880" s="2"/>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3">
      <c r="A881" s="3"/>
      <c r="B881" s="2"/>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3">
      <c r="A882" s="3"/>
      <c r="B882" s="2"/>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3">
      <c r="A883" s="3"/>
      <c r="B883" s="2"/>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3">
      <c r="A884" s="3"/>
      <c r="B884" s="2"/>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3">
      <c r="A885" s="3"/>
      <c r="B885" s="2"/>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3">
      <c r="A886" s="3"/>
      <c r="B886" s="2"/>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3">
      <c r="A887" s="3"/>
      <c r="B887" s="2"/>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3">
      <c r="A888" s="3"/>
      <c r="B888" s="2"/>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3">
      <c r="A889" s="3"/>
      <c r="B889" s="2"/>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3">
      <c r="A890" s="3"/>
      <c r="B890" s="2"/>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3">
      <c r="A891" s="3"/>
      <c r="B891" s="2"/>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3">
      <c r="A892" s="3"/>
      <c r="B892" s="2"/>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3">
      <c r="A893" s="3"/>
      <c r="B893" s="2"/>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3">
      <c r="A894" s="3"/>
      <c r="B894" s="2"/>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3">
      <c r="A895" s="3"/>
      <c r="B895" s="2"/>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3">
      <c r="A896" s="3"/>
      <c r="B896" s="2"/>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3">
      <c r="A897" s="3"/>
      <c r="B897" s="2"/>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3">
      <c r="A898" s="3"/>
      <c r="B898" s="2"/>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3">
      <c r="A899" s="3"/>
      <c r="B899" s="2"/>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3">
      <c r="A900" s="3"/>
      <c r="B900" s="2"/>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3">
      <c r="A901" s="3"/>
      <c r="B901" s="2"/>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3">
      <c r="A902" s="3"/>
      <c r="B902" s="2"/>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3">
      <c r="A903" s="3"/>
      <c r="B903" s="2"/>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3">
      <c r="A904" s="3"/>
      <c r="B904" s="2"/>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3">
      <c r="A905" s="3"/>
      <c r="B905" s="2"/>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3">
      <c r="A906" s="3"/>
      <c r="B906" s="2"/>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3">
      <c r="A907" s="3"/>
      <c r="B907" s="2"/>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3">
      <c r="A908" s="3"/>
      <c r="B908" s="2"/>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3">
      <c r="A909" s="3"/>
      <c r="B909" s="2"/>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3">
      <c r="A910" s="3"/>
      <c r="B910" s="2"/>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3">
      <c r="A911" s="3"/>
      <c r="B911" s="2"/>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3">
      <c r="A912" s="3"/>
      <c r="B912" s="2"/>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3">
      <c r="A913" s="3"/>
      <c r="B913" s="2"/>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3">
      <c r="A914" s="3"/>
      <c r="B914" s="2"/>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3">
      <c r="A915" s="3"/>
      <c r="B915" s="2"/>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3">
      <c r="A916" s="3"/>
      <c r="B916" s="2"/>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3">
      <c r="A917" s="3"/>
      <c r="B917" s="2"/>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3">
      <c r="A918" s="3"/>
      <c r="B918" s="2"/>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3">
      <c r="A919" s="3"/>
      <c r="B919" s="2"/>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3">
      <c r="A920" s="3"/>
      <c r="B920" s="2"/>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3">
      <c r="A921" s="3"/>
      <c r="B921" s="2"/>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3">
      <c r="A922" s="3"/>
      <c r="B922" s="2"/>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3">
      <c r="A923" s="3"/>
      <c r="B923" s="2"/>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3">
      <c r="A924" s="3"/>
      <c r="B924" s="2"/>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3">
      <c r="A925" s="3"/>
      <c r="B925" s="2"/>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3">
      <c r="A926" s="3"/>
      <c r="B926" s="2"/>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3">
      <c r="A927" s="3"/>
      <c r="B927" s="2"/>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3">
      <c r="A928" s="3"/>
      <c r="B928" s="2"/>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3">
      <c r="A929" s="3"/>
      <c r="B929" s="2"/>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3">
      <c r="A930" s="3"/>
      <c r="B930" s="2"/>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3">
      <c r="A931" s="3"/>
      <c r="B931" s="2"/>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3">
      <c r="A932" s="3"/>
      <c r="B932" s="2"/>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3">
      <c r="A933" s="3"/>
      <c r="B933" s="2"/>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3">
      <c r="A934" s="3"/>
      <c r="B934" s="2"/>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3">
      <c r="A935" s="3"/>
      <c r="B935" s="2"/>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3">
      <c r="A936" s="3"/>
      <c r="B936" s="2"/>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3">
      <c r="A937" s="3"/>
      <c r="B937" s="2"/>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3">
      <c r="A938" s="3"/>
      <c r="B938" s="2"/>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3">
      <c r="A939" s="3"/>
      <c r="B939" s="2"/>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3">
      <c r="A940" s="3"/>
      <c r="B940" s="2"/>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3">
      <c r="A941" s="3"/>
      <c r="B941" s="2"/>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3">
      <c r="A942" s="3"/>
      <c r="B942" s="2"/>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3">
      <c r="A943" s="3"/>
      <c r="B943" s="2"/>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3">
      <c r="A944" s="3"/>
      <c r="B944" s="2"/>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3">
      <c r="A945" s="3"/>
      <c r="B945" s="2"/>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3">
      <c r="A946" s="3"/>
      <c r="B946" s="2"/>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3">
      <c r="A947" s="3"/>
      <c r="B947" s="2"/>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3">
      <c r="A948" s="3"/>
      <c r="B948" s="2"/>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3">
      <c r="A949" s="3"/>
      <c r="B949" s="2"/>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3">
      <c r="A950" s="3"/>
      <c r="B950" s="2"/>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3">
      <c r="A951" s="3"/>
      <c r="B951" s="2"/>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3">
      <c r="A952" s="3"/>
      <c r="B952" s="2"/>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3">
      <c r="A953" s="3"/>
      <c r="B953" s="2"/>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3">
      <c r="A954" s="3"/>
      <c r="B954" s="2"/>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3">
      <c r="A955" s="3"/>
      <c r="B955" s="2"/>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3">
      <c r="A956" s="3"/>
      <c r="B956" s="2"/>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3">
      <c r="A957" s="3"/>
      <c r="B957" s="2"/>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3">
      <c r="A958" s="3"/>
      <c r="B958" s="2"/>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3">
      <c r="A959" s="3"/>
      <c r="B959" s="2"/>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3">
      <c r="A960" s="3"/>
      <c r="B960" s="2"/>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3">
      <c r="A961" s="3"/>
      <c r="B961" s="2"/>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3">
      <c r="A962" s="3"/>
      <c r="B962" s="2"/>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3">
      <c r="A963" s="3"/>
      <c r="B963" s="2"/>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3">
      <c r="A964" s="3"/>
      <c r="B964" s="2"/>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3">
      <c r="A965" s="3"/>
      <c r="B965" s="2"/>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3">
      <c r="A966" s="3"/>
      <c r="B966" s="2"/>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3">
      <c r="A967" s="3"/>
      <c r="B967" s="2"/>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3">
      <c r="A968" s="3"/>
      <c r="B968" s="2"/>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3">
      <c r="A969" s="3"/>
      <c r="B969" s="2"/>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3">
      <c r="A970" s="3"/>
      <c r="B970" s="2"/>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3">
      <c r="A971" s="3"/>
      <c r="B971" s="2"/>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3">
      <c r="A972" s="3"/>
      <c r="B972" s="2"/>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3">
      <c r="A973" s="3"/>
      <c r="B973" s="2"/>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3">
      <c r="A974" s="3"/>
      <c r="B974" s="2"/>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3">
      <c r="A975" s="3"/>
      <c r="B975" s="2"/>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3">
      <c r="A976" s="3"/>
      <c r="B976" s="2"/>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3">
      <c r="A977" s="3"/>
      <c r="B977" s="2"/>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3">
      <c r="A978" s="3"/>
      <c r="B978" s="2"/>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3">
      <c r="A979" s="3"/>
      <c r="B979" s="2"/>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3">
      <c r="A980" s="3"/>
      <c r="B980" s="2"/>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3">
      <c r="A981" s="3"/>
      <c r="B981" s="2"/>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3">
      <c r="A982" s="3"/>
      <c r="B982" s="2"/>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3">
      <c r="A983" s="3"/>
      <c r="B983" s="2"/>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3">
      <c r="A984" s="3"/>
      <c r="B984" s="2"/>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3">
      <c r="A985" s="3"/>
      <c r="B985" s="2"/>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3">
      <c r="A986" s="3"/>
      <c r="B986" s="2"/>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3">
      <c r="A987" s="3"/>
      <c r="B987" s="2"/>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3">
      <c r="A988" s="3"/>
      <c r="B988" s="2"/>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3">
      <c r="A989" s="3"/>
      <c r="B989" s="2"/>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3">
      <c r="A990" s="3"/>
      <c r="B990" s="2"/>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3">
      <c r="A991" s="3"/>
      <c r="B991" s="2"/>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3">
      <c r="A992" s="3"/>
      <c r="B992" s="2"/>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3">
      <c r="A993" s="3"/>
      <c r="B993" s="2"/>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3">
      <c r="A994" s="3"/>
      <c r="B994" s="2"/>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3">
      <c r="A995" s="3"/>
      <c r="B995" s="2"/>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3">
      <c r="A996" s="3"/>
      <c r="B996" s="2"/>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3">
      <c r="A997" s="3"/>
      <c r="B997" s="2"/>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3">
      <c r="A998" s="3"/>
      <c r="B998" s="2"/>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3">
      <c r="A999" s="3"/>
      <c r="B999" s="2"/>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3">
      <c r="A1000" s="3"/>
      <c r="B1000" s="2"/>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3">
      <c r="A1001" s="3"/>
      <c r="B1001" s="2"/>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3">
      <c r="A1002" s="3"/>
      <c r="B1002" s="2"/>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685"/>
  <sheetViews>
    <sheetView showGridLines="0" topLeftCell="A6" workbookViewId="0"/>
  </sheetViews>
  <sheetFormatPr baseColWidth="10" defaultColWidth="14.5" defaultRowHeight="15.75" customHeight="1"/>
  <cols>
    <col min="1" max="1" width="3.5" customWidth="1"/>
    <col min="2" max="2" width="13.5" customWidth="1"/>
    <col min="3" max="3" width="44.83203125" customWidth="1"/>
    <col min="4" max="4" width="4.5" customWidth="1"/>
    <col min="5" max="7" width="40.83203125" customWidth="1"/>
    <col min="8" max="8" width="4" customWidth="1"/>
  </cols>
  <sheetData>
    <row r="1" spans="1:25" ht="15" customHeight="1">
      <c r="A1" s="12"/>
      <c r="B1" s="12"/>
      <c r="C1" s="12"/>
      <c r="D1" s="3"/>
      <c r="E1" s="3"/>
      <c r="F1" s="3"/>
      <c r="G1" s="3"/>
    </row>
    <row r="2" spans="1:25" ht="22">
      <c r="A2" s="12"/>
      <c r="B2" s="13" t="s">
        <v>0</v>
      </c>
      <c r="C2" s="12"/>
      <c r="D2" s="3"/>
      <c r="E2" s="3"/>
      <c r="F2" s="3"/>
      <c r="G2" s="14"/>
    </row>
    <row r="3" spans="1:25" ht="14">
      <c r="A3" s="15"/>
      <c r="B3" s="16" t="s">
        <v>1</v>
      </c>
      <c r="C3" s="15"/>
      <c r="D3" s="15"/>
      <c r="E3" s="15"/>
      <c r="F3" s="15"/>
      <c r="G3" s="15"/>
      <c r="H3" s="17"/>
      <c r="I3" s="17"/>
      <c r="J3" s="17"/>
      <c r="K3" s="17"/>
      <c r="L3" s="17"/>
      <c r="M3" s="17"/>
      <c r="N3" s="17"/>
      <c r="O3" s="17"/>
      <c r="P3" s="17"/>
      <c r="Q3" s="17"/>
      <c r="R3" s="17"/>
      <c r="S3" s="17"/>
      <c r="T3" s="17"/>
      <c r="U3" s="17"/>
      <c r="V3" s="17"/>
      <c r="W3" s="17"/>
      <c r="X3" s="17"/>
      <c r="Y3" s="17"/>
    </row>
    <row r="4" spans="1:25" ht="14">
      <c r="A4" s="15"/>
      <c r="B4" s="15"/>
      <c r="C4" s="15"/>
      <c r="D4" s="15"/>
      <c r="E4" s="15"/>
      <c r="F4" s="15"/>
      <c r="G4" s="15"/>
      <c r="H4" s="17"/>
      <c r="I4" s="17"/>
      <c r="J4" s="17"/>
      <c r="K4" s="17"/>
      <c r="L4" s="17"/>
      <c r="M4" s="17"/>
      <c r="N4" s="17"/>
      <c r="O4" s="17"/>
      <c r="P4" s="17"/>
      <c r="Q4" s="17"/>
      <c r="R4" s="17"/>
      <c r="S4" s="17"/>
      <c r="T4" s="17"/>
      <c r="U4" s="17"/>
      <c r="V4" s="17"/>
      <c r="W4" s="17"/>
      <c r="X4" s="17"/>
      <c r="Y4" s="17"/>
    </row>
    <row r="5" spans="1:25" ht="14">
      <c r="A5" s="15"/>
      <c r="B5" s="18" t="s">
        <v>6</v>
      </c>
      <c r="C5" s="19" t="s">
        <v>7</v>
      </c>
      <c r="D5" s="15"/>
      <c r="E5" s="15"/>
      <c r="F5" s="15"/>
      <c r="G5" s="15"/>
      <c r="H5" s="17"/>
      <c r="I5" s="17"/>
      <c r="J5" s="17"/>
      <c r="K5" s="17"/>
      <c r="L5" s="17"/>
      <c r="M5" s="17"/>
      <c r="N5" s="17"/>
      <c r="O5" s="17"/>
      <c r="P5" s="17"/>
      <c r="Q5" s="17"/>
      <c r="R5" s="17"/>
      <c r="S5" s="17"/>
      <c r="T5" s="17"/>
      <c r="U5" s="17"/>
      <c r="V5" s="17"/>
      <c r="W5" s="17"/>
      <c r="X5" s="17"/>
      <c r="Y5" s="17"/>
    </row>
    <row r="6" spans="1:25" ht="14">
      <c r="A6" s="15"/>
      <c r="B6" s="18"/>
      <c r="C6" s="16"/>
      <c r="D6" s="15"/>
      <c r="E6" s="15"/>
      <c r="F6" s="15"/>
      <c r="G6" s="15"/>
      <c r="H6" s="17"/>
      <c r="I6" s="17"/>
      <c r="J6" s="17"/>
      <c r="K6" s="17"/>
      <c r="L6" s="17"/>
      <c r="M6" s="17"/>
      <c r="N6" s="17"/>
      <c r="O6" s="17"/>
      <c r="P6" s="17"/>
      <c r="Q6" s="17"/>
      <c r="R6" s="17"/>
      <c r="S6" s="17"/>
      <c r="T6" s="17"/>
      <c r="U6" s="17"/>
      <c r="V6" s="17"/>
      <c r="W6" s="17"/>
      <c r="X6" s="17"/>
      <c r="Y6" s="17"/>
    </row>
    <row r="7" spans="1:25" ht="32.25" customHeight="1">
      <c r="A7" s="20"/>
      <c r="B7" s="21"/>
      <c r="C7" s="22" t="s">
        <v>8</v>
      </c>
      <c r="D7" s="23"/>
      <c r="E7" s="24" t="s">
        <v>9</v>
      </c>
      <c r="F7" s="20"/>
      <c r="G7" s="20"/>
      <c r="H7" s="25"/>
      <c r="I7" s="25"/>
      <c r="J7" s="25"/>
      <c r="K7" s="25"/>
      <c r="L7" s="25"/>
      <c r="M7" s="25"/>
      <c r="N7" s="25"/>
      <c r="O7" s="25"/>
      <c r="P7" s="25"/>
      <c r="Q7" s="25"/>
      <c r="R7" s="25"/>
      <c r="S7" s="25"/>
      <c r="T7" s="25"/>
      <c r="U7" s="25"/>
      <c r="V7" s="25"/>
      <c r="W7" s="25"/>
      <c r="X7" s="25"/>
      <c r="Y7" s="25"/>
    </row>
    <row r="8" spans="1:25" ht="14">
      <c r="A8" s="20"/>
      <c r="B8" s="21"/>
      <c r="C8" s="22"/>
      <c r="D8" s="23"/>
      <c r="E8" s="23"/>
      <c r="F8" s="20"/>
      <c r="G8" s="20"/>
      <c r="H8" s="25"/>
      <c r="I8" s="25"/>
      <c r="J8" s="25"/>
      <c r="K8" s="25"/>
      <c r="L8" s="25"/>
      <c r="M8" s="25"/>
      <c r="N8" s="25"/>
      <c r="O8" s="25"/>
      <c r="P8" s="25"/>
      <c r="Q8" s="25"/>
      <c r="R8" s="25"/>
      <c r="S8" s="25"/>
      <c r="T8" s="25"/>
      <c r="U8" s="25"/>
      <c r="V8" s="25"/>
      <c r="W8" s="25"/>
      <c r="X8" s="25"/>
      <c r="Y8" s="25"/>
    </row>
    <row r="9" spans="1:25" ht="32.25" customHeight="1">
      <c r="A9" s="20"/>
      <c r="B9" s="21"/>
      <c r="C9" s="22" t="s">
        <v>10</v>
      </c>
      <c r="D9" s="23"/>
      <c r="E9" s="24" t="s">
        <v>11</v>
      </c>
      <c r="F9" s="20"/>
      <c r="G9" s="20"/>
      <c r="H9" s="25"/>
      <c r="I9" s="25"/>
      <c r="J9" s="25"/>
      <c r="K9" s="25"/>
      <c r="L9" s="25"/>
      <c r="M9" s="25"/>
      <c r="N9" s="25"/>
      <c r="O9" s="25"/>
      <c r="P9" s="25"/>
      <c r="Q9" s="25"/>
      <c r="R9" s="25"/>
      <c r="S9" s="25"/>
      <c r="T9" s="25"/>
      <c r="U9" s="25"/>
      <c r="V9" s="25"/>
      <c r="W9" s="25"/>
      <c r="X9" s="25"/>
      <c r="Y9" s="25"/>
    </row>
    <row r="10" spans="1:25" ht="14">
      <c r="A10" s="20"/>
      <c r="B10" s="21"/>
      <c r="C10" s="22"/>
      <c r="D10" s="23"/>
      <c r="E10" s="20"/>
      <c r="F10" s="20"/>
      <c r="G10" s="20"/>
      <c r="H10" s="25"/>
      <c r="I10" s="25"/>
      <c r="J10" s="25"/>
      <c r="K10" s="25"/>
      <c r="L10" s="25"/>
      <c r="M10" s="25"/>
      <c r="N10" s="25"/>
      <c r="O10" s="25"/>
      <c r="P10" s="25"/>
      <c r="Q10" s="25"/>
      <c r="R10" s="25"/>
      <c r="S10" s="25"/>
      <c r="T10" s="25"/>
      <c r="U10" s="25"/>
      <c r="V10" s="25"/>
      <c r="W10" s="25"/>
      <c r="X10" s="25"/>
      <c r="Y10" s="25"/>
    </row>
    <row r="11" spans="1:25" ht="30">
      <c r="A11" s="20"/>
      <c r="B11" s="21"/>
      <c r="C11" s="26" t="s">
        <v>12</v>
      </c>
      <c r="D11" s="27"/>
      <c r="E11" s="28">
        <f>'Inventory '!E1872</f>
        <v>436653.83333333331</v>
      </c>
      <c r="F11" s="20"/>
      <c r="G11" s="20"/>
      <c r="H11" s="25"/>
      <c r="I11" s="25"/>
      <c r="J11" s="25"/>
      <c r="K11" s="25"/>
      <c r="L11" s="25"/>
      <c r="M11" s="25"/>
      <c r="N11" s="25"/>
      <c r="O11" s="25"/>
      <c r="P11" s="25"/>
      <c r="Q11" s="25"/>
      <c r="R11" s="25"/>
      <c r="S11" s="25"/>
      <c r="T11" s="25"/>
      <c r="U11" s="25"/>
      <c r="V11" s="25"/>
      <c r="W11" s="25"/>
      <c r="X11" s="25"/>
      <c r="Y11" s="25"/>
    </row>
    <row r="12" spans="1:25" ht="14">
      <c r="A12" s="15"/>
      <c r="B12" s="18"/>
      <c r="C12" s="16"/>
      <c r="D12" s="29"/>
      <c r="E12" s="15"/>
      <c r="F12" s="15"/>
      <c r="G12" s="15"/>
      <c r="H12" s="17"/>
      <c r="I12" s="17"/>
      <c r="J12" s="17"/>
      <c r="K12" s="17"/>
      <c r="L12" s="17"/>
      <c r="M12" s="17"/>
      <c r="N12" s="17"/>
      <c r="O12" s="17"/>
      <c r="P12" s="17"/>
      <c r="Q12" s="17"/>
      <c r="R12" s="17"/>
      <c r="S12" s="17"/>
      <c r="T12" s="17"/>
      <c r="U12" s="17"/>
      <c r="V12" s="17"/>
      <c r="W12" s="17"/>
      <c r="X12" s="17"/>
      <c r="Y12" s="17"/>
    </row>
    <row r="13" spans="1:25" ht="30" customHeight="1">
      <c r="A13" s="15"/>
      <c r="B13" s="18"/>
      <c r="C13" s="22" t="s">
        <v>13</v>
      </c>
      <c r="D13" s="30"/>
      <c r="E13" s="24" t="s">
        <v>14</v>
      </c>
      <c r="F13" s="15"/>
      <c r="G13" s="15"/>
      <c r="H13" s="17"/>
      <c r="I13" s="17"/>
      <c r="J13" s="17"/>
      <c r="K13" s="17"/>
      <c r="L13" s="17"/>
      <c r="M13" s="17"/>
      <c r="N13" s="17"/>
      <c r="O13" s="17"/>
      <c r="P13" s="17"/>
      <c r="Q13" s="17"/>
      <c r="R13" s="17"/>
      <c r="S13" s="17"/>
      <c r="T13" s="17"/>
      <c r="U13" s="17"/>
      <c r="V13" s="17"/>
      <c r="W13" s="17"/>
      <c r="X13" s="17"/>
      <c r="Y13" s="17"/>
    </row>
    <row r="14" spans="1:25" ht="14">
      <c r="A14" s="15"/>
      <c r="B14" s="18"/>
      <c r="C14" s="16"/>
      <c r="D14" s="29"/>
      <c r="E14" s="15"/>
      <c r="F14" s="15"/>
      <c r="G14" s="15"/>
      <c r="H14" s="17"/>
      <c r="I14" s="17"/>
      <c r="J14" s="17"/>
      <c r="K14" s="17"/>
      <c r="L14" s="17"/>
      <c r="M14" s="17"/>
      <c r="N14" s="17"/>
      <c r="O14" s="17"/>
      <c r="P14" s="17"/>
      <c r="Q14" s="17"/>
      <c r="R14" s="17"/>
      <c r="S14" s="17"/>
      <c r="T14" s="17"/>
      <c r="U14" s="17"/>
      <c r="V14" s="17"/>
      <c r="W14" s="17"/>
      <c r="X14" s="17"/>
      <c r="Y14" s="17"/>
    </row>
    <row r="15" spans="1:25" ht="14">
      <c r="A15" s="15"/>
      <c r="B15" s="31" t="s">
        <v>15</v>
      </c>
      <c r="C15" s="156" t="s">
        <v>16</v>
      </c>
      <c r="D15" s="157"/>
      <c r="E15" s="157"/>
      <c r="F15" s="157"/>
      <c r="G15" s="15"/>
      <c r="H15" s="17"/>
      <c r="I15" s="17"/>
      <c r="J15" s="17"/>
      <c r="K15" s="17"/>
      <c r="L15" s="17"/>
      <c r="M15" s="17"/>
      <c r="N15" s="17"/>
      <c r="O15" s="17"/>
      <c r="P15" s="17"/>
      <c r="Q15" s="17"/>
      <c r="R15" s="17"/>
      <c r="S15" s="17"/>
      <c r="T15" s="17"/>
      <c r="U15" s="17"/>
      <c r="V15" s="17"/>
      <c r="W15" s="17"/>
      <c r="X15" s="17"/>
      <c r="Y15" s="17"/>
    </row>
    <row r="16" spans="1:25" ht="14">
      <c r="A16" s="15"/>
      <c r="B16" s="18"/>
      <c r="C16" s="16"/>
      <c r="D16" s="29"/>
      <c r="E16" s="15"/>
      <c r="F16" s="15"/>
      <c r="G16" s="15"/>
      <c r="H16" s="17"/>
      <c r="I16" s="17"/>
      <c r="J16" s="17"/>
      <c r="K16" s="17"/>
      <c r="L16" s="17"/>
      <c r="M16" s="17"/>
      <c r="N16" s="17"/>
      <c r="O16" s="17"/>
      <c r="P16" s="17"/>
      <c r="Q16" s="17"/>
      <c r="R16" s="17"/>
      <c r="S16" s="17"/>
      <c r="T16" s="17"/>
      <c r="U16" s="17"/>
      <c r="V16" s="17"/>
      <c r="W16" s="17"/>
      <c r="X16" s="17"/>
      <c r="Y16" s="17"/>
    </row>
    <row r="17" spans="1:25" ht="14">
      <c r="A17" s="15"/>
      <c r="B17" s="18" t="s">
        <v>17</v>
      </c>
      <c r="C17" s="19" t="s">
        <v>18</v>
      </c>
      <c r="D17" s="29"/>
      <c r="E17" s="15"/>
      <c r="F17" s="15"/>
      <c r="G17" s="15"/>
      <c r="H17" s="17"/>
      <c r="I17" s="17"/>
      <c r="J17" s="17"/>
      <c r="K17" s="17"/>
      <c r="L17" s="17"/>
      <c r="M17" s="17"/>
      <c r="N17" s="17"/>
      <c r="O17" s="17"/>
      <c r="P17" s="17"/>
      <c r="Q17" s="17"/>
      <c r="R17" s="17"/>
      <c r="S17" s="17"/>
      <c r="T17" s="17"/>
      <c r="U17" s="17"/>
      <c r="V17" s="17"/>
      <c r="W17" s="17"/>
      <c r="X17" s="17"/>
      <c r="Y17" s="17"/>
    </row>
    <row r="18" spans="1:25" ht="14">
      <c r="A18" s="15"/>
      <c r="B18" s="18"/>
      <c r="C18" s="16"/>
      <c r="D18" s="29"/>
      <c r="E18" s="15"/>
      <c r="F18" s="15"/>
      <c r="G18" s="15"/>
      <c r="H18" s="17"/>
      <c r="I18" s="17"/>
      <c r="J18" s="17"/>
      <c r="K18" s="17"/>
      <c r="L18" s="17"/>
      <c r="M18" s="17"/>
      <c r="N18" s="17"/>
      <c r="O18" s="17"/>
      <c r="P18" s="17"/>
      <c r="Q18" s="17"/>
      <c r="R18" s="17"/>
      <c r="S18" s="17"/>
      <c r="T18" s="17"/>
      <c r="U18" s="17"/>
      <c r="V18" s="17"/>
      <c r="W18" s="17"/>
      <c r="X18" s="17"/>
      <c r="Y18" s="17"/>
    </row>
    <row r="19" spans="1:25" ht="14">
      <c r="A19" s="15"/>
      <c r="B19" s="18" t="s">
        <v>19</v>
      </c>
      <c r="C19" s="19" t="s">
        <v>20</v>
      </c>
      <c r="D19" s="29"/>
      <c r="E19" s="15"/>
      <c r="F19" s="15"/>
      <c r="G19" s="15"/>
      <c r="H19" s="17"/>
      <c r="I19" s="17"/>
      <c r="J19" s="17"/>
      <c r="K19" s="17"/>
      <c r="L19" s="17"/>
      <c r="M19" s="17"/>
      <c r="N19" s="17"/>
      <c r="O19" s="17"/>
      <c r="P19" s="17"/>
      <c r="Q19" s="17"/>
      <c r="R19" s="17"/>
      <c r="S19" s="17"/>
      <c r="T19" s="17"/>
      <c r="U19" s="17"/>
      <c r="V19" s="17"/>
      <c r="W19" s="17"/>
      <c r="X19" s="17"/>
      <c r="Y19" s="17"/>
    </row>
    <row r="20" spans="1:25" ht="14">
      <c r="A20" s="15"/>
      <c r="B20" s="19"/>
      <c r="C20" s="16"/>
      <c r="D20" s="29"/>
      <c r="E20" s="15"/>
      <c r="F20" s="15"/>
      <c r="G20" s="15"/>
      <c r="H20" s="17"/>
      <c r="I20" s="17"/>
      <c r="J20" s="17"/>
      <c r="K20" s="17"/>
      <c r="L20" s="17"/>
      <c r="M20" s="17"/>
      <c r="N20" s="17"/>
      <c r="O20" s="17"/>
      <c r="P20" s="17"/>
      <c r="Q20" s="17"/>
      <c r="R20" s="17"/>
      <c r="S20" s="17"/>
      <c r="T20" s="17"/>
      <c r="U20" s="17"/>
      <c r="V20" s="17"/>
      <c r="W20" s="17"/>
      <c r="X20" s="17"/>
      <c r="Y20" s="17"/>
    </row>
    <row r="21" spans="1:25" ht="45">
      <c r="A21" s="15"/>
      <c r="B21" s="19"/>
      <c r="C21" s="32" t="s">
        <v>21</v>
      </c>
      <c r="D21" s="27"/>
      <c r="E21" s="33">
        <f>SUM(('Certifiedverified purchases'!F3 + 'Institution-affirmed production'!H3)/E11)</f>
        <v>0.18985096126870907</v>
      </c>
      <c r="F21" s="34" t="s">
        <v>22</v>
      </c>
      <c r="G21" s="15"/>
      <c r="H21" s="17"/>
      <c r="I21" s="17"/>
      <c r="J21" s="17"/>
      <c r="K21" s="17"/>
      <c r="L21" s="17"/>
      <c r="M21" s="17"/>
      <c r="N21" s="17"/>
      <c r="O21" s="17"/>
      <c r="P21" s="17"/>
      <c r="Q21" s="17"/>
      <c r="R21" s="17"/>
      <c r="S21" s="17"/>
      <c r="T21" s="17"/>
      <c r="U21" s="17"/>
      <c r="V21" s="17"/>
      <c r="W21" s="17"/>
      <c r="X21" s="17"/>
      <c r="Y21" s="17"/>
    </row>
    <row r="22" spans="1:25" ht="14">
      <c r="A22" s="15"/>
      <c r="B22" s="19"/>
      <c r="C22" s="32"/>
      <c r="D22" s="29"/>
      <c r="E22" s="15"/>
      <c r="F22" s="35" t="s">
        <v>23</v>
      </c>
      <c r="G22" s="15"/>
      <c r="H22" s="17"/>
      <c r="I22" s="17"/>
      <c r="J22" s="17"/>
      <c r="K22" s="17"/>
      <c r="L22" s="17"/>
      <c r="M22" s="17"/>
      <c r="N22" s="17"/>
      <c r="O22" s="17"/>
      <c r="P22" s="17"/>
      <c r="Q22" s="17"/>
      <c r="R22" s="17"/>
      <c r="S22" s="17"/>
      <c r="T22" s="17"/>
      <c r="U22" s="17"/>
      <c r="V22" s="17"/>
      <c r="W22" s="17"/>
      <c r="X22" s="17"/>
      <c r="Y22" s="17"/>
    </row>
    <row r="23" spans="1:25" ht="42" customHeight="1">
      <c r="A23" s="15"/>
      <c r="B23" s="19"/>
      <c r="C23" s="26" t="s">
        <v>24</v>
      </c>
      <c r="D23" s="20"/>
      <c r="E23" s="33">
        <f>SUM('Plant-based foods'!D3/E11)</f>
        <v>0.35486982632695702</v>
      </c>
      <c r="F23" s="34" t="s">
        <v>22</v>
      </c>
      <c r="G23" s="15"/>
      <c r="H23" s="17"/>
      <c r="I23" s="17"/>
      <c r="J23" s="17"/>
      <c r="K23" s="17"/>
      <c r="L23" s="17"/>
      <c r="M23" s="17"/>
      <c r="N23" s="17"/>
      <c r="O23" s="17"/>
      <c r="P23" s="17"/>
      <c r="Q23" s="17"/>
      <c r="R23" s="17"/>
      <c r="S23" s="17"/>
      <c r="T23" s="17"/>
      <c r="U23" s="17"/>
      <c r="V23" s="17"/>
      <c r="W23" s="17"/>
      <c r="X23" s="17"/>
      <c r="Y23" s="17"/>
    </row>
    <row r="24" spans="1:25" ht="14">
      <c r="A24" s="15"/>
      <c r="B24" s="19"/>
      <c r="C24" s="16"/>
      <c r="D24" s="15"/>
      <c r="E24" s="15"/>
      <c r="F24" s="15"/>
      <c r="G24" s="15"/>
      <c r="H24" s="17"/>
      <c r="I24" s="17"/>
      <c r="J24" s="17"/>
      <c r="K24" s="17"/>
      <c r="L24" s="17"/>
      <c r="M24" s="17"/>
      <c r="N24" s="17"/>
      <c r="O24" s="17"/>
      <c r="P24" s="17"/>
      <c r="Q24" s="17"/>
      <c r="R24" s="17"/>
      <c r="S24" s="17"/>
      <c r="T24" s="17"/>
      <c r="U24" s="17"/>
      <c r="V24" s="17"/>
      <c r="W24" s="17"/>
      <c r="X24" s="17"/>
      <c r="Y24" s="17"/>
    </row>
    <row r="25" spans="1:25" ht="14">
      <c r="A25" s="15"/>
      <c r="B25" s="36" t="str">
        <f>HYPERLINK("https://stars.aashe.org/resources-support/help-center/operations/","For additional guidance, visit the STARS Help Center.")</f>
        <v>For additional guidance, visit the STARS Help Center.</v>
      </c>
      <c r="C25" s="15"/>
      <c r="D25" s="15"/>
      <c r="E25" s="15"/>
      <c r="F25" s="15"/>
      <c r="G25" s="15"/>
      <c r="H25" s="17"/>
      <c r="I25" s="17"/>
      <c r="J25" s="17"/>
      <c r="K25" s="17"/>
      <c r="L25" s="17"/>
      <c r="M25" s="17"/>
      <c r="N25" s="17"/>
      <c r="O25" s="17"/>
      <c r="P25" s="17"/>
      <c r="Q25" s="17"/>
      <c r="R25" s="17"/>
      <c r="S25" s="17"/>
      <c r="T25" s="17"/>
      <c r="U25" s="17"/>
      <c r="V25" s="17"/>
      <c r="W25" s="17"/>
      <c r="X25" s="17"/>
      <c r="Y25" s="17"/>
    </row>
    <row r="26" spans="1:25" ht="14">
      <c r="A26" s="15"/>
      <c r="B26" s="15"/>
      <c r="C26" s="15"/>
      <c r="D26" s="15"/>
      <c r="E26" s="15"/>
      <c r="F26" s="15"/>
      <c r="G26" s="15"/>
      <c r="H26" s="17"/>
      <c r="I26" s="17"/>
      <c r="J26" s="17"/>
      <c r="K26" s="17"/>
      <c r="L26" s="17"/>
      <c r="M26" s="17"/>
      <c r="N26" s="17"/>
      <c r="O26" s="17"/>
      <c r="P26" s="17"/>
      <c r="Q26" s="17"/>
      <c r="R26" s="17"/>
      <c r="S26" s="17"/>
      <c r="T26" s="17"/>
      <c r="U26" s="17"/>
      <c r="V26" s="17"/>
      <c r="W26" s="17"/>
      <c r="X26" s="17"/>
      <c r="Y26" s="17"/>
    </row>
    <row r="27" spans="1:25" ht="15">
      <c r="A27" s="15"/>
      <c r="B27" s="16" t="s">
        <v>25</v>
      </c>
      <c r="C27" s="15"/>
      <c r="D27" s="15"/>
      <c r="E27" s="15"/>
      <c r="F27" s="15"/>
      <c r="G27" s="15"/>
      <c r="H27" s="17"/>
      <c r="I27" s="17"/>
      <c r="J27" s="17"/>
      <c r="K27" s="17"/>
      <c r="L27" s="17"/>
      <c r="M27" s="17"/>
      <c r="N27" s="17"/>
      <c r="O27" s="17"/>
      <c r="P27" s="17"/>
      <c r="Q27" s="17"/>
      <c r="R27" s="17"/>
      <c r="S27" s="17"/>
      <c r="T27" s="17"/>
      <c r="U27" s="17"/>
      <c r="V27" s="17"/>
      <c r="W27" s="17"/>
      <c r="X27" s="17"/>
      <c r="Y27" s="17"/>
    </row>
    <row r="28" spans="1:25" ht="14">
      <c r="A28" s="15"/>
      <c r="B28" s="15"/>
      <c r="C28" s="15"/>
      <c r="D28" s="15"/>
      <c r="E28" s="15"/>
      <c r="F28" s="15"/>
      <c r="G28" s="15"/>
      <c r="H28" s="17"/>
      <c r="I28" s="17"/>
      <c r="J28" s="17"/>
      <c r="K28" s="17"/>
      <c r="L28" s="17"/>
      <c r="M28" s="17"/>
      <c r="N28" s="17"/>
      <c r="O28" s="17"/>
      <c r="P28" s="17"/>
      <c r="Q28" s="17"/>
      <c r="R28" s="17"/>
      <c r="S28" s="17"/>
      <c r="T28" s="17"/>
      <c r="U28" s="17"/>
      <c r="V28" s="17"/>
      <c r="W28" s="17"/>
      <c r="X28" s="17"/>
      <c r="Y28" s="17"/>
    </row>
    <row r="29" spans="1:25" ht="14">
      <c r="A29" s="15"/>
      <c r="B29" s="15"/>
      <c r="C29" s="15"/>
      <c r="D29" s="15"/>
      <c r="E29" s="15"/>
      <c r="F29" s="15"/>
      <c r="G29" s="15"/>
      <c r="H29" s="17"/>
      <c r="I29" s="17"/>
      <c r="J29" s="17"/>
      <c r="K29" s="17"/>
      <c r="L29" s="17"/>
      <c r="M29" s="17"/>
      <c r="N29" s="17"/>
      <c r="O29" s="17"/>
      <c r="P29" s="17"/>
      <c r="Q29" s="17"/>
      <c r="R29" s="17"/>
      <c r="S29" s="17"/>
      <c r="T29" s="17"/>
      <c r="U29" s="17"/>
      <c r="V29" s="17"/>
      <c r="W29" s="17"/>
      <c r="X29" s="17"/>
      <c r="Y29" s="17"/>
    </row>
    <row r="30" spans="1:25" ht="14">
      <c r="A30" s="15"/>
      <c r="B30" s="15"/>
      <c r="C30" s="15"/>
      <c r="D30" s="15"/>
      <c r="E30" s="15"/>
      <c r="F30" s="15"/>
      <c r="G30" s="15"/>
      <c r="H30" s="17"/>
      <c r="I30" s="17"/>
      <c r="J30" s="17"/>
      <c r="K30" s="17"/>
      <c r="L30" s="17"/>
      <c r="M30" s="17"/>
      <c r="N30" s="17"/>
      <c r="O30" s="17"/>
      <c r="P30" s="17"/>
      <c r="Q30" s="17"/>
      <c r="R30" s="17"/>
      <c r="S30" s="17"/>
      <c r="T30" s="17"/>
      <c r="U30" s="17"/>
      <c r="V30" s="17"/>
      <c r="W30" s="17"/>
      <c r="X30" s="17"/>
      <c r="Y30" s="17"/>
    </row>
    <row r="31" spans="1:25" ht="14">
      <c r="A31" s="15"/>
      <c r="B31" s="15"/>
      <c r="C31" s="15"/>
      <c r="D31" s="15"/>
      <c r="E31" s="15"/>
      <c r="F31" s="15"/>
      <c r="G31" s="15"/>
      <c r="H31" s="17"/>
      <c r="I31" s="17"/>
      <c r="J31" s="17"/>
      <c r="K31" s="17"/>
      <c r="L31" s="17"/>
      <c r="M31" s="17"/>
      <c r="N31" s="17"/>
      <c r="O31" s="17"/>
      <c r="P31" s="17"/>
      <c r="Q31" s="17"/>
      <c r="R31" s="17"/>
      <c r="S31" s="17"/>
      <c r="T31" s="17"/>
      <c r="U31" s="17"/>
      <c r="V31" s="17"/>
      <c r="W31" s="17"/>
      <c r="X31" s="17"/>
      <c r="Y31" s="17"/>
    </row>
    <row r="32" spans="1:25" ht="14">
      <c r="A32" s="15"/>
      <c r="B32" s="15"/>
      <c r="C32" s="15"/>
      <c r="D32" s="15"/>
      <c r="E32" s="15"/>
      <c r="F32" s="15"/>
      <c r="G32" s="15"/>
      <c r="H32" s="17"/>
      <c r="I32" s="17"/>
      <c r="J32" s="17"/>
      <c r="K32" s="17"/>
      <c r="L32" s="17"/>
      <c r="M32" s="17"/>
      <c r="N32" s="17"/>
      <c r="O32" s="17"/>
      <c r="P32" s="17"/>
      <c r="Q32" s="17"/>
      <c r="R32" s="17"/>
      <c r="S32" s="17"/>
      <c r="T32" s="17"/>
      <c r="U32" s="17"/>
      <c r="V32" s="17"/>
      <c r="W32" s="17"/>
      <c r="X32" s="17"/>
      <c r="Y32" s="17"/>
    </row>
    <row r="33" spans="1:25" ht="14">
      <c r="A33" s="15"/>
      <c r="B33" s="15"/>
      <c r="C33" s="15"/>
      <c r="D33" s="15"/>
      <c r="E33" s="15"/>
      <c r="F33" s="15"/>
      <c r="G33" s="15"/>
      <c r="H33" s="17"/>
      <c r="I33" s="17"/>
      <c r="J33" s="17"/>
      <c r="K33" s="17"/>
      <c r="L33" s="17"/>
      <c r="M33" s="17"/>
      <c r="N33" s="17"/>
      <c r="O33" s="17"/>
      <c r="P33" s="17"/>
      <c r="Q33" s="17"/>
      <c r="R33" s="17"/>
      <c r="S33" s="17"/>
      <c r="T33" s="17"/>
      <c r="U33" s="17"/>
      <c r="V33" s="17"/>
      <c r="W33" s="17"/>
      <c r="X33" s="17"/>
      <c r="Y33" s="17"/>
    </row>
    <row r="34" spans="1:25" ht="14">
      <c r="A34" s="15"/>
      <c r="B34" s="15"/>
      <c r="C34" s="15"/>
      <c r="D34" s="15"/>
      <c r="E34" s="15"/>
      <c r="F34" s="15"/>
      <c r="G34" s="15"/>
      <c r="H34" s="17"/>
      <c r="I34" s="17"/>
      <c r="J34" s="17"/>
      <c r="K34" s="17"/>
      <c r="L34" s="17"/>
      <c r="M34" s="17"/>
      <c r="N34" s="17"/>
      <c r="O34" s="17"/>
      <c r="P34" s="17"/>
      <c r="Q34" s="17"/>
      <c r="R34" s="17"/>
      <c r="S34" s="17"/>
      <c r="T34" s="17"/>
      <c r="U34" s="17"/>
      <c r="V34" s="17"/>
      <c r="W34" s="17"/>
      <c r="X34" s="17"/>
      <c r="Y34" s="17"/>
    </row>
    <row r="35" spans="1:25" ht="14">
      <c r="A35" s="15"/>
      <c r="B35" s="15"/>
      <c r="C35" s="15"/>
      <c r="D35" s="15"/>
      <c r="E35" s="15"/>
      <c r="F35" s="15"/>
      <c r="G35" s="15"/>
      <c r="H35" s="17"/>
      <c r="I35" s="17"/>
      <c r="J35" s="17"/>
      <c r="K35" s="17"/>
      <c r="L35" s="17"/>
      <c r="M35" s="17"/>
      <c r="N35" s="17"/>
      <c r="O35" s="17"/>
      <c r="P35" s="17"/>
      <c r="Q35" s="17"/>
      <c r="R35" s="17"/>
      <c r="S35" s="17"/>
      <c r="T35" s="17"/>
      <c r="U35" s="17"/>
      <c r="V35" s="17"/>
      <c r="W35" s="17"/>
      <c r="X35" s="17"/>
      <c r="Y35" s="17"/>
    </row>
    <row r="36" spans="1:25" ht="14">
      <c r="A36" s="15"/>
      <c r="B36" s="15"/>
      <c r="C36" s="15"/>
      <c r="D36" s="15"/>
      <c r="E36" s="15"/>
      <c r="F36" s="15"/>
      <c r="G36" s="15"/>
      <c r="H36" s="17"/>
      <c r="I36" s="17"/>
      <c r="J36" s="17"/>
      <c r="K36" s="17"/>
      <c r="L36" s="17"/>
      <c r="M36" s="17"/>
      <c r="N36" s="17"/>
      <c r="O36" s="17"/>
      <c r="P36" s="17"/>
      <c r="Q36" s="17"/>
      <c r="R36" s="17"/>
      <c r="S36" s="17"/>
      <c r="T36" s="17"/>
      <c r="U36" s="17"/>
      <c r="V36" s="17"/>
      <c r="W36" s="17"/>
      <c r="X36" s="17"/>
      <c r="Y36" s="17"/>
    </row>
    <row r="37" spans="1:25" ht="14">
      <c r="A37" s="15"/>
      <c r="B37" s="15"/>
      <c r="C37" s="15"/>
      <c r="D37" s="15"/>
      <c r="E37" s="15"/>
      <c r="F37" s="15"/>
      <c r="G37" s="15"/>
      <c r="H37" s="17"/>
      <c r="I37" s="17"/>
      <c r="J37" s="17"/>
      <c r="K37" s="17"/>
      <c r="L37" s="17"/>
      <c r="M37" s="17"/>
      <c r="N37" s="17"/>
      <c r="O37" s="17"/>
      <c r="P37" s="17"/>
      <c r="Q37" s="17"/>
      <c r="R37" s="17"/>
      <c r="S37" s="17"/>
      <c r="T37" s="17"/>
      <c r="U37" s="17"/>
      <c r="V37" s="17"/>
      <c r="W37" s="17"/>
      <c r="X37" s="17"/>
      <c r="Y37" s="17"/>
    </row>
    <row r="38" spans="1:25" ht="14">
      <c r="A38" s="15"/>
      <c r="B38" s="15"/>
      <c r="C38" s="15"/>
      <c r="D38" s="15"/>
      <c r="E38" s="15"/>
      <c r="F38" s="15"/>
      <c r="G38" s="15"/>
      <c r="H38" s="17"/>
      <c r="I38" s="17"/>
      <c r="J38" s="17"/>
      <c r="K38" s="17"/>
      <c r="L38" s="17"/>
      <c r="M38" s="17"/>
      <c r="N38" s="17"/>
      <c r="O38" s="17"/>
      <c r="P38" s="17"/>
      <c r="Q38" s="17"/>
      <c r="R38" s="17"/>
      <c r="S38" s="17"/>
      <c r="T38" s="17"/>
      <c r="U38" s="17"/>
      <c r="V38" s="17"/>
      <c r="W38" s="17"/>
      <c r="X38" s="17"/>
      <c r="Y38" s="17"/>
    </row>
    <row r="39" spans="1:25" ht="14">
      <c r="A39" s="15"/>
      <c r="B39" s="15"/>
      <c r="C39" s="15"/>
      <c r="D39" s="15"/>
      <c r="E39" s="15"/>
      <c r="F39" s="15"/>
      <c r="G39" s="15"/>
      <c r="H39" s="17"/>
      <c r="I39" s="17"/>
      <c r="J39" s="17"/>
      <c r="K39" s="17"/>
      <c r="L39" s="17"/>
      <c r="M39" s="17"/>
      <c r="N39" s="17"/>
      <c r="O39" s="17"/>
      <c r="P39" s="17"/>
      <c r="Q39" s="17"/>
      <c r="R39" s="17"/>
      <c r="S39" s="17"/>
      <c r="T39" s="17"/>
      <c r="U39" s="17"/>
      <c r="V39" s="17"/>
      <c r="W39" s="17"/>
      <c r="X39" s="17"/>
      <c r="Y39" s="17"/>
    </row>
    <row r="40" spans="1:25" ht="14">
      <c r="A40" s="15"/>
      <c r="B40" s="15"/>
      <c r="C40" s="15"/>
      <c r="D40" s="15"/>
      <c r="E40" s="15"/>
      <c r="F40" s="15"/>
      <c r="G40" s="15"/>
      <c r="H40" s="17"/>
      <c r="I40" s="17"/>
      <c r="J40" s="17"/>
      <c r="K40" s="17"/>
      <c r="L40" s="17"/>
      <c r="M40" s="17"/>
      <c r="N40" s="17"/>
      <c r="O40" s="17"/>
      <c r="P40" s="17"/>
      <c r="Q40" s="17"/>
      <c r="R40" s="17"/>
      <c r="S40" s="17"/>
      <c r="T40" s="17"/>
      <c r="U40" s="17"/>
      <c r="V40" s="17"/>
      <c r="W40" s="17"/>
      <c r="X40" s="17"/>
      <c r="Y40" s="17"/>
    </row>
    <row r="41" spans="1:25" ht="14">
      <c r="A41" s="15"/>
      <c r="B41" s="15"/>
      <c r="C41" s="15"/>
      <c r="D41" s="15"/>
      <c r="E41" s="15"/>
      <c r="F41" s="15"/>
      <c r="G41" s="15"/>
      <c r="H41" s="17"/>
      <c r="I41" s="17"/>
      <c r="J41" s="17"/>
      <c r="K41" s="17"/>
      <c r="L41" s="17"/>
      <c r="M41" s="17"/>
      <c r="N41" s="17"/>
      <c r="O41" s="17"/>
      <c r="P41" s="17"/>
      <c r="Q41" s="17"/>
      <c r="R41" s="17"/>
      <c r="S41" s="17"/>
      <c r="T41" s="17"/>
      <c r="U41" s="17"/>
      <c r="V41" s="17"/>
      <c r="W41" s="17"/>
      <c r="X41" s="17"/>
      <c r="Y41" s="17"/>
    </row>
    <row r="42" spans="1:25" ht="14">
      <c r="A42" s="15"/>
      <c r="B42" s="15"/>
      <c r="C42" s="15"/>
      <c r="D42" s="15"/>
      <c r="E42" s="15"/>
      <c r="F42" s="15"/>
      <c r="G42" s="15"/>
      <c r="H42" s="17"/>
      <c r="I42" s="17"/>
      <c r="J42" s="17"/>
      <c r="K42" s="17"/>
      <c r="L42" s="17"/>
      <c r="M42" s="17"/>
      <c r="N42" s="17"/>
      <c r="O42" s="17"/>
      <c r="P42" s="17"/>
      <c r="Q42" s="17"/>
      <c r="R42" s="17"/>
      <c r="S42" s="17"/>
      <c r="T42" s="17"/>
      <c r="U42" s="17"/>
      <c r="V42" s="17"/>
      <c r="W42" s="17"/>
      <c r="X42" s="17"/>
      <c r="Y42" s="17"/>
    </row>
    <row r="43" spans="1:25" ht="14">
      <c r="A43" s="15"/>
      <c r="B43" s="15"/>
      <c r="C43" s="15"/>
      <c r="D43" s="15"/>
      <c r="E43" s="15"/>
      <c r="F43" s="15"/>
      <c r="G43" s="15"/>
      <c r="H43" s="17"/>
      <c r="I43" s="17"/>
      <c r="J43" s="17"/>
      <c r="K43" s="17"/>
      <c r="L43" s="17"/>
      <c r="M43" s="17"/>
      <c r="N43" s="17"/>
      <c r="O43" s="17"/>
      <c r="P43" s="17"/>
      <c r="Q43" s="17"/>
      <c r="R43" s="17"/>
      <c r="S43" s="17"/>
      <c r="T43" s="17"/>
      <c r="U43" s="17"/>
      <c r="V43" s="17"/>
      <c r="W43" s="17"/>
      <c r="X43" s="17"/>
      <c r="Y43" s="17"/>
    </row>
    <row r="44" spans="1:25" ht="14">
      <c r="A44" s="15"/>
      <c r="B44" s="15"/>
      <c r="C44" s="15"/>
      <c r="D44" s="15"/>
      <c r="E44" s="15"/>
      <c r="F44" s="15"/>
      <c r="G44" s="15"/>
      <c r="H44" s="17"/>
      <c r="I44" s="17"/>
      <c r="J44" s="17"/>
      <c r="K44" s="17"/>
      <c r="L44" s="17"/>
      <c r="M44" s="17"/>
      <c r="N44" s="17"/>
      <c r="O44" s="17"/>
      <c r="P44" s="17"/>
      <c r="Q44" s="17"/>
      <c r="R44" s="17"/>
      <c r="S44" s="17"/>
      <c r="T44" s="17"/>
      <c r="U44" s="17"/>
      <c r="V44" s="17"/>
      <c r="W44" s="17"/>
      <c r="X44" s="17"/>
      <c r="Y44" s="17"/>
    </row>
    <row r="45" spans="1:25" ht="14">
      <c r="A45" s="15"/>
      <c r="B45" s="15"/>
      <c r="C45" s="15"/>
      <c r="D45" s="15"/>
      <c r="E45" s="15"/>
      <c r="F45" s="15"/>
      <c r="G45" s="15"/>
      <c r="H45" s="17"/>
      <c r="I45" s="17"/>
      <c r="J45" s="17"/>
      <c r="K45" s="17"/>
      <c r="L45" s="17"/>
      <c r="M45" s="17"/>
      <c r="N45" s="17"/>
      <c r="O45" s="17"/>
      <c r="P45" s="17"/>
      <c r="Q45" s="17"/>
      <c r="R45" s="17"/>
      <c r="S45" s="17"/>
      <c r="T45" s="17"/>
      <c r="U45" s="17"/>
      <c r="V45" s="17"/>
      <c r="W45" s="17"/>
      <c r="X45" s="17"/>
      <c r="Y45" s="17"/>
    </row>
    <row r="46" spans="1:25" ht="13">
      <c r="A46" s="3"/>
      <c r="B46" s="3"/>
      <c r="C46" s="3"/>
      <c r="D46" s="3"/>
      <c r="E46" s="3"/>
      <c r="F46" s="3"/>
      <c r="G46" s="3"/>
    </row>
    <row r="47" spans="1:25" ht="13">
      <c r="A47" s="3"/>
      <c r="B47" s="3"/>
      <c r="C47" s="3"/>
      <c r="D47" s="3"/>
      <c r="E47" s="3"/>
      <c r="F47" s="3"/>
      <c r="G47" s="3"/>
    </row>
    <row r="48" spans="1:25" ht="13">
      <c r="A48" s="3"/>
      <c r="B48" s="3"/>
      <c r="C48" s="3"/>
      <c r="D48" s="3"/>
      <c r="E48" s="3"/>
      <c r="F48" s="3"/>
      <c r="G48" s="3"/>
    </row>
    <row r="49" spans="1:7" ht="13">
      <c r="A49" s="3"/>
      <c r="B49" s="3"/>
      <c r="C49" s="3"/>
      <c r="D49" s="3"/>
      <c r="E49" s="3"/>
      <c r="F49" s="3"/>
      <c r="G49" s="3"/>
    </row>
    <row r="50" spans="1:7" ht="13">
      <c r="A50" s="3"/>
      <c r="B50" s="3"/>
      <c r="C50" s="3"/>
      <c r="D50" s="3"/>
      <c r="E50" s="3"/>
      <c r="F50" s="3"/>
      <c r="G50" s="3"/>
    </row>
    <row r="51" spans="1:7" ht="13">
      <c r="A51" s="3"/>
      <c r="B51" s="3"/>
      <c r="C51" s="3"/>
      <c r="D51" s="3"/>
      <c r="E51" s="3"/>
      <c r="F51" s="3"/>
      <c r="G51" s="3"/>
    </row>
    <row r="52" spans="1:7" ht="13">
      <c r="A52" s="3"/>
      <c r="B52" s="3"/>
      <c r="C52" s="3"/>
      <c r="D52" s="3"/>
      <c r="E52" s="3"/>
      <c r="F52" s="3"/>
      <c r="G52" s="3"/>
    </row>
    <row r="53" spans="1:7" ht="13">
      <c r="A53" s="3"/>
      <c r="B53" s="3"/>
      <c r="C53" s="3"/>
      <c r="D53" s="3"/>
      <c r="E53" s="3"/>
      <c r="F53" s="3"/>
      <c r="G53" s="3"/>
    </row>
    <row r="54" spans="1:7" ht="13">
      <c r="A54" s="3"/>
      <c r="B54" s="3"/>
      <c r="C54" s="3"/>
      <c r="D54" s="3"/>
      <c r="E54" s="3"/>
      <c r="F54" s="3"/>
      <c r="G54" s="3"/>
    </row>
    <row r="55" spans="1:7" ht="13">
      <c r="A55" s="3"/>
      <c r="B55" s="3"/>
      <c r="C55" s="3"/>
      <c r="D55" s="3"/>
      <c r="E55" s="3"/>
      <c r="F55" s="3"/>
      <c r="G55" s="3"/>
    </row>
    <row r="56" spans="1:7" ht="13">
      <c r="A56" s="3"/>
      <c r="B56" s="3"/>
      <c r="C56" s="3"/>
      <c r="D56" s="3"/>
      <c r="E56" s="3"/>
      <c r="F56" s="3"/>
      <c r="G56" s="3"/>
    </row>
    <row r="57" spans="1:7" ht="13">
      <c r="A57" s="3"/>
      <c r="B57" s="3"/>
      <c r="C57" s="3"/>
      <c r="D57" s="3"/>
      <c r="E57" s="3"/>
      <c r="F57" s="3"/>
      <c r="G57" s="3"/>
    </row>
    <row r="58" spans="1:7" ht="13">
      <c r="A58" s="3"/>
      <c r="B58" s="3"/>
      <c r="C58" s="3"/>
      <c r="D58" s="3"/>
      <c r="E58" s="3"/>
      <c r="F58" s="3"/>
      <c r="G58" s="3"/>
    </row>
    <row r="59" spans="1:7" ht="13">
      <c r="A59" s="3"/>
      <c r="B59" s="3"/>
      <c r="C59" s="3"/>
      <c r="D59" s="3"/>
      <c r="E59" s="3"/>
      <c r="F59" s="3"/>
      <c r="G59" s="3"/>
    </row>
    <row r="60" spans="1:7" ht="13">
      <c r="A60" s="3"/>
      <c r="B60" s="3"/>
      <c r="C60" s="3"/>
      <c r="D60" s="3"/>
      <c r="E60" s="3"/>
      <c r="F60" s="3"/>
      <c r="G60" s="3"/>
    </row>
    <row r="61" spans="1:7" ht="13">
      <c r="A61" s="3"/>
      <c r="B61" s="3"/>
      <c r="C61" s="3"/>
      <c r="D61" s="3"/>
      <c r="E61" s="3"/>
      <c r="F61" s="3"/>
      <c r="G61" s="3"/>
    </row>
    <row r="62" spans="1:7" ht="13">
      <c r="A62" s="3"/>
      <c r="B62" s="3"/>
      <c r="C62" s="3"/>
      <c r="D62" s="3"/>
      <c r="E62" s="3"/>
      <c r="F62" s="3"/>
      <c r="G62" s="3"/>
    </row>
    <row r="63" spans="1:7" ht="13">
      <c r="A63" s="3"/>
      <c r="B63" s="3"/>
      <c r="C63" s="3"/>
      <c r="D63" s="3"/>
      <c r="E63" s="3"/>
      <c r="F63" s="3"/>
      <c r="G63" s="3"/>
    </row>
    <row r="64" spans="1:7" ht="13">
      <c r="A64" s="3"/>
      <c r="B64" s="3"/>
      <c r="C64" s="3"/>
      <c r="D64" s="3"/>
      <c r="E64" s="3"/>
      <c r="F64" s="3"/>
      <c r="G64" s="3"/>
    </row>
    <row r="65" spans="1:7" ht="13">
      <c r="A65" s="3"/>
      <c r="B65" s="3"/>
      <c r="C65" s="3"/>
      <c r="D65" s="3"/>
      <c r="E65" s="3"/>
      <c r="F65" s="3"/>
      <c r="G65" s="3"/>
    </row>
    <row r="66" spans="1:7" ht="13">
      <c r="A66" s="3"/>
      <c r="B66" s="3"/>
      <c r="C66" s="3"/>
      <c r="D66" s="3"/>
      <c r="E66" s="3"/>
      <c r="F66" s="3"/>
      <c r="G66" s="3"/>
    </row>
    <row r="67" spans="1:7" ht="13">
      <c r="A67" s="3"/>
      <c r="B67" s="3"/>
      <c r="C67" s="3"/>
      <c r="D67" s="3"/>
      <c r="E67" s="3"/>
      <c r="F67" s="3"/>
      <c r="G67" s="3"/>
    </row>
    <row r="68" spans="1:7" ht="13">
      <c r="A68" s="3"/>
      <c r="B68" s="3"/>
      <c r="C68" s="3"/>
      <c r="D68" s="3"/>
      <c r="E68" s="3"/>
      <c r="F68" s="3"/>
      <c r="G68" s="3"/>
    </row>
    <row r="69" spans="1:7" ht="13">
      <c r="A69" s="3"/>
      <c r="B69" s="3"/>
      <c r="C69" s="3"/>
      <c r="D69" s="3"/>
      <c r="E69" s="3"/>
      <c r="F69" s="3"/>
      <c r="G69" s="3"/>
    </row>
    <row r="70" spans="1:7" ht="13">
      <c r="A70" s="3"/>
      <c r="B70" s="3"/>
      <c r="C70" s="3"/>
      <c r="D70" s="3"/>
      <c r="E70" s="3"/>
      <c r="F70" s="3"/>
      <c r="G70" s="3"/>
    </row>
    <row r="71" spans="1:7" ht="13">
      <c r="A71" s="3"/>
      <c r="B71" s="3"/>
      <c r="C71" s="3"/>
      <c r="D71" s="3"/>
      <c r="E71" s="3"/>
      <c r="F71" s="3"/>
      <c r="G71" s="3"/>
    </row>
    <row r="72" spans="1:7" ht="13">
      <c r="A72" s="3"/>
      <c r="B72" s="3"/>
      <c r="C72" s="3"/>
      <c r="D72" s="3"/>
      <c r="E72" s="3"/>
      <c r="F72" s="3"/>
      <c r="G72" s="3"/>
    </row>
    <row r="73" spans="1:7" ht="13">
      <c r="A73" s="3"/>
      <c r="B73" s="3"/>
      <c r="C73" s="3"/>
      <c r="D73" s="3"/>
      <c r="E73" s="3"/>
      <c r="F73" s="3"/>
      <c r="G73" s="3"/>
    </row>
    <row r="74" spans="1:7" ht="13">
      <c r="A74" s="3"/>
      <c r="B74" s="3"/>
      <c r="C74" s="3"/>
      <c r="D74" s="3"/>
      <c r="E74" s="3"/>
      <c r="F74" s="3"/>
      <c r="G74" s="3"/>
    </row>
    <row r="75" spans="1:7" ht="13">
      <c r="A75" s="3"/>
      <c r="B75" s="3"/>
      <c r="C75" s="3"/>
      <c r="D75" s="3"/>
      <c r="E75" s="3"/>
      <c r="F75" s="3"/>
      <c r="G75" s="3"/>
    </row>
    <row r="76" spans="1:7" ht="13">
      <c r="A76" s="3"/>
      <c r="B76" s="3"/>
      <c r="C76" s="3"/>
      <c r="D76" s="3"/>
      <c r="E76" s="3"/>
      <c r="F76" s="3"/>
      <c r="G76" s="3"/>
    </row>
    <row r="77" spans="1:7" ht="13">
      <c r="A77" s="3"/>
      <c r="B77" s="3"/>
      <c r="C77" s="3"/>
      <c r="D77" s="3"/>
      <c r="E77" s="3"/>
      <c r="F77" s="3"/>
      <c r="G77" s="3"/>
    </row>
    <row r="78" spans="1:7" ht="13">
      <c r="A78" s="3"/>
      <c r="B78" s="3"/>
      <c r="C78" s="3"/>
      <c r="D78" s="3"/>
      <c r="E78" s="3"/>
      <c r="F78" s="3"/>
      <c r="G78" s="3"/>
    </row>
    <row r="79" spans="1:7" ht="13">
      <c r="A79" s="3"/>
      <c r="B79" s="3"/>
      <c r="C79" s="3"/>
      <c r="D79" s="3"/>
      <c r="E79" s="3"/>
      <c r="F79" s="3"/>
      <c r="G79" s="3"/>
    </row>
    <row r="80" spans="1:7" ht="13">
      <c r="A80" s="3"/>
      <c r="B80" s="3"/>
      <c r="C80" s="3"/>
      <c r="D80" s="3"/>
      <c r="E80" s="3"/>
      <c r="F80" s="3"/>
      <c r="G80" s="3"/>
    </row>
    <row r="81" spans="1:7" ht="13">
      <c r="A81" s="3"/>
      <c r="B81" s="3"/>
      <c r="C81" s="3"/>
      <c r="D81" s="3"/>
      <c r="E81" s="3"/>
      <c r="F81" s="3"/>
      <c r="G81" s="3"/>
    </row>
    <row r="82" spans="1:7" ht="13">
      <c r="A82" s="3"/>
      <c r="B82" s="3"/>
      <c r="C82" s="3"/>
      <c r="D82" s="3"/>
      <c r="E82" s="3"/>
      <c r="F82" s="3"/>
      <c r="G82" s="3"/>
    </row>
    <row r="83" spans="1:7" ht="13">
      <c r="A83" s="3"/>
      <c r="B83" s="3"/>
      <c r="C83" s="3"/>
      <c r="D83" s="3"/>
      <c r="E83" s="3"/>
      <c r="F83" s="3"/>
      <c r="G83" s="3"/>
    </row>
    <row r="84" spans="1:7" ht="13">
      <c r="A84" s="3"/>
      <c r="B84" s="3"/>
      <c r="C84" s="3"/>
      <c r="D84" s="3"/>
      <c r="E84" s="3"/>
      <c r="F84" s="3"/>
      <c r="G84" s="3"/>
    </row>
    <row r="85" spans="1:7" ht="13">
      <c r="A85" s="3"/>
      <c r="B85" s="3"/>
      <c r="C85" s="3"/>
      <c r="D85" s="3"/>
      <c r="E85" s="3"/>
      <c r="F85" s="3"/>
      <c r="G85" s="3"/>
    </row>
    <row r="86" spans="1:7" ht="13">
      <c r="A86" s="3"/>
      <c r="B86" s="3"/>
      <c r="C86" s="3"/>
      <c r="D86" s="3"/>
      <c r="E86" s="3"/>
      <c r="F86" s="3"/>
      <c r="G86" s="3"/>
    </row>
    <row r="87" spans="1:7" ht="13">
      <c r="A87" s="3"/>
      <c r="B87" s="3"/>
      <c r="C87" s="3"/>
      <c r="D87" s="3"/>
      <c r="E87" s="3"/>
      <c r="F87" s="3"/>
      <c r="G87" s="3"/>
    </row>
    <row r="88" spans="1:7" ht="13">
      <c r="A88" s="3"/>
      <c r="B88" s="3"/>
      <c r="C88" s="3"/>
      <c r="D88" s="3"/>
      <c r="E88" s="3"/>
      <c r="F88" s="3"/>
      <c r="G88" s="3"/>
    </row>
    <row r="89" spans="1:7" ht="13">
      <c r="A89" s="3"/>
      <c r="B89" s="3"/>
      <c r="C89" s="3"/>
      <c r="D89" s="3"/>
      <c r="E89" s="3"/>
      <c r="F89" s="3"/>
      <c r="G89" s="3"/>
    </row>
    <row r="90" spans="1:7" ht="13">
      <c r="A90" s="3"/>
      <c r="B90" s="3"/>
      <c r="C90" s="3"/>
      <c r="D90" s="3"/>
      <c r="E90" s="3"/>
      <c r="F90" s="3"/>
      <c r="G90" s="3"/>
    </row>
    <row r="91" spans="1:7" ht="13">
      <c r="A91" s="3"/>
      <c r="B91" s="3"/>
      <c r="C91" s="3"/>
      <c r="D91" s="3"/>
      <c r="E91" s="3"/>
      <c r="F91" s="3"/>
      <c r="G91" s="3"/>
    </row>
    <row r="92" spans="1:7" ht="13">
      <c r="A92" s="3"/>
      <c r="B92" s="3"/>
      <c r="C92" s="3"/>
      <c r="D92" s="3"/>
      <c r="E92" s="3"/>
      <c r="F92" s="3"/>
      <c r="G92" s="3"/>
    </row>
    <row r="93" spans="1:7" ht="13">
      <c r="A93" s="3"/>
      <c r="B93" s="3"/>
      <c r="C93" s="3"/>
      <c r="D93" s="3"/>
      <c r="E93" s="3"/>
      <c r="F93" s="3"/>
      <c r="G93" s="3"/>
    </row>
    <row r="94" spans="1:7" ht="13">
      <c r="A94" s="3"/>
      <c r="B94" s="3"/>
      <c r="C94" s="3"/>
      <c r="D94" s="3"/>
      <c r="E94" s="3"/>
      <c r="F94" s="3"/>
      <c r="G94" s="3"/>
    </row>
    <row r="95" spans="1:7" ht="13">
      <c r="A95" s="3"/>
      <c r="B95" s="3"/>
      <c r="C95" s="3"/>
      <c r="D95" s="3"/>
      <c r="E95" s="3"/>
      <c r="F95" s="3"/>
      <c r="G95" s="3"/>
    </row>
    <row r="96" spans="1:7" ht="13">
      <c r="A96" s="3"/>
      <c r="B96" s="3"/>
      <c r="C96" s="3"/>
      <c r="D96" s="3"/>
      <c r="E96" s="3"/>
      <c r="F96" s="3"/>
      <c r="G96" s="3"/>
    </row>
    <row r="97" spans="1:7" ht="13">
      <c r="A97" s="3"/>
      <c r="B97" s="3"/>
      <c r="C97" s="3"/>
      <c r="D97" s="3"/>
      <c r="E97" s="3"/>
      <c r="F97" s="3"/>
      <c r="G97" s="3"/>
    </row>
    <row r="98" spans="1:7" ht="13">
      <c r="A98" s="3"/>
      <c r="B98" s="3"/>
      <c r="C98" s="3"/>
      <c r="D98" s="3"/>
      <c r="E98" s="3"/>
      <c r="F98" s="3"/>
      <c r="G98" s="3"/>
    </row>
    <row r="99" spans="1:7" ht="13">
      <c r="A99" s="3"/>
      <c r="B99" s="3"/>
      <c r="C99" s="3"/>
      <c r="D99" s="3"/>
      <c r="E99" s="3"/>
      <c r="F99" s="3"/>
      <c r="G99" s="3"/>
    </row>
    <row r="100" spans="1:7" ht="13">
      <c r="A100" s="3"/>
      <c r="B100" s="3"/>
      <c r="C100" s="3"/>
      <c r="D100" s="3"/>
      <c r="E100" s="3"/>
      <c r="F100" s="3"/>
      <c r="G100" s="3"/>
    </row>
    <row r="101" spans="1:7" ht="13">
      <c r="A101" s="3"/>
      <c r="B101" s="3"/>
      <c r="C101" s="3"/>
      <c r="D101" s="3"/>
      <c r="E101" s="3"/>
      <c r="F101" s="3"/>
      <c r="G101" s="3"/>
    </row>
    <row r="102" spans="1:7" ht="13">
      <c r="A102" s="3"/>
      <c r="B102" s="3"/>
      <c r="C102" s="3"/>
      <c r="D102" s="3"/>
      <c r="E102" s="3"/>
      <c r="F102" s="3"/>
      <c r="G102" s="3"/>
    </row>
    <row r="103" spans="1:7" ht="13">
      <c r="A103" s="3"/>
      <c r="B103" s="3"/>
      <c r="C103" s="3"/>
      <c r="D103" s="3"/>
      <c r="E103" s="3"/>
      <c r="F103" s="3"/>
      <c r="G103" s="3"/>
    </row>
    <row r="104" spans="1:7" ht="13">
      <c r="A104" s="3"/>
      <c r="B104" s="3"/>
      <c r="C104" s="3"/>
      <c r="D104" s="3"/>
      <c r="E104" s="3"/>
      <c r="F104" s="3"/>
      <c r="G104" s="3"/>
    </row>
    <row r="105" spans="1:7" ht="13">
      <c r="A105" s="3"/>
      <c r="B105" s="3"/>
      <c r="C105" s="3"/>
      <c r="D105" s="3"/>
      <c r="E105" s="3"/>
      <c r="F105" s="3"/>
      <c r="G105" s="3"/>
    </row>
    <row r="106" spans="1:7" ht="13">
      <c r="A106" s="3"/>
      <c r="B106" s="3"/>
      <c r="C106" s="3"/>
      <c r="D106" s="3"/>
      <c r="E106" s="3"/>
      <c r="F106" s="3"/>
      <c r="G106" s="3"/>
    </row>
    <row r="107" spans="1:7" ht="13">
      <c r="A107" s="3"/>
      <c r="B107" s="3"/>
      <c r="C107" s="3"/>
      <c r="D107" s="3"/>
      <c r="E107" s="3"/>
      <c r="F107" s="3"/>
      <c r="G107" s="3"/>
    </row>
    <row r="108" spans="1:7" ht="13">
      <c r="A108" s="3"/>
      <c r="B108" s="3"/>
      <c r="C108" s="3"/>
      <c r="D108" s="3"/>
      <c r="E108" s="3"/>
      <c r="F108" s="3"/>
      <c r="G108" s="3"/>
    </row>
    <row r="109" spans="1:7" ht="13">
      <c r="A109" s="3"/>
      <c r="B109" s="3"/>
      <c r="C109" s="3"/>
      <c r="D109" s="3"/>
      <c r="E109" s="3"/>
      <c r="F109" s="3"/>
      <c r="G109" s="3"/>
    </row>
    <row r="110" spans="1:7" ht="13">
      <c r="A110" s="3"/>
      <c r="B110" s="3"/>
      <c r="C110" s="3"/>
      <c r="D110" s="3"/>
      <c r="E110" s="3"/>
      <c r="F110" s="3"/>
      <c r="G110" s="3"/>
    </row>
    <row r="111" spans="1:7" ht="13">
      <c r="A111" s="3"/>
      <c r="B111" s="3"/>
      <c r="C111" s="3"/>
      <c r="D111" s="3"/>
      <c r="E111" s="3"/>
      <c r="F111" s="3"/>
      <c r="G111" s="3"/>
    </row>
    <row r="112" spans="1:7" ht="13">
      <c r="A112" s="3"/>
      <c r="B112" s="3"/>
      <c r="C112" s="3"/>
      <c r="D112" s="3"/>
      <c r="E112" s="3"/>
      <c r="F112" s="3"/>
      <c r="G112" s="3"/>
    </row>
    <row r="113" spans="1:7" ht="13">
      <c r="A113" s="3"/>
      <c r="B113" s="3"/>
      <c r="C113" s="3"/>
      <c r="D113" s="3"/>
      <c r="E113" s="3"/>
      <c r="F113" s="3"/>
      <c r="G113" s="3"/>
    </row>
    <row r="114" spans="1:7" ht="13">
      <c r="A114" s="3"/>
      <c r="B114" s="3"/>
      <c r="C114" s="3"/>
      <c r="D114" s="3"/>
      <c r="E114" s="3"/>
      <c r="F114" s="3"/>
      <c r="G114" s="3"/>
    </row>
    <row r="115" spans="1:7" ht="13">
      <c r="A115" s="3"/>
      <c r="B115" s="3"/>
      <c r="C115" s="3"/>
      <c r="D115" s="3"/>
      <c r="E115" s="3"/>
      <c r="F115" s="3"/>
      <c r="G115" s="3"/>
    </row>
    <row r="116" spans="1:7" ht="13">
      <c r="A116" s="3"/>
      <c r="B116" s="3"/>
      <c r="C116" s="3"/>
      <c r="D116" s="3"/>
      <c r="E116" s="3"/>
      <c r="F116" s="3"/>
      <c r="G116" s="3"/>
    </row>
    <row r="117" spans="1:7" ht="13">
      <c r="A117" s="3"/>
      <c r="B117" s="3"/>
      <c r="C117" s="3"/>
      <c r="D117" s="3"/>
      <c r="E117" s="3"/>
      <c r="F117" s="3"/>
      <c r="G117" s="3"/>
    </row>
    <row r="118" spans="1:7" ht="13">
      <c r="A118" s="3"/>
      <c r="B118" s="3"/>
      <c r="C118" s="3"/>
      <c r="D118" s="3"/>
      <c r="E118" s="3"/>
      <c r="F118" s="3"/>
      <c r="G118" s="3"/>
    </row>
    <row r="119" spans="1:7" ht="13">
      <c r="A119" s="3"/>
      <c r="B119" s="3"/>
      <c r="C119" s="3"/>
      <c r="D119" s="3"/>
      <c r="E119" s="3"/>
      <c r="F119" s="3"/>
      <c r="G119" s="3"/>
    </row>
    <row r="120" spans="1:7" ht="13">
      <c r="A120" s="3"/>
      <c r="B120" s="3"/>
      <c r="C120" s="3"/>
      <c r="D120" s="3"/>
      <c r="E120" s="3"/>
      <c r="F120" s="3"/>
      <c r="G120" s="3"/>
    </row>
    <row r="121" spans="1:7" ht="13">
      <c r="A121" s="3"/>
      <c r="B121" s="3"/>
      <c r="C121" s="3"/>
      <c r="D121" s="3"/>
      <c r="E121" s="3"/>
      <c r="F121" s="3"/>
      <c r="G121" s="3"/>
    </row>
    <row r="122" spans="1:7" ht="13">
      <c r="A122" s="3"/>
      <c r="B122" s="3"/>
      <c r="C122" s="3"/>
      <c r="D122" s="3"/>
      <c r="E122" s="3"/>
      <c r="F122" s="3"/>
      <c r="G122" s="3"/>
    </row>
    <row r="123" spans="1:7" ht="13">
      <c r="A123" s="3"/>
      <c r="B123" s="3"/>
      <c r="C123" s="3"/>
      <c r="D123" s="3"/>
      <c r="E123" s="3"/>
      <c r="F123" s="3"/>
      <c r="G123" s="3"/>
    </row>
    <row r="124" spans="1:7" ht="13">
      <c r="A124" s="3"/>
      <c r="B124" s="3"/>
      <c r="C124" s="3"/>
      <c r="D124" s="3"/>
      <c r="E124" s="3"/>
      <c r="F124" s="3"/>
      <c r="G124" s="3"/>
    </row>
    <row r="125" spans="1:7" ht="13">
      <c r="A125" s="3"/>
      <c r="B125" s="3"/>
      <c r="C125" s="3"/>
      <c r="D125" s="3"/>
      <c r="E125" s="3"/>
      <c r="F125" s="3"/>
      <c r="G125" s="3"/>
    </row>
    <row r="126" spans="1:7" ht="13">
      <c r="A126" s="3"/>
      <c r="B126" s="3"/>
      <c r="C126" s="3"/>
      <c r="D126" s="3"/>
      <c r="E126" s="3"/>
      <c r="F126" s="3"/>
      <c r="G126" s="3"/>
    </row>
    <row r="127" spans="1:7" ht="13">
      <c r="A127" s="3"/>
      <c r="B127" s="3"/>
      <c r="C127" s="3"/>
      <c r="D127" s="3"/>
      <c r="E127" s="3"/>
      <c r="F127" s="3"/>
      <c r="G127" s="3"/>
    </row>
    <row r="128" spans="1:7" ht="13">
      <c r="A128" s="3"/>
      <c r="B128" s="3"/>
      <c r="C128" s="3"/>
      <c r="D128" s="3"/>
      <c r="E128" s="3"/>
      <c r="F128" s="3"/>
      <c r="G128" s="3"/>
    </row>
    <row r="129" spans="1:7" ht="13">
      <c r="A129" s="3"/>
      <c r="B129" s="3"/>
      <c r="C129" s="3"/>
      <c r="D129" s="3"/>
      <c r="E129" s="3"/>
      <c r="F129" s="3"/>
      <c r="G129" s="3"/>
    </row>
    <row r="130" spans="1:7" ht="13">
      <c r="A130" s="3"/>
      <c r="B130" s="3"/>
      <c r="C130" s="3"/>
      <c r="D130" s="3"/>
      <c r="E130" s="3"/>
      <c r="F130" s="3"/>
      <c r="G130" s="3"/>
    </row>
    <row r="131" spans="1:7" ht="13">
      <c r="A131" s="3"/>
      <c r="B131" s="3"/>
      <c r="C131" s="3"/>
      <c r="D131" s="3"/>
      <c r="E131" s="3"/>
      <c r="F131" s="3"/>
      <c r="G131" s="3"/>
    </row>
    <row r="132" spans="1:7" ht="13">
      <c r="A132" s="3"/>
      <c r="B132" s="3"/>
      <c r="C132" s="3"/>
      <c r="D132" s="3"/>
      <c r="E132" s="3"/>
      <c r="F132" s="3"/>
      <c r="G132" s="3"/>
    </row>
    <row r="133" spans="1:7" ht="13">
      <c r="A133" s="3"/>
      <c r="B133" s="3"/>
      <c r="C133" s="3"/>
      <c r="D133" s="3"/>
      <c r="E133" s="3"/>
      <c r="F133" s="3"/>
      <c r="G133" s="3"/>
    </row>
    <row r="134" spans="1:7" ht="13">
      <c r="A134" s="3"/>
      <c r="B134" s="3"/>
      <c r="C134" s="3"/>
      <c r="D134" s="3"/>
      <c r="E134" s="3"/>
      <c r="F134" s="3"/>
      <c r="G134" s="3"/>
    </row>
    <row r="135" spans="1:7" ht="13">
      <c r="A135" s="3"/>
      <c r="B135" s="3"/>
      <c r="C135" s="3"/>
      <c r="D135" s="3"/>
      <c r="E135" s="3"/>
      <c r="F135" s="3"/>
      <c r="G135" s="3"/>
    </row>
    <row r="136" spans="1:7" ht="13">
      <c r="A136" s="3"/>
      <c r="B136" s="3"/>
      <c r="C136" s="3"/>
      <c r="D136" s="3"/>
      <c r="E136" s="3"/>
      <c r="F136" s="3"/>
      <c r="G136" s="3"/>
    </row>
    <row r="137" spans="1:7" ht="13">
      <c r="A137" s="3"/>
      <c r="B137" s="3"/>
      <c r="C137" s="3"/>
      <c r="D137" s="3"/>
      <c r="E137" s="3"/>
      <c r="F137" s="3"/>
      <c r="G137" s="3"/>
    </row>
    <row r="138" spans="1:7" ht="13">
      <c r="A138" s="3"/>
      <c r="B138" s="3"/>
      <c r="C138" s="3"/>
      <c r="D138" s="3"/>
      <c r="E138" s="3"/>
      <c r="F138" s="3"/>
      <c r="G138" s="3"/>
    </row>
    <row r="139" spans="1:7" ht="13">
      <c r="A139" s="3"/>
      <c r="B139" s="3"/>
      <c r="C139" s="3"/>
      <c r="D139" s="3"/>
      <c r="E139" s="3"/>
      <c r="F139" s="3"/>
      <c r="G139" s="3"/>
    </row>
    <row r="140" spans="1:7" ht="13">
      <c r="A140" s="3"/>
      <c r="B140" s="3"/>
      <c r="C140" s="3"/>
      <c r="D140" s="3"/>
      <c r="E140" s="3"/>
      <c r="F140" s="3"/>
      <c r="G140" s="3"/>
    </row>
    <row r="141" spans="1:7" ht="13">
      <c r="A141" s="3"/>
      <c r="B141" s="3"/>
      <c r="C141" s="3"/>
      <c r="D141" s="3"/>
      <c r="E141" s="3"/>
      <c r="F141" s="3"/>
      <c r="G141" s="3"/>
    </row>
    <row r="142" spans="1:7" ht="13">
      <c r="A142" s="3"/>
      <c r="B142" s="3"/>
      <c r="C142" s="3"/>
      <c r="D142" s="3"/>
      <c r="E142" s="3"/>
      <c r="F142" s="3"/>
      <c r="G142" s="3"/>
    </row>
    <row r="143" spans="1:7" ht="13">
      <c r="A143" s="3"/>
      <c r="B143" s="3"/>
      <c r="C143" s="3"/>
      <c r="D143" s="3"/>
      <c r="E143" s="3"/>
      <c r="F143" s="3"/>
      <c r="G143" s="3"/>
    </row>
    <row r="144" spans="1:7" ht="13">
      <c r="A144" s="3"/>
      <c r="B144" s="3"/>
      <c r="C144" s="3"/>
      <c r="D144" s="3"/>
      <c r="E144" s="3"/>
      <c r="F144" s="3"/>
      <c r="G144" s="3"/>
    </row>
    <row r="145" spans="1:7" ht="13">
      <c r="A145" s="3"/>
      <c r="B145" s="3"/>
      <c r="C145" s="3"/>
      <c r="D145" s="3"/>
      <c r="E145" s="3"/>
      <c r="F145" s="3"/>
      <c r="G145" s="3"/>
    </row>
    <row r="146" spans="1:7" ht="13">
      <c r="A146" s="3"/>
      <c r="B146" s="3"/>
      <c r="C146" s="3"/>
      <c r="D146" s="3"/>
      <c r="E146" s="3"/>
      <c r="F146" s="3"/>
      <c r="G146" s="3"/>
    </row>
    <row r="147" spans="1:7" ht="13">
      <c r="A147" s="3"/>
      <c r="B147" s="3"/>
      <c r="C147" s="3"/>
      <c r="D147" s="3"/>
      <c r="E147" s="3"/>
      <c r="F147" s="3"/>
      <c r="G147" s="3"/>
    </row>
    <row r="148" spans="1:7" ht="13">
      <c r="A148" s="3"/>
      <c r="B148" s="3"/>
      <c r="C148" s="3"/>
      <c r="D148" s="3"/>
      <c r="E148" s="3"/>
      <c r="F148" s="3"/>
      <c r="G148" s="3"/>
    </row>
    <row r="149" spans="1:7" ht="13">
      <c r="A149" s="3"/>
      <c r="B149" s="3"/>
      <c r="C149" s="3"/>
      <c r="D149" s="3"/>
      <c r="E149" s="3"/>
      <c r="F149" s="3"/>
      <c r="G149" s="3"/>
    </row>
    <row r="150" spans="1:7" ht="13">
      <c r="A150" s="3"/>
      <c r="B150" s="3"/>
      <c r="C150" s="3"/>
      <c r="D150" s="3"/>
      <c r="E150" s="3"/>
      <c r="F150" s="3"/>
      <c r="G150" s="3"/>
    </row>
    <row r="151" spans="1:7" ht="13">
      <c r="A151" s="3"/>
      <c r="B151" s="3"/>
      <c r="C151" s="3"/>
      <c r="D151" s="3"/>
      <c r="E151" s="3"/>
      <c r="F151" s="3"/>
      <c r="G151" s="3"/>
    </row>
    <row r="152" spans="1:7" ht="13">
      <c r="A152" s="3"/>
      <c r="B152" s="3"/>
      <c r="C152" s="3"/>
      <c r="D152" s="3"/>
      <c r="E152" s="3"/>
      <c r="F152" s="3"/>
      <c r="G152" s="3"/>
    </row>
    <row r="153" spans="1:7" ht="13">
      <c r="A153" s="3"/>
      <c r="B153" s="3"/>
      <c r="C153" s="3"/>
      <c r="D153" s="3"/>
      <c r="E153" s="3"/>
      <c r="F153" s="3"/>
      <c r="G153" s="3"/>
    </row>
    <row r="154" spans="1:7" ht="13">
      <c r="A154" s="3"/>
      <c r="B154" s="3"/>
      <c r="C154" s="3"/>
      <c r="D154" s="3"/>
      <c r="E154" s="3"/>
      <c r="F154" s="3"/>
      <c r="G154" s="3"/>
    </row>
    <row r="155" spans="1:7" ht="13">
      <c r="A155" s="3"/>
      <c r="B155" s="3"/>
      <c r="C155" s="3"/>
      <c r="D155" s="3"/>
      <c r="E155" s="3"/>
      <c r="F155" s="3"/>
      <c r="G155" s="3"/>
    </row>
    <row r="156" spans="1:7" ht="13">
      <c r="A156" s="3"/>
      <c r="B156" s="3"/>
      <c r="C156" s="3"/>
      <c r="D156" s="3"/>
      <c r="E156" s="3"/>
      <c r="F156" s="3"/>
      <c r="G156" s="3"/>
    </row>
    <row r="157" spans="1:7" ht="13">
      <c r="A157" s="3"/>
      <c r="B157" s="3"/>
      <c r="C157" s="3"/>
      <c r="D157" s="3"/>
      <c r="E157" s="3"/>
      <c r="F157" s="3"/>
      <c r="G157" s="3"/>
    </row>
    <row r="158" spans="1:7" ht="13">
      <c r="A158" s="3"/>
      <c r="B158" s="3"/>
      <c r="C158" s="3"/>
      <c r="D158" s="3"/>
      <c r="E158" s="3"/>
      <c r="F158" s="3"/>
      <c r="G158" s="3"/>
    </row>
    <row r="159" spans="1:7" ht="13">
      <c r="A159" s="3"/>
      <c r="B159" s="3"/>
      <c r="C159" s="3"/>
      <c r="D159" s="3"/>
      <c r="E159" s="3"/>
      <c r="F159" s="3"/>
      <c r="G159" s="3"/>
    </row>
    <row r="160" spans="1:7" ht="13">
      <c r="A160" s="3"/>
      <c r="B160" s="3"/>
      <c r="C160" s="3"/>
      <c r="D160" s="3"/>
      <c r="E160" s="3"/>
      <c r="F160" s="3"/>
      <c r="G160" s="3"/>
    </row>
    <row r="161" spans="1:7" ht="13">
      <c r="A161" s="3"/>
      <c r="B161" s="3"/>
      <c r="C161" s="3"/>
      <c r="D161" s="3"/>
      <c r="E161" s="3"/>
      <c r="F161" s="3"/>
      <c r="G161" s="3"/>
    </row>
    <row r="162" spans="1:7" ht="13">
      <c r="A162" s="3"/>
      <c r="B162" s="3"/>
      <c r="C162" s="3"/>
      <c r="D162" s="3"/>
      <c r="E162" s="3"/>
      <c r="F162" s="3"/>
      <c r="G162" s="3"/>
    </row>
    <row r="163" spans="1:7" ht="13">
      <c r="A163" s="3"/>
      <c r="B163" s="3"/>
      <c r="C163" s="3"/>
      <c r="D163" s="3"/>
      <c r="E163" s="3"/>
      <c r="F163" s="3"/>
      <c r="G163" s="3"/>
    </row>
    <row r="164" spans="1:7" ht="13">
      <c r="A164" s="3"/>
      <c r="B164" s="3"/>
      <c r="C164" s="3"/>
      <c r="D164" s="3"/>
      <c r="E164" s="3"/>
      <c r="F164" s="3"/>
      <c r="G164" s="3"/>
    </row>
    <row r="165" spans="1:7" ht="13">
      <c r="A165" s="3"/>
      <c r="B165" s="3"/>
      <c r="C165" s="3"/>
      <c r="D165" s="3"/>
      <c r="E165" s="3"/>
      <c r="F165" s="3"/>
      <c r="G165" s="3"/>
    </row>
    <row r="166" spans="1:7" ht="13">
      <c r="A166" s="3"/>
      <c r="B166" s="3"/>
      <c r="C166" s="3"/>
      <c r="D166" s="3"/>
      <c r="E166" s="3"/>
      <c r="F166" s="3"/>
      <c r="G166" s="3"/>
    </row>
    <row r="167" spans="1:7" ht="13">
      <c r="A167" s="3"/>
      <c r="B167" s="3"/>
      <c r="C167" s="3"/>
      <c r="D167" s="3"/>
      <c r="E167" s="3"/>
      <c r="F167" s="3"/>
      <c r="G167" s="3"/>
    </row>
    <row r="168" spans="1:7" ht="13">
      <c r="A168" s="3"/>
      <c r="B168" s="3"/>
      <c r="C168" s="3"/>
      <c r="D168" s="3"/>
      <c r="E168" s="3"/>
      <c r="F168" s="3"/>
      <c r="G168" s="3"/>
    </row>
    <row r="169" spans="1:7" ht="13">
      <c r="A169" s="3"/>
      <c r="B169" s="3"/>
      <c r="C169" s="3"/>
      <c r="D169" s="3"/>
      <c r="E169" s="3"/>
      <c r="F169" s="3"/>
      <c r="G169" s="3"/>
    </row>
    <row r="170" spans="1:7" ht="13">
      <c r="A170" s="3"/>
      <c r="B170" s="3"/>
      <c r="C170" s="3"/>
      <c r="D170" s="3"/>
      <c r="E170" s="3"/>
      <c r="F170" s="3"/>
      <c r="G170" s="3"/>
    </row>
    <row r="171" spans="1:7" ht="13">
      <c r="A171" s="3"/>
      <c r="B171" s="3"/>
      <c r="C171" s="3"/>
      <c r="D171" s="3"/>
      <c r="E171" s="3"/>
      <c r="F171" s="3"/>
      <c r="G171" s="3"/>
    </row>
    <row r="172" spans="1:7" ht="13">
      <c r="A172" s="3"/>
      <c r="B172" s="3"/>
      <c r="C172" s="3"/>
      <c r="D172" s="3"/>
      <c r="E172" s="3"/>
      <c r="F172" s="3"/>
      <c r="G172" s="3"/>
    </row>
    <row r="173" spans="1:7" ht="13">
      <c r="A173" s="3"/>
      <c r="B173" s="3"/>
      <c r="C173" s="3"/>
      <c r="D173" s="3"/>
      <c r="E173" s="3"/>
      <c r="F173" s="3"/>
      <c r="G173" s="3"/>
    </row>
    <row r="174" spans="1:7" ht="13">
      <c r="A174" s="3"/>
      <c r="B174" s="3"/>
      <c r="C174" s="3"/>
      <c r="D174" s="3"/>
      <c r="E174" s="3"/>
      <c r="F174" s="3"/>
      <c r="G174" s="3"/>
    </row>
    <row r="175" spans="1:7" ht="13">
      <c r="A175" s="3"/>
      <c r="B175" s="3"/>
      <c r="C175" s="3"/>
      <c r="D175" s="3"/>
      <c r="E175" s="3"/>
      <c r="F175" s="3"/>
      <c r="G175" s="3"/>
    </row>
    <row r="176" spans="1:7" ht="13">
      <c r="A176" s="3"/>
      <c r="B176" s="3"/>
      <c r="C176" s="3"/>
      <c r="D176" s="3"/>
      <c r="E176" s="3"/>
      <c r="F176" s="3"/>
      <c r="G176" s="3"/>
    </row>
    <row r="177" spans="1:7" ht="13">
      <c r="A177" s="3"/>
      <c r="B177" s="3"/>
      <c r="C177" s="3"/>
      <c r="D177" s="3"/>
      <c r="E177" s="3"/>
      <c r="F177" s="3"/>
      <c r="G177" s="3"/>
    </row>
    <row r="178" spans="1:7" ht="13">
      <c r="A178" s="3"/>
      <c r="B178" s="3"/>
      <c r="C178" s="3"/>
      <c r="D178" s="3"/>
      <c r="E178" s="3"/>
      <c r="F178" s="3"/>
      <c r="G178" s="3"/>
    </row>
    <row r="179" spans="1:7" ht="13">
      <c r="A179" s="3"/>
      <c r="B179" s="3"/>
      <c r="C179" s="3"/>
      <c r="D179" s="3"/>
      <c r="E179" s="3"/>
      <c r="F179" s="3"/>
      <c r="G179" s="3"/>
    </row>
    <row r="180" spans="1:7" ht="13">
      <c r="A180" s="3"/>
      <c r="B180" s="3"/>
      <c r="C180" s="3"/>
      <c r="D180" s="3"/>
      <c r="E180" s="3"/>
      <c r="F180" s="3"/>
      <c r="G180" s="3"/>
    </row>
    <row r="181" spans="1:7" ht="13">
      <c r="A181" s="3"/>
      <c r="B181" s="3"/>
      <c r="C181" s="3"/>
      <c r="D181" s="3"/>
      <c r="E181" s="3"/>
      <c r="F181" s="3"/>
      <c r="G181" s="3"/>
    </row>
    <row r="182" spans="1:7" ht="13">
      <c r="A182" s="3"/>
      <c r="B182" s="3"/>
      <c r="C182" s="3"/>
      <c r="D182" s="3"/>
      <c r="E182" s="3"/>
      <c r="F182" s="3"/>
      <c r="G182" s="3"/>
    </row>
    <row r="183" spans="1:7" ht="13">
      <c r="A183" s="3"/>
      <c r="B183" s="3"/>
      <c r="C183" s="3"/>
      <c r="D183" s="3"/>
      <c r="E183" s="3"/>
      <c r="F183" s="3"/>
      <c r="G183" s="3"/>
    </row>
    <row r="184" spans="1:7" ht="13">
      <c r="A184" s="3"/>
      <c r="B184" s="3"/>
      <c r="C184" s="3"/>
      <c r="D184" s="3"/>
      <c r="E184" s="3"/>
      <c r="F184" s="3"/>
      <c r="G184" s="3"/>
    </row>
    <row r="185" spans="1:7" ht="13">
      <c r="A185" s="3"/>
      <c r="B185" s="3"/>
      <c r="C185" s="3"/>
      <c r="D185" s="3"/>
      <c r="E185" s="3"/>
      <c r="F185" s="3"/>
      <c r="G185" s="3"/>
    </row>
    <row r="186" spans="1:7" ht="13">
      <c r="A186" s="3"/>
      <c r="B186" s="3"/>
      <c r="C186" s="3"/>
      <c r="D186" s="3"/>
      <c r="E186" s="3"/>
      <c r="F186" s="3"/>
      <c r="G186" s="3"/>
    </row>
    <row r="187" spans="1:7" ht="13">
      <c r="A187" s="3"/>
      <c r="B187" s="3"/>
      <c r="C187" s="3"/>
      <c r="D187" s="3"/>
      <c r="E187" s="3"/>
      <c r="F187" s="3"/>
      <c r="G187" s="3"/>
    </row>
    <row r="188" spans="1:7" ht="13">
      <c r="A188" s="3"/>
      <c r="B188" s="3"/>
      <c r="C188" s="3"/>
      <c r="D188" s="3"/>
      <c r="E188" s="3"/>
      <c r="F188" s="3"/>
      <c r="G188" s="3"/>
    </row>
    <row r="189" spans="1:7" ht="13">
      <c r="A189" s="3"/>
      <c r="B189" s="3"/>
      <c r="C189" s="3"/>
      <c r="D189" s="3"/>
      <c r="E189" s="3"/>
      <c r="F189" s="3"/>
      <c r="G189" s="3"/>
    </row>
    <row r="190" spans="1:7" ht="13">
      <c r="A190" s="3"/>
      <c r="B190" s="3"/>
      <c r="C190" s="3"/>
      <c r="D190" s="3"/>
      <c r="E190" s="3"/>
      <c r="F190" s="3"/>
      <c r="G190" s="3"/>
    </row>
    <row r="191" spans="1:7" ht="13">
      <c r="A191" s="3"/>
      <c r="B191" s="3"/>
      <c r="C191" s="3"/>
      <c r="D191" s="3"/>
      <c r="E191" s="3"/>
      <c r="F191" s="3"/>
      <c r="G191" s="3"/>
    </row>
    <row r="192" spans="1:7" ht="13">
      <c r="A192" s="3"/>
      <c r="B192" s="3"/>
      <c r="C192" s="3"/>
      <c r="D192" s="3"/>
      <c r="E192" s="3"/>
      <c r="F192" s="3"/>
      <c r="G192" s="3"/>
    </row>
    <row r="193" spans="1:7" ht="13">
      <c r="A193" s="3"/>
      <c r="B193" s="3"/>
      <c r="C193" s="3"/>
      <c r="D193" s="3"/>
      <c r="E193" s="3"/>
      <c r="F193" s="3"/>
      <c r="G193" s="3"/>
    </row>
    <row r="194" spans="1:7" ht="13">
      <c r="A194" s="3"/>
      <c r="B194" s="3"/>
      <c r="C194" s="3"/>
      <c r="D194" s="3"/>
      <c r="E194" s="3"/>
      <c r="F194" s="3"/>
      <c r="G194" s="3"/>
    </row>
    <row r="195" spans="1:7" ht="13">
      <c r="A195" s="3"/>
      <c r="B195" s="3"/>
      <c r="C195" s="3"/>
      <c r="D195" s="3"/>
      <c r="E195" s="3"/>
      <c r="F195" s="3"/>
      <c r="G195" s="3"/>
    </row>
    <row r="196" spans="1:7" ht="13">
      <c r="A196" s="3"/>
      <c r="B196" s="3"/>
      <c r="C196" s="3"/>
      <c r="D196" s="3"/>
      <c r="E196" s="3"/>
      <c r="F196" s="3"/>
      <c r="G196" s="3"/>
    </row>
    <row r="197" spans="1:7" ht="13">
      <c r="A197" s="3"/>
      <c r="B197" s="3"/>
      <c r="C197" s="3"/>
      <c r="D197" s="3"/>
      <c r="E197" s="3"/>
      <c r="F197" s="3"/>
      <c r="G197" s="3"/>
    </row>
    <row r="198" spans="1:7" ht="13">
      <c r="A198" s="3"/>
      <c r="B198" s="3"/>
      <c r="C198" s="3"/>
      <c r="D198" s="3"/>
      <c r="E198" s="3"/>
      <c r="F198" s="3"/>
      <c r="G198" s="3"/>
    </row>
    <row r="199" spans="1:7" ht="13">
      <c r="A199" s="3"/>
      <c r="B199" s="3"/>
      <c r="C199" s="3"/>
      <c r="D199" s="3"/>
      <c r="E199" s="3"/>
      <c r="F199" s="3"/>
      <c r="G199" s="3"/>
    </row>
    <row r="200" spans="1:7" ht="13">
      <c r="A200" s="3"/>
      <c r="B200" s="3"/>
      <c r="C200" s="3"/>
      <c r="D200" s="3"/>
      <c r="E200" s="3"/>
      <c r="F200" s="3"/>
      <c r="G200" s="3"/>
    </row>
    <row r="201" spans="1:7" ht="13">
      <c r="A201" s="3"/>
      <c r="B201" s="3"/>
      <c r="C201" s="3"/>
      <c r="D201" s="3"/>
      <c r="E201" s="3"/>
      <c r="F201" s="3"/>
      <c r="G201" s="3"/>
    </row>
    <row r="202" spans="1:7" ht="13">
      <c r="A202" s="3"/>
      <c r="B202" s="3"/>
      <c r="C202" s="3"/>
      <c r="D202" s="3"/>
      <c r="E202" s="3"/>
      <c r="F202" s="3"/>
      <c r="G202" s="3"/>
    </row>
    <row r="203" spans="1:7" ht="13">
      <c r="A203" s="3"/>
      <c r="B203" s="3"/>
      <c r="C203" s="3"/>
      <c r="D203" s="3"/>
      <c r="E203" s="3"/>
      <c r="F203" s="3"/>
      <c r="G203" s="3"/>
    </row>
    <row r="204" spans="1:7" ht="13">
      <c r="A204" s="3"/>
      <c r="B204" s="3"/>
      <c r="C204" s="3"/>
      <c r="D204" s="3"/>
      <c r="E204" s="3"/>
      <c r="F204" s="3"/>
      <c r="G204" s="3"/>
    </row>
    <row r="205" spans="1:7" ht="13">
      <c r="A205" s="3"/>
      <c r="B205" s="3"/>
      <c r="C205" s="3"/>
      <c r="D205" s="3"/>
      <c r="E205" s="3"/>
      <c r="F205" s="3"/>
      <c r="G205" s="3"/>
    </row>
    <row r="206" spans="1:7" ht="13">
      <c r="A206" s="3"/>
      <c r="B206" s="3"/>
      <c r="C206" s="3"/>
      <c r="D206" s="3"/>
      <c r="E206" s="3"/>
      <c r="F206" s="3"/>
      <c r="G206" s="3"/>
    </row>
    <row r="207" spans="1:7" ht="13">
      <c r="A207" s="3"/>
      <c r="B207" s="3"/>
      <c r="C207" s="3"/>
      <c r="D207" s="3"/>
      <c r="E207" s="3"/>
      <c r="F207" s="3"/>
      <c r="G207" s="3"/>
    </row>
    <row r="208" spans="1:7" ht="13">
      <c r="A208" s="3"/>
      <c r="B208" s="3"/>
      <c r="C208" s="3"/>
      <c r="D208" s="3"/>
      <c r="E208" s="3"/>
      <c r="F208" s="3"/>
      <c r="G208" s="3"/>
    </row>
    <row r="209" spans="1:7" ht="13">
      <c r="A209" s="3"/>
      <c r="B209" s="3"/>
      <c r="C209" s="3"/>
      <c r="D209" s="3"/>
      <c r="E209" s="3"/>
      <c r="F209" s="3"/>
      <c r="G209" s="3"/>
    </row>
    <row r="210" spans="1:7" ht="13">
      <c r="A210" s="3"/>
      <c r="B210" s="3"/>
      <c r="C210" s="3"/>
      <c r="D210" s="3"/>
      <c r="E210" s="3"/>
      <c r="F210" s="3"/>
      <c r="G210" s="3"/>
    </row>
    <row r="211" spans="1:7" ht="13">
      <c r="A211" s="3"/>
      <c r="B211" s="3"/>
      <c r="C211" s="3"/>
      <c r="D211" s="3"/>
      <c r="E211" s="3"/>
      <c r="F211" s="3"/>
      <c r="G211" s="3"/>
    </row>
    <row r="212" spans="1:7" ht="13">
      <c r="A212" s="3"/>
      <c r="B212" s="3"/>
      <c r="C212" s="3"/>
      <c r="D212" s="3"/>
      <c r="E212" s="3"/>
      <c r="F212" s="3"/>
      <c r="G212" s="3"/>
    </row>
    <row r="213" spans="1:7" ht="13">
      <c r="A213" s="3"/>
      <c r="B213" s="3"/>
      <c r="C213" s="3"/>
      <c r="D213" s="3"/>
      <c r="E213" s="3"/>
      <c r="F213" s="3"/>
      <c r="G213" s="3"/>
    </row>
    <row r="214" spans="1:7" ht="13">
      <c r="A214" s="3"/>
      <c r="B214" s="3"/>
      <c r="C214" s="3"/>
      <c r="D214" s="3"/>
      <c r="E214" s="3"/>
      <c r="F214" s="3"/>
      <c r="G214" s="3"/>
    </row>
    <row r="215" spans="1:7" ht="13">
      <c r="A215" s="3"/>
      <c r="B215" s="3"/>
      <c r="C215" s="3"/>
      <c r="D215" s="3"/>
      <c r="E215" s="3"/>
      <c r="F215" s="3"/>
      <c r="G215" s="3"/>
    </row>
    <row r="216" spans="1:7" ht="13">
      <c r="A216" s="3"/>
      <c r="B216" s="3"/>
      <c r="C216" s="3"/>
      <c r="D216" s="3"/>
      <c r="E216" s="3"/>
      <c r="F216" s="3"/>
      <c r="G216" s="3"/>
    </row>
    <row r="217" spans="1:7" ht="13">
      <c r="A217" s="3"/>
      <c r="B217" s="3"/>
      <c r="C217" s="3"/>
      <c r="D217" s="3"/>
      <c r="E217" s="3"/>
      <c r="F217" s="3"/>
      <c r="G217" s="3"/>
    </row>
    <row r="218" spans="1:7" ht="13">
      <c r="A218" s="3"/>
      <c r="B218" s="3"/>
      <c r="C218" s="3"/>
      <c r="D218" s="3"/>
      <c r="E218" s="3"/>
      <c r="F218" s="3"/>
      <c r="G218" s="3"/>
    </row>
    <row r="219" spans="1:7" ht="13">
      <c r="A219" s="3"/>
      <c r="B219" s="3"/>
      <c r="C219" s="3"/>
      <c r="D219" s="3"/>
      <c r="E219" s="3"/>
      <c r="F219" s="3"/>
      <c r="G219" s="3"/>
    </row>
    <row r="220" spans="1:7" ht="13">
      <c r="A220" s="3"/>
      <c r="B220" s="3"/>
      <c r="C220" s="3"/>
      <c r="D220" s="3"/>
      <c r="E220" s="3"/>
      <c r="F220" s="3"/>
      <c r="G220" s="3"/>
    </row>
    <row r="221" spans="1:7" ht="13">
      <c r="A221" s="3"/>
      <c r="B221" s="3"/>
      <c r="C221" s="3"/>
      <c r="D221" s="3"/>
      <c r="E221" s="3"/>
      <c r="F221" s="3"/>
      <c r="G221" s="3"/>
    </row>
    <row r="222" spans="1:7" ht="13">
      <c r="A222" s="3"/>
      <c r="B222" s="3"/>
      <c r="C222" s="3"/>
      <c r="D222" s="3"/>
      <c r="E222" s="3"/>
      <c r="F222" s="3"/>
      <c r="G222" s="3"/>
    </row>
    <row r="223" spans="1:7" ht="13">
      <c r="A223" s="3"/>
      <c r="B223" s="3"/>
      <c r="C223" s="3"/>
      <c r="D223" s="3"/>
      <c r="E223" s="3"/>
      <c r="F223" s="3"/>
      <c r="G223" s="3"/>
    </row>
    <row r="224" spans="1:7" ht="13">
      <c r="A224" s="3"/>
      <c r="B224" s="3"/>
      <c r="C224" s="3"/>
      <c r="D224" s="3"/>
      <c r="E224" s="3"/>
      <c r="F224" s="3"/>
      <c r="G224" s="3"/>
    </row>
    <row r="225" spans="1:7" ht="13">
      <c r="A225" s="3"/>
      <c r="B225" s="3"/>
      <c r="C225" s="3"/>
      <c r="D225" s="3"/>
      <c r="E225" s="3"/>
      <c r="F225" s="3"/>
      <c r="G225" s="3"/>
    </row>
    <row r="226" spans="1:7" ht="13">
      <c r="A226" s="3"/>
      <c r="B226" s="3"/>
      <c r="C226" s="3"/>
      <c r="D226" s="3"/>
      <c r="E226" s="3"/>
      <c r="F226" s="3"/>
      <c r="G226" s="3"/>
    </row>
    <row r="227" spans="1:7" ht="13">
      <c r="A227" s="3"/>
      <c r="B227" s="3"/>
      <c r="C227" s="3"/>
      <c r="D227" s="3"/>
      <c r="E227" s="3"/>
      <c r="F227" s="3"/>
      <c r="G227" s="3"/>
    </row>
    <row r="228" spans="1:7" ht="13">
      <c r="A228" s="3"/>
      <c r="B228" s="3"/>
      <c r="C228" s="3"/>
      <c r="D228" s="3"/>
      <c r="E228" s="3"/>
      <c r="F228" s="3"/>
      <c r="G228" s="3"/>
    </row>
    <row r="229" spans="1:7" ht="13">
      <c r="A229" s="3"/>
      <c r="B229" s="3"/>
      <c r="C229" s="3"/>
      <c r="D229" s="3"/>
      <c r="E229" s="3"/>
      <c r="F229" s="3"/>
      <c r="G229" s="3"/>
    </row>
    <row r="230" spans="1:7" ht="13">
      <c r="A230" s="3"/>
      <c r="B230" s="3"/>
      <c r="C230" s="3"/>
      <c r="D230" s="3"/>
      <c r="E230" s="3"/>
      <c r="F230" s="3"/>
      <c r="G230" s="3"/>
    </row>
    <row r="231" spans="1:7" ht="13">
      <c r="A231" s="3"/>
      <c r="B231" s="3"/>
      <c r="C231" s="3"/>
      <c r="D231" s="3"/>
      <c r="E231" s="3"/>
      <c r="F231" s="3"/>
      <c r="G231" s="3"/>
    </row>
    <row r="232" spans="1:7" ht="13">
      <c r="A232" s="3"/>
      <c r="B232" s="3"/>
      <c r="C232" s="3"/>
      <c r="D232" s="3"/>
      <c r="E232" s="3"/>
      <c r="F232" s="3"/>
      <c r="G232" s="3"/>
    </row>
    <row r="233" spans="1:7" ht="13">
      <c r="A233" s="3"/>
      <c r="B233" s="3"/>
      <c r="C233" s="3"/>
      <c r="D233" s="3"/>
      <c r="E233" s="3"/>
      <c r="F233" s="3"/>
      <c r="G233" s="3"/>
    </row>
    <row r="234" spans="1:7" ht="13">
      <c r="A234" s="3"/>
      <c r="B234" s="3"/>
      <c r="C234" s="3"/>
      <c r="D234" s="3"/>
      <c r="E234" s="3"/>
      <c r="F234" s="3"/>
      <c r="G234" s="3"/>
    </row>
    <row r="235" spans="1:7" ht="13">
      <c r="A235" s="3"/>
      <c r="B235" s="3"/>
      <c r="C235" s="3"/>
      <c r="D235" s="3"/>
      <c r="E235" s="3"/>
      <c r="F235" s="3"/>
      <c r="G235" s="3"/>
    </row>
    <row r="236" spans="1:7" ht="13">
      <c r="A236" s="3"/>
      <c r="B236" s="3"/>
      <c r="C236" s="3"/>
      <c r="D236" s="3"/>
      <c r="E236" s="3"/>
      <c r="F236" s="3"/>
      <c r="G236" s="3"/>
    </row>
    <row r="237" spans="1:7" ht="13">
      <c r="A237" s="3"/>
      <c r="B237" s="3"/>
      <c r="C237" s="3"/>
      <c r="D237" s="3"/>
      <c r="E237" s="3"/>
      <c r="F237" s="3"/>
      <c r="G237" s="3"/>
    </row>
    <row r="238" spans="1:7" ht="13">
      <c r="A238" s="3"/>
      <c r="B238" s="3"/>
      <c r="C238" s="3"/>
      <c r="D238" s="3"/>
      <c r="E238" s="3"/>
      <c r="F238" s="3"/>
      <c r="G238" s="3"/>
    </row>
    <row r="239" spans="1:7" ht="13">
      <c r="A239" s="3"/>
      <c r="B239" s="3"/>
      <c r="C239" s="3"/>
      <c r="D239" s="3"/>
      <c r="E239" s="3"/>
      <c r="F239" s="3"/>
      <c r="G239" s="3"/>
    </row>
    <row r="240" spans="1:7" ht="13">
      <c r="A240" s="3"/>
      <c r="B240" s="3"/>
      <c r="C240" s="3"/>
      <c r="D240" s="3"/>
      <c r="E240" s="3"/>
      <c r="F240" s="3"/>
      <c r="G240" s="3"/>
    </row>
    <row r="241" spans="1:7" ht="13">
      <c r="A241" s="3"/>
      <c r="B241" s="3"/>
      <c r="C241" s="3"/>
      <c r="D241" s="3"/>
      <c r="E241" s="3"/>
      <c r="F241" s="3"/>
      <c r="G241" s="3"/>
    </row>
    <row r="242" spans="1:7" ht="13">
      <c r="A242" s="3"/>
      <c r="B242" s="3"/>
      <c r="C242" s="3"/>
      <c r="D242" s="3"/>
      <c r="E242" s="3"/>
      <c r="F242" s="3"/>
      <c r="G242" s="3"/>
    </row>
    <row r="243" spans="1:7" ht="13">
      <c r="A243" s="3"/>
      <c r="B243" s="3"/>
      <c r="C243" s="3"/>
      <c r="D243" s="3"/>
      <c r="E243" s="3"/>
      <c r="F243" s="3"/>
      <c r="G243" s="3"/>
    </row>
    <row r="244" spans="1:7" ht="13">
      <c r="A244" s="3"/>
      <c r="B244" s="3"/>
      <c r="C244" s="3"/>
      <c r="D244" s="3"/>
      <c r="E244" s="3"/>
      <c r="F244" s="3"/>
      <c r="G244" s="3"/>
    </row>
    <row r="245" spans="1:7" ht="13">
      <c r="A245" s="3"/>
      <c r="B245" s="3"/>
      <c r="C245" s="3"/>
      <c r="D245" s="3"/>
      <c r="E245" s="3"/>
      <c r="F245" s="3"/>
      <c r="G245" s="3"/>
    </row>
    <row r="246" spans="1:7" ht="13">
      <c r="A246" s="3"/>
      <c r="B246" s="3"/>
      <c r="C246" s="3"/>
      <c r="D246" s="3"/>
      <c r="E246" s="3"/>
      <c r="F246" s="3"/>
      <c r="G246" s="3"/>
    </row>
    <row r="247" spans="1:7" ht="13">
      <c r="A247" s="3"/>
      <c r="B247" s="3"/>
      <c r="C247" s="3"/>
      <c r="D247" s="3"/>
      <c r="E247" s="3"/>
      <c r="F247" s="3"/>
      <c r="G247" s="3"/>
    </row>
    <row r="248" spans="1:7" ht="13">
      <c r="A248" s="3"/>
      <c r="B248" s="3"/>
      <c r="C248" s="3"/>
      <c r="D248" s="3"/>
      <c r="E248" s="3"/>
      <c r="F248" s="3"/>
      <c r="G248" s="3"/>
    </row>
    <row r="249" spans="1:7" ht="13">
      <c r="A249" s="3"/>
      <c r="B249" s="3"/>
      <c r="C249" s="3"/>
      <c r="D249" s="3"/>
      <c r="E249" s="3"/>
      <c r="F249" s="3"/>
      <c r="G249" s="3"/>
    </row>
    <row r="250" spans="1:7" ht="13">
      <c r="A250" s="3"/>
      <c r="B250" s="3"/>
      <c r="C250" s="3"/>
      <c r="D250" s="3"/>
      <c r="E250" s="3"/>
      <c r="F250" s="3"/>
      <c r="G250" s="3"/>
    </row>
    <row r="251" spans="1:7" ht="13">
      <c r="A251" s="3"/>
      <c r="B251" s="3"/>
      <c r="C251" s="3"/>
      <c r="D251" s="3"/>
      <c r="E251" s="3"/>
      <c r="F251" s="3"/>
      <c r="G251" s="3"/>
    </row>
    <row r="252" spans="1:7" ht="13">
      <c r="A252" s="3"/>
      <c r="B252" s="3"/>
      <c r="C252" s="3"/>
      <c r="D252" s="3"/>
      <c r="E252" s="3"/>
      <c r="F252" s="3"/>
      <c r="G252" s="3"/>
    </row>
    <row r="253" spans="1:7" ht="13">
      <c r="A253" s="3"/>
      <c r="B253" s="3"/>
      <c r="C253" s="3"/>
      <c r="D253" s="3"/>
      <c r="E253" s="3"/>
      <c r="F253" s="3"/>
      <c r="G253" s="3"/>
    </row>
    <row r="254" spans="1:7" ht="13">
      <c r="A254" s="3"/>
      <c r="B254" s="3"/>
      <c r="C254" s="3"/>
      <c r="D254" s="3"/>
      <c r="E254" s="3"/>
      <c r="F254" s="3"/>
      <c r="G254" s="3"/>
    </row>
    <row r="255" spans="1:7" ht="13">
      <c r="A255" s="3"/>
      <c r="B255" s="3"/>
      <c r="C255" s="3"/>
      <c r="D255" s="3"/>
      <c r="E255" s="3"/>
      <c r="F255" s="3"/>
      <c r="G255" s="3"/>
    </row>
    <row r="256" spans="1:7" ht="13">
      <c r="A256" s="3"/>
      <c r="B256" s="3"/>
      <c r="C256" s="3"/>
      <c r="D256" s="3"/>
      <c r="E256" s="3"/>
      <c r="F256" s="3"/>
      <c r="G256" s="3"/>
    </row>
    <row r="257" spans="1:7" ht="13">
      <c r="A257" s="3"/>
      <c r="B257" s="3"/>
      <c r="C257" s="3"/>
      <c r="D257" s="3"/>
      <c r="E257" s="3"/>
      <c r="F257" s="3"/>
      <c r="G257" s="3"/>
    </row>
    <row r="258" spans="1:7" ht="13">
      <c r="A258" s="3"/>
      <c r="B258" s="3"/>
      <c r="C258" s="3"/>
      <c r="D258" s="3"/>
      <c r="E258" s="3"/>
      <c r="F258" s="3"/>
      <c r="G258" s="3"/>
    </row>
    <row r="259" spans="1:7" ht="13">
      <c r="A259" s="3"/>
      <c r="B259" s="3"/>
      <c r="C259" s="3"/>
      <c r="D259" s="3"/>
      <c r="E259" s="3"/>
      <c r="F259" s="3"/>
      <c r="G259" s="3"/>
    </row>
    <row r="260" spans="1:7" ht="13">
      <c r="A260" s="3"/>
      <c r="B260" s="3"/>
      <c r="C260" s="3"/>
      <c r="D260" s="3"/>
      <c r="E260" s="3"/>
      <c r="F260" s="3"/>
      <c r="G260" s="3"/>
    </row>
    <row r="261" spans="1:7" ht="13">
      <c r="A261" s="3"/>
      <c r="B261" s="3"/>
      <c r="C261" s="3"/>
      <c r="D261" s="3"/>
      <c r="E261" s="3"/>
      <c r="F261" s="3"/>
      <c r="G261" s="3"/>
    </row>
    <row r="262" spans="1:7" ht="13">
      <c r="A262" s="3"/>
      <c r="B262" s="3"/>
      <c r="C262" s="3"/>
      <c r="D262" s="3"/>
      <c r="E262" s="3"/>
      <c r="F262" s="3"/>
      <c r="G262" s="3"/>
    </row>
    <row r="263" spans="1:7" ht="13">
      <c r="A263" s="3"/>
      <c r="B263" s="3"/>
      <c r="C263" s="3"/>
      <c r="D263" s="3"/>
      <c r="E263" s="3"/>
      <c r="F263" s="3"/>
      <c r="G263" s="3"/>
    </row>
    <row r="264" spans="1:7" ht="13">
      <c r="A264" s="3"/>
      <c r="B264" s="3"/>
      <c r="C264" s="3"/>
      <c r="D264" s="3"/>
      <c r="E264" s="3"/>
      <c r="F264" s="3"/>
      <c r="G264" s="3"/>
    </row>
    <row r="265" spans="1:7" ht="13">
      <c r="A265" s="3"/>
      <c r="B265" s="3"/>
      <c r="C265" s="3"/>
      <c r="D265" s="3"/>
      <c r="E265" s="3"/>
      <c r="F265" s="3"/>
      <c r="G265" s="3"/>
    </row>
    <row r="266" spans="1:7" ht="13">
      <c r="A266" s="3"/>
      <c r="B266" s="3"/>
      <c r="C266" s="3"/>
      <c r="D266" s="3"/>
      <c r="E266" s="3"/>
      <c r="F266" s="3"/>
      <c r="G266" s="3"/>
    </row>
    <row r="267" spans="1:7" ht="13">
      <c r="A267" s="3"/>
      <c r="B267" s="3"/>
      <c r="C267" s="3"/>
      <c r="D267" s="3"/>
      <c r="E267" s="3"/>
      <c r="F267" s="3"/>
      <c r="G267" s="3"/>
    </row>
    <row r="268" spans="1:7" ht="13">
      <c r="A268" s="3"/>
      <c r="B268" s="3"/>
      <c r="C268" s="3"/>
      <c r="D268" s="3"/>
      <c r="E268" s="3"/>
      <c r="F268" s="3"/>
      <c r="G268" s="3"/>
    </row>
    <row r="269" spans="1:7" ht="13">
      <c r="A269" s="3"/>
      <c r="B269" s="3"/>
      <c r="C269" s="3"/>
      <c r="D269" s="3"/>
      <c r="E269" s="3"/>
      <c r="F269" s="3"/>
      <c r="G269" s="3"/>
    </row>
    <row r="270" spans="1:7" ht="13">
      <c r="A270" s="3"/>
      <c r="B270" s="3"/>
      <c r="C270" s="3"/>
      <c r="D270" s="3"/>
      <c r="E270" s="3"/>
      <c r="F270" s="3"/>
      <c r="G270" s="3"/>
    </row>
    <row r="271" spans="1:7" ht="13">
      <c r="A271" s="3"/>
      <c r="B271" s="3"/>
      <c r="C271" s="3"/>
      <c r="D271" s="3"/>
      <c r="E271" s="3"/>
      <c r="F271" s="3"/>
      <c r="G271" s="3"/>
    </row>
    <row r="272" spans="1:7" ht="13">
      <c r="A272" s="3"/>
      <c r="B272" s="3"/>
      <c r="C272" s="3"/>
      <c r="D272" s="3"/>
      <c r="E272" s="3"/>
      <c r="F272" s="3"/>
      <c r="G272" s="3"/>
    </row>
    <row r="273" spans="1:7" ht="13">
      <c r="A273" s="3"/>
      <c r="B273" s="3"/>
      <c r="C273" s="3"/>
      <c r="D273" s="3"/>
      <c r="E273" s="3"/>
      <c r="F273" s="3"/>
      <c r="G273" s="3"/>
    </row>
    <row r="274" spans="1:7" ht="13">
      <c r="A274" s="3"/>
      <c r="B274" s="3"/>
      <c r="C274" s="3"/>
      <c r="D274" s="3"/>
      <c r="E274" s="3"/>
      <c r="F274" s="3"/>
      <c r="G274" s="3"/>
    </row>
    <row r="275" spans="1:7" ht="13">
      <c r="A275" s="3"/>
      <c r="B275" s="3"/>
      <c r="C275" s="3"/>
      <c r="D275" s="3"/>
      <c r="E275" s="3"/>
      <c r="F275" s="3"/>
      <c r="G275" s="3"/>
    </row>
    <row r="276" spans="1:7" ht="13">
      <c r="A276" s="3"/>
      <c r="B276" s="3"/>
      <c r="C276" s="3"/>
      <c r="D276" s="3"/>
      <c r="E276" s="3"/>
      <c r="F276" s="3"/>
      <c r="G276" s="3"/>
    </row>
    <row r="277" spans="1:7" ht="13">
      <c r="A277" s="3"/>
      <c r="B277" s="3"/>
      <c r="C277" s="3"/>
      <c r="D277" s="3"/>
      <c r="E277" s="3"/>
      <c r="F277" s="3"/>
      <c r="G277" s="3"/>
    </row>
    <row r="278" spans="1:7" ht="13">
      <c r="A278" s="3"/>
      <c r="B278" s="3"/>
      <c r="C278" s="3"/>
      <c r="D278" s="3"/>
      <c r="E278" s="3"/>
      <c r="F278" s="3"/>
      <c r="G278" s="3"/>
    </row>
    <row r="279" spans="1:7" ht="13">
      <c r="A279" s="3"/>
      <c r="B279" s="3"/>
      <c r="C279" s="3"/>
      <c r="D279" s="3"/>
      <c r="E279" s="3"/>
      <c r="F279" s="3"/>
      <c r="G279" s="3"/>
    </row>
    <row r="280" spans="1:7" ht="13">
      <c r="A280" s="3"/>
      <c r="B280" s="3"/>
      <c r="C280" s="3"/>
      <c r="D280" s="3"/>
      <c r="E280" s="3"/>
      <c r="F280" s="3"/>
      <c r="G280" s="3"/>
    </row>
    <row r="281" spans="1:7" ht="13">
      <c r="A281" s="3"/>
      <c r="B281" s="3"/>
      <c r="C281" s="3"/>
      <c r="D281" s="3"/>
      <c r="E281" s="3"/>
      <c r="F281" s="3"/>
      <c r="G281" s="3"/>
    </row>
    <row r="282" spans="1:7" ht="13">
      <c r="A282" s="3"/>
      <c r="B282" s="3"/>
      <c r="C282" s="3"/>
      <c r="D282" s="3"/>
      <c r="E282" s="3"/>
      <c r="F282" s="3"/>
      <c r="G282" s="3"/>
    </row>
    <row r="283" spans="1:7" ht="13">
      <c r="A283" s="3"/>
      <c r="B283" s="3"/>
      <c r="C283" s="3"/>
      <c r="D283" s="3"/>
      <c r="E283" s="3"/>
      <c r="F283" s="3"/>
      <c r="G283" s="3"/>
    </row>
    <row r="284" spans="1:7" ht="13">
      <c r="A284" s="3"/>
      <c r="B284" s="3"/>
      <c r="C284" s="3"/>
      <c r="D284" s="3"/>
      <c r="E284" s="3"/>
      <c r="F284" s="3"/>
      <c r="G284" s="3"/>
    </row>
    <row r="285" spans="1:7" ht="13">
      <c r="A285" s="3"/>
      <c r="B285" s="3"/>
      <c r="C285" s="3"/>
      <c r="D285" s="3"/>
      <c r="E285" s="3"/>
      <c r="F285" s="3"/>
      <c r="G285" s="3"/>
    </row>
    <row r="286" spans="1:7" ht="13">
      <c r="A286" s="3"/>
      <c r="B286" s="3"/>
      <c r="C286" s="3"/>
      <c r="D286" s="3"/>
      <c r="E286" s="3"/>
      <c r="F286" s="3"/>
      <c r="G286" s="3"/>
    </row>
    <row r="287" spans="1:7" ht="13">
      <c r="A287" s="3"/>
      <c r="B287" s="3"/>
      <c r="C287" s="3"/>
      <c r="D287" s="3"/>
      <c r="E287" s="3"/>
      <c r="F287" s="3"/>
      <c r="G287" s="3"/>
    </row>
    <row r="288" spans="1:7" ht="13">
      <c r="A288" s="3"/>
      <c r="B288" s="3"/>
      <c r="C288" s="3"/>
      <c r="D288" s="3"/>
      <c r="E288" s="3"/>
      <c r="F288" s="3"/>
      <c r="G288" s="3"/>
    </row>
    <row r="289" spans="1:7" ht="13">
      <c r="A289" s="3"/>
      <c r="B289" s="3"/>
      <c r="C289" s="3"/>
      <c r="D289" s="3"/>
      <c r="E289" s="3"/>
      <c r="F289" s="3"/>
      <c r="G289" s="3"/>
    </row>
    <row r="290" spans="1:7" ht="13">
      <c r="A290" s="3"/>
      <c r="B290" s="3"/>
      <c r="C290" s="3"/>
      <c r="D290" s="3"/>
      <c r="E290" s="3"/>
      <c r="F290" s="3"/>
      <c r="G290" s="3"/>
    </row>
    <row r="291" spans="1:7" ht="13">
      <c r="A291" s="3"/>
      <c r="B291" s="3"/>
      <c r="C291" s="3"/>
      <c r="D291" s="3"/>
      <c r="E291" s="3"/>
      <c r="F291" s="3"/>
      <c r="G291" s="3"/>
    </row>
    <row r="292" spans="1:7" ht="13">
      <c r="A292" s="3"/>
      <c r="B292" s="3"/>
      <c r="C292" s="3"/>
      <c r="D292" s="3"/>
      <c r="E292" s="3"/>
      <c r="F292" s="3"/>
      <c r="G292" s="3"/>
    </row>
    <row r="293" spans="1:7" ht="13">
      <c r="A293" s="3"/>
      <c r="B293" s="3"/>
      <c r="C293" s="3"/>
      <c r="D293" s="3"/>
      <c r="E293" s="3"/>
      <c r="F293" s="3"/>
      <c r="G293" s="3"/>
    </row>
    <row r="294" spans="1:7" ht="13">
      <c r="A294" s="3"/>
      <c r="B294" s="3"/>
      <c r="C294" s="3"/>
      <c r="D294" s="3"/>
      <c r="E294" s="3"/>
      <c r="F294" s="3"/>
      <c r="G294" s="3"/>
    </row>
    <row r="295" spans="1:7" ht="13">
      <c r="A295" s="3"/>
      <c r="B295" s="3"/>
      <c r="C295" s="3"/>
      <c r="D295" s="3"/>
      <c r="E295" s="3"/>
      <c r="F295" s="3"/>
      <c r="G295" s="3"/>
    </row>
    <row r="296" spans="1:7" ht="13">
      <c r="A296" s="3"/>
      <c r="B296" s="3"/>
      <c r="C296" s="3"/>
      <c r="D296" s="3"/>
      <c r="E296" s="3"/>
      <c r="F296" s="3"/>
      <c r="G296" s="3"/>
    </row>
    <row r="297" spans="1:7" ht="13">
      <c r="A297" s="3"/>
      <c r="B297" s="3"/>
      <c r="C297" s="3"/>
      <c r="D297" s="3"/>
      <c r="E297" s="3"/>
      <c r="F297" s="3"/>
      <c r="G297" s="3"/>
    </row>
    <row r="298" spans="1:7" ht="13">
      <c r="A298" s="3"/>
      <c r="B298" s="3"/>
      <c r="C298" s="3"/>
      <c r="D298" s="3"/>
      <c r="E298" s="3"/>
      <c r="F298" s="3"/>
      <c r="G298" s="3"/>
    </row>
    <row r="299" spans="1:7" ht="13">
      <c r="A299" s="3"/>
      <c r="B299" s="3"/>
      <c r="C299" s="3"/>
      <c r="D299" s="3"/>
      <c r="E299" s="3"/>
      <c r="F299" s="3"/>
      <c r="G299" s="3"/>
    </row>
    <row r="300" spans="1:7" ht="13">
      <c r="A300" s="3"/>
      <c r="B300" s="3"/>
      <c r="C300" s="3"/>
      <c r="D300" s="3"/>
      <c r="E300" s="3"/>
      <c r="F300" s="3"/>
      <c r="G300" s="3"/>
    </row>
    <row r="301" spans="1:7" ht="13">
      <c r="A301" s="3"/>
      <c r="B301" s="3"/>
      <c r="C301" s="3"/>
      <c r="D301" s="3"/>
      <c r="E301" s="3"/>
      <c r="F301" s="3"/>
      <c r="G301" s="3"/>
    </row>
    <row r="302" spans="1:7" ht="13">
      <c r="A302" s="3"/>
      <c r="B302" s="3"/>
      <c r="C302" s="3"/>
      <c r="D302" s="3"/>
      <c r="E302" s="3"/>
      <c r="F302" s="3"/>
      <c r="G302" s="3"/>
    </row>
    <row r="303" spans="1:7" ht="13">
      <c r="A303" s="3"/>
      <c r="B303" s="3"/>
      <c r="C303" s="3"/>
      <c r="D303" s="3"/>
      <c r="E303" s="3"/>
      <c r="F303" s="3"/>
      <c r="G303" s="3"/>
    </row>
    <row r="304" spans="1:7" ht="13">
      <c r="A304" s="3"/>
      <c r="B304" s="3"/>
      <c r="C304" s="3"/>
      <c r="D304" s="3"/>
      <c r="E304" s="3"/>
      <c r="F304" s="3"/>
      <c r="G304" s="3"/>
    </row>
    <row r="305" spans="1:7" ht="13">
      <c r="A305" s="3"/>
      <c r="B305" s="3"/>
      <c r="C305" s="3"/>
      <c r="D305" s="3"/>
      <c r="E305" s="3"/>
      <c r="F305" s="3"/>
      <c r="G305" s="3"/>
    </row>
    <row r="306" spans="1:7" ht="13">
      <c r="A306" s="3"/>
      <c r="B306" s="3"/>
      <c r="C306" s="3"/>
      <c r="D306" s="3"/>
      <c r="E306" s="3"/>
      <c r="F306" s="3"/>
      <c r="G306" s="3"/>
    </row>
    <row r="307" spans="1:7" ht="13">
      <c r="A307" s="3"/>
      <c r="B307" s="3"/>
      <c r="C307" s="3"/>
      <c r="D307" s="3"/>
      <c r="E307" s="3"/>
      <c r="F307" s="3"/>
      <c r="G307" s="3"/>
    </row>
    <row r="308" spans="1:7" ht="13">
      <c r="A308" s="3"/>
      <c r="B308" s="3"/>
      <c r="C308" s="3"/>
      <c r="D308" s="3"/>
      <c r="E308" s="3"/>
      <c r="F308" s="3"/>
      <c r="G308" s="3"/>
    </row>
    <row r="309" spans="1:7" ht="13">
      <c r="A309" s="3"/>
      <c r="B309" s="3"/>
      <c r="C309" s="3"/>
      <c r="D309" s="3"/>
      <c r="E309" s="3"/>
      <c r="F309" s="3"/>
      <c r="G309" s="3"/>
    </row>
    <row r="310" spans="1:7" ht="13">
      <c r="A310" s="3"/>
      <c r="B310" s="3"/>
      <c r="C310" s="3"/>
      <c r="D310" s="3"/>
      <c r="E310" s="3"/>
      <c r="F310" s="3"/>
      <c r="G310" s="3"/>
    </row>
    <row r="311" spans="1:7" ht="13">
      <c r="A311" s="3"/>
      <c r="B311" s="3"/>
      <c r="C311" s="3"/>
      <c r="D311" s="3"/>
      <c r="E311" s="3"/>
      <c r="F311" s="3"/>
      <c r="G311" s="3"/>
    </row>
    <row r="312" spans="1:7" ht="13">
      <c r="A312" s="3"/>
      <c r="B312" s="3"/>
      <c r="C312" s="3"/>
      <c r="D312" s="3"/>
      <c r="E312" s="3"/>
      <c r="F312" s="3"/>
      <c r="G312" s="3"/>
    </row>
    <row r="313" spans="1:7" ht="13">
      <c r="A313" s="3"/>
      <c r="B313" s="3"/>
      <c r="C313" s="3"/>
      <c r="D313" s="3"/>
      <c r="E313" s="3"/>
      <c r="F313" s="3"/>
      <c r="G313" s="3"/>
    </row>
    <row r="314" spans="1:7" ht="13">
      <c r="A314" s="3"/>
      <c r="B314" s="3"/>
      <c r="C314" s="3"/>
      <c r="D314" s="3"/>
      <c r="E314" s="3"/>
      <c r="F314" s="3"/>
      <c r="G314" s="3"/>
    </row>
    <row r="315" spans="1:7" ht="13">
      <c r="A315" s="3"/>
      <c r="B315" s="3"/>
      <c r="C315" s="3"/>
      <c r="D315" s="3"/>
      <c r="E315" s="3"/>
      <c r="F315" s="3"/>
      <c r="G315" s="3"/>
    </row>
    <row r="316" spans="1:7" ht="13">
      <c r="A316" s="3"/>
      <c r="B316" s="3"/>
      <c r="C316" s="3"/>
      <c r="D316" s="3"/>
      <c r="E316" s="3"/>
      <c r="F316" s="3"/>
      <c r="G316" s="3"/>
    </row>
    <row r="317" spans="1:7" ht="13">
      <c r="A317" s="3"/>
      <c r="B317" s="3"/>
      <c r="C317" s="3"/>
      <c r="D317" s="3"/>
      <c r="E317" s="3"/>
      <c r="F317" s="3"/>
      <c r="G317" s="3"/>
    </row>
    <row r="318" spans="1:7" ht="13">
      <c r="A318" s="3"/>
      <c r="B318" s="3"/>
      <c r="C318" s="3"/>
      <c r="D318" s="3"/>
      <c r="E318" s="3"/>
      <c r="F318" s="3"/>
      <c r="G318" s="3"/>
    </row>
    <row r="319" spans="1:7" ht="13">
      <c r="A319" s="3"/>
      <c r="B319" s="3"/>
      <c r="C319" s="3"/>
      <c r="D319" s="3"/>
      <c r="E319" s="3"/>
      <c r="F319" s="3"/>
      <c r="G319" s="3"/>
    </row>
    <row r="320" spans="1:7" ht="13">
      <c r="A320" s="3"/>
      <c r="B320" s="3"/>
      <c r="C320" s="3"/>
      <c r="D320" s="3"/>
      <c r="E320" s="3"/>
      <c r="F320" s="3"/>
      <c r="G320" s="3"/>
    </row>
    <row r="321" spans="1:7" ht="13">
      <c r="A321" s="3"/>
      <c r="B321" s="3"/>
      <c r="C321" s="3"/>
      <c r="D321" s="3"/>
      <c r="E321" s="3"/>
      <c r="F321" s="3"/>
      <c r="G321" s="3"/>
    </row>
    <row r="322" spans="1:7" ht="13">
      <c r="A322" s="3"/>
      <c r="B322" s="3"/>
      <c r="C322" s="3"/>
      <c r="D322" s="3"/>
      <c r="E322" s="3"/>
      <c r="F322" s="3"/>
      <c r="G322" s="3"/>
    </row>
    <row r="323" spans="1:7" ht="13">
      <c r="A323" s="3"/>
      <c r="B323" s="3"/>
      <c r="C323" s="3"/>
      <c r="D323" s="3"/>
      <c r="E323" s="3"/>
      <c r="F323" s="3"/>
      <c r="G323" s="3"/>
    </row>
    <row r="324" spans="1:7" ht="13">
      <c r="A324" s="3"/>
      <c r="B324" s="3"/>
      <c r="C324" s="3"/>
      <c r="D324" s="3"/>
      <c r="E324" s="3"/>
      <c r="F324" s="3"/>
      <c r="G324" s="3"/>
    </row>
    <row r="325" spans="1:7" ht="13">
      <c r="A325" s="3"/>
      <c r="B325" s="3"/>
      <c r="C325" s="3"/>
      <c r="D325" s="3"/>
      <c r="E325" s="3"/>
      <c r="F325" s="3"/>
      <c r="G325" s="3"/>
    </row>
    <row r="326" spans="1:7" ht="13">
      <c r="A326" s="3"/>
      <c r="B326" s="3"/>
      <c r="C326" s="3"/>
      <c r="D326" s="3"/>
      <c r="E326" s="3"/>
      <c r="F326" s="3"/>
      <c r="G326" s="3"/>
    </row>
    <row r="327" spans="1:7" ht="13">
      <c r="A327" s="3"/>
      <c r="B327" s="3"/>
      <c r="C327" s="3"/>
      <c r="D327" s="3"/>
      <c r="E327" s="3"/>
      <c r="F327" s="3"/>
      <c r="G327" s="3"/>
    </row>
    <row r="328" spans="1:7" ht="13">
      <c r="A328" s="3"/>
      <c r="B328" s="3"/>
      <c r="C328" s="3"/>
      <c r="D328" s="3"/>
      <c r="E328" s="3"/>
      <c r="F328" s="3"/>
      <c r="G328" s="3"/>
    </row>
    <row r="329" spans="1:7" ht="13">
      <c r="A329" s="3"/>
      <c r="B329" s="3"/>
      <c r="C329" s="3"/>
      <c r="D329" s="3"/>
      <c r="E329" s="3"/>
      <c r="F329" s="3"/>
      <c r="G329" s="3"/>
    </row>
    <row r="330" spans="1:7" ht="13">
      <c r="A330" s="3"/>
      <c r="B330" s="3"/>
      <c r="C330" s="3"/>
      <c r="D330" s="3"/>
      <c r="E330" s="3"/>
      <c r="F330" s="3"/>
      <c r="G330" s="3"/>
    </row>
    <row r="331" spans="1:7" ht="13">
      <c r="A331" s="3"/>
      <c r="B331" s="3"/>
      <c r="C331" s="3"/>
      <c r="D331" s="3"/>
      <c r="E331" s="3"/>
      <c r="F331" s="3"/>
      <c r="G331" s="3"/>
    </row>
    <row r="332" spans="1:7" ht="13">
      <c r="A332" s="3"/>
      <c r="B332" s="3"/>
      <c r="C332" s="3"/>
      <c r="D332" s="3"/>
      <c r="E332" s="3"/>
      <c r="F332" s="3"/>
      <c r="G332" s="3"/>
    </row>
    <row r="333" spans="1:7" ht="13">
      <c r="A333" s="3"/>
      <c r="B333" s="3"/>
      <c r="C333" s="3"/>
      <c r="D333" s="3"/>
      <c r="E333" s="3"/>
      <c r="F333" s="3"/>
      <c r="G333" s="3"/>
    </row>
    <row r="334" spans="1:7" ht="13">
      <c r="A334" s="3"/>
      <c r="B334" s="3"/>
      <c r="C334" s="3"/>
      <c r="D334" s="3"/>
      <c r="E334" s="3"/>
      <c r="F334" s="3"/>
      <c r="G334" s="3"/>
    </row>
    <row r="335" spans="1:7" ht="13">
      <c r="A335" s="3"/>
      <c r="B335" s="3"/>
      <c r="C335" s="3"/>
      <c r="D335" s="3"/>
      <c r="E335" s="3"/>
      <c r="F335" s="3"/>
      <c r="G335" s="3"/>
    </row>
    <row r="336" spans="1:7" ht="13">
      <c r="A336" s="3"/>
      <c r="B336" s="3"/>
      <c r="C336" s="3"/>
      <c r="D336" s="3"/>
      <c r="E336" s="3"/>
      <c r="F336" s="3"/>
      <c r="G336" s="3"/>
    </row>
    <row r="337" spans="1:7" ht="13">
      <c r="A337" s="3"/>
      <c r="B337" s="3"/>
      <c r="C337" s="3"/>
      <c r="D337" s="3"/>
      <c r="E337" s="3"/>
      <c r="F337" s="3"/>
      <c r="G337" s="3"/>
    </row>
    <row r="338" spans="1:7" ht="13">
      <c r="A338" s="3"/>
      <c r="B338" s="3"/>
      <c r="C338" s="3"/>
      <c r="D338" s="3"/>
      <c r="E338" s="3"/>
      <c r="F338" s="3"/>
      <c r="G338" s="3"/>
    </row>
    <row r="339" spans="1:7" ht="13">
      <c r="A339" s="3"/>
      <c r="B339" s="3"/>
      <c r="C339" s="3"/>
      <c r="D339" s="3"/>
      <c r="E339" s="3"/>
      <c r="F339" s="3"/>
      <c r="G339" s="3"/>
    </row>
    <row r="340" spans="1:7" ht="13">
      <c r="A340" s="3"/>
      <c r="B340" s="3"/>
      <c r="C340" s="3"/>
      <c r="D340" s="3"/>
      <c r="E340" s="3"/>
      <c r="F340" s="3"/>
      <c r="G340" s="3"/>
    </row>
    <row r="341" spans="1:7" ht="13">
      <c r="A341" s="3"/>
      <c r="B341" s="3"/>
      <c r="C341" s="3"/>
      <c r="D341" s="3"/>
      <c r="E341" s="3"/>
      <c r="F341" s="3"/>
      <c r="G341" s="3"/>
    </row>
    <row r="342" spans="1:7" ht="13">
      <c r="A342" s="3"/>
      <c r="B342" s="3"/>
      <c r="C342" s="3"/>
      <c r="D342" s="3"/>
      <c r="E342" s="3"/>
      <c r="F342" s="3"/>
      <c r="G342" s="3"/>
    </row>
    <row r="343" spans="1:7" ht="13">
      <c r="A343" s="3"/>
      <c r="B343" s="3"/>
      <c r="C343" s="3"/>
      <c r="D343" s="3"/>
      <c r="E343" s="3"/>
      <c r="F343" s="3"/>
      <c r="G343" s="3"/>
    </row>
    <row r="344" spans="1:7" ht="13">
      <c r="A344" s="3"/>
      <c r="B344" s="3"/>
      <c r="C344" s="3"/>
      <c r="D344" s="3"/>
      <c r="E344" s="3"/>
      <c r="F344" s="3"/>
      <c r="G344" s="3"/>
    </row>
    <row r="345" spans="1:7" ht="13">
      <c r="A345" s="3"/>
      <c r="B345" s="3"/>
      <c r="C345" s="3"/>
      <c r="D345" s="3"/>
      <c r="E345" s="3"/>
      <c r="F345" s="3"/>
      <c r="G345" s="3"/>
    </row>
    <row r="346" spans="1:7" ht="13">
      <c r="A346" s="3"/>
      <c r="B346" s="3"/>
      <c r="C346" s="3"/>
      <c r="D346" s="3"/>
      <c r="E346" s="3"/>
      <c r="F346" s="3"/>
      <c r="G346" s="3"/>
    </row>
    <row r="347" spans="1:7" ht="13">
      <c r="A347" s="3"/>
      <c r="B347" s="3"/>
      <c r="C347" s="3"/>
      <c r="D347" s="3"/>
      <c r="E347" s="3"/>
      <c r="F347" s="3"/>
      <c r="G347" s="3"/>
    </row>
    <row r="348" spans="1:7" ht="13">
      <c r="A348" s="3"/>
      <c r="B348" s="3"/>
      <c r="C348" s="3"/>
      <c r="D348" s="3"/>
      <c r="E348" s="3"/>
      <c r="F348" s="3"/>
      <c r="G348" s="3"/>
    </row>
    <row r="349" spans="1:7" ht="13">
      <c r="A349" s="3"/>
      <c r="B349" s="3"/>
      <c r="C349" s="3"/>
      <c r="D349" s="3"/>
      <c r="E349" s="3"/>
      <c r="F349" s="3"/>
      <c r="G349" s="3"/>
    </row>
    <row r="350" spans="1:7" ht="13">
      <c r="A350" s="3"/>
      <c r="B350" s="3"/>
      <c r="C350" s="3"/>
      <c r="D350" s="3"/>
      <c r="E350" s="3"/>
      <c r="F350" s="3"/>
      <c r="G350" s="3"/>
    </row>
    <row r="351" spans="1:7" ht="13">
      <c r="A351" s="3"/>
      <c r="B351" s="3"/>
      <c r="C351" s="3"/>
      <c r="D351" s="3"/>
      <c r="E351" s="3"/>
      <c r="F351" s="3"/>
      <c r="G351" s="3"/>
    </row>
    <row r="352" spans="1:7" ht="13">
      <c r="A352" s="3"/>
      <c r="B352" s="3"/>
      <c r="C352" s="3"/>
      <c r="D352" s="3"/>
      <c r="E352" s="3"/>
      <c r="F352" s="3"/>
      <c r="G352" s="3"/>
    </row>
    <row r="353" spans="1:7" ht="13">
      <c r="A353" s="3"/>
      <c r="B353" s="3"/>
      <c r="C353" s="3"/>
      <c r="D353" s="3"/>
      <c r="E353" s="3"/>
      <c r="F353" s="3"/>
      <c r="G353" s="3"/>
    </row>
    <row r="354" spans="1:7" ht="13">
      <c r="A354" s="3"/>
      <c r="B354" s="3"/>
      <c r="C354" s="3"/>
      <c r="D354" s="3"/>
      <c r="E354" s="3"/>
      <c r="F354" s="3"/>
      <c r="G354" s="3"/>
    </row>
    <row r="355" spans="1:7" ht="13">
      <c r="A355" s="3"/>
      <c r="B355" s="3"/>
      <c r="C355" s="3"/>
      <c r="D355" s="3"/>
      <c r="E355" s="3"/>
      <c r="F355" s="3"/>
      <c r="G355" s="3"/>
    </row>
    <row r="356" spans="1:7" ht="13">
      <c r="A356" s="3"/>
      <c r="B356" s="3"/>
      <c r="C356" s="3"/>
      <c r="D356" s="3"/>
      <c r="E356" s="3"/>
      <c r="F356" s="3"/>
      <c r="G356" s="3"/>
    </row>
    <row r="357" spans="1:7" ht="13">
      <c r="A357" s="3"/>
      <c r="B357" s="3"/>
      <c r="C357" s="3"/>
      <c r="D357" s="3"/>
      <c r="E357" s="3"/>
      <c r="F357" s="3"/>
      <c r="G357" s="3"/>
    </row>
    <row r="358" spans="1:7" ht="13">
      <c r="A358" s="3"/>
      <c r="B358" s="3"/>
      <c r="C358" s="3"/>
      <c r="D358" s="3"/>
      <c r="E358" s="3"/>
      <c r="F358" s="3"/>
      <c r="G358" s="3"/>
    </row>
    <row r="359" spans="1:7" ht="13">
      <c r="A359" s="3"/>
      <c r="B359" s="3"/>
      <c r="C359" s="3"/>
      <c r="D359" s="3"/>
      <c r="E359" s="3"/>
      <c r="F359" s="3"/>
      <c r="G359" s="3"/>
    </row>
    <row r="360" spans="1:7" ht="13">
      <c r="A360" s="3"/>
      <c r="B360" s="3"/>
      <c r="C360" s="3"/>
      <c r="D360" s="3"/>
      <c r="E360" s="3"/>
      <c r="F360" s="3"/>
      <c r="G360" s="3"/>
    </row>
    <row r="361" spans="1:7" ht="13">
      <c r="A361" s="3"/>
      <c r="B361" s="3"/>
      <c r="C361" s="3"/>
      <c r="D361" s="3"/>
      <c r="E361" s="3"/>
      <c r="F361" s="3"/>
      <c r="G361" s="3"/>
    </row>
    <row r="362" spans="1:7" ht="13">
      <c r="A362" s="3"/>
      <c r="B362" s="3"/>
      <c r="C362" s="3"/>
      <c r="D362" s="3"/>
      <c r="E362" s="3"/>
      <c r="F362" s="3"/>
      <c r="G362" s="3"/>
    </row>
    <row r="363" spans="1:7" ht="13">
      <c r="A363" s="3"/>
      <c r="B363" s="3"/>
      <c r="C363" s="3"/>
      <c r="D363" s="3"/>
      <c r="E363" s="3"/>
      <c r="F363" s="3"/>
      <c r="G363" s="3"/>
    </row>
    <row r="364" spans="1:7" ht="13">
      <c r="A364" s="3"/>
      <c r="B364" s="3"/>
      <c r="C364" s="3"/>
      <c r="D364" s="3"/>
      <c r="E364" s="3"/>
      <c r="F364" s="3"/>
      <c r="G364" s="3"/>
    </row>
    <row r="365" spans="1:7" ht="13">
      <c r="A365" s="3"/>
      <c r="B365" s="3"/>
      <c r="C365" s="3"/>
      <c r="D365" s="3"/>
      <c r="E365" s="3"/>
      <c r="F365" s="3"/>
      <c r="G365" s="3"/>
    </row>
    <row r="366" spans="1:7" ht="13">
      <c r="A366" s="3"/>
      <c r="B366" s="3"/>
      <c r="C366" s="3"/>
      <c r="D366" s="3"/>
      <c r="E366" s="3"/>
      <c r="F366" s="3"/>
      <c r="G366" s="3"/>
    </row>
    <row r="367" spans="1:7" ht="13">
      <c r="A367" s="3"/>
      <c r="B367" s="3"/>
      <c r="C367" s="3"/>
      <c r="D367" s="3"/>
      <c r="E367" s="3"/>
      <c r="F367" s="3"/>
      <c r="G367" s="3"/>
    </row>
    <row r="368" spans="1:7" ht="13">
      <c r="A368" s="3"/>
      <c r="B368" s="3"/>
      <c r="C368" s="3"/>
      <c r="D368" s="3"/>
      <c r="E368" s="3"/>
      <c r="F368" s="3"/>
      <c r="G368" s="3"/>
    </row>
    <row r="369" spans="1:7" ht="13">
      <c r="A369" s="3"/>
      <c r="B369" s="3"/>
      <c r="C369" s="3"/>
      <c r="D369" s="3"/>
      <c r="E369" s="3"/>
      <c r="F369" s="3"/>
      <c r="G369" s="3"/>
    </row>
    <row r="370" spans="1:7" ht="13">
      <c r="A370" s="3"/>
      <c r="B370" s="3"/>
      <c r="C370" s="3"/>
      <c r="D370" s="3"/>
      <c r="E370" s="3"/>
      <c r="F370" s="3"/>
      <c r="G370" s="3"/>
    </row>
    <row r="371" spans="1:7" ht="13">
      <c r="A371" s="3"/>
      <c r="B371" s="3"/>
      <c r="C371" s="3"/>
      <c r="D371" s="3"/>
      <c r="E371" s="3"/>
      <c r="F371" s="3"/>
      <c r="G371" s="3"/>
    </row>
    <row r="372" spans="1:7" ht="13">
      <c r="A372" s="3"/>
      <c r="B372" s="3"/>
      <c r="C372" s="3"/>
      <c r="D372" s="3"/>
      <c r="E372" s="3"/>
      <c r="F372" s="3"/>
      <c r="G372" s="3"/>
    </row>
    <row r="373" spans="1:7" ht="13">
      <c r="A373" s="3"/>
      <c r="B373" s="3"/>
      <c r="C373" s="3"/>
      <c r="D373" s="3"/>
      <c r="E373" s="3"/>
      <c r="F373" s="3"/>
      <c r="G373" s="3"/>
    </row>
    <row r="374" spans="1:7" ht="13">
      <c r="A374" s="3"/>
      <c r="B374" s="3"/>
      <c r="C374" s="3"/>
      <c r="D374" s="3"/>
      <c r="E374" s="3"/>
      <c r="F374" s="3"/>
      <c r="G374" s="3"/>
    </row>
    <row r="375" spans="1:7" ht="13">
      <c r="A375" s="3"/>
      <c r="B375" s="3"/>
      <c r="C375" s="3"/>
      <c r="D375" s="3"/>
      <c r="E375" s="3"/>
      <c r="F375" s="3"/>
      <c r="G375" s="3"/>
    </row>
    <row r="376" spans="1:7" ht="13">
      <c r="A376" s="3"/>
      <c r="B376" s="3"/>
      <c r="C376" s="3"/>
      <c r="D376" s="3"/>
      <c r="E376" s="3"/>
      <c r="F376" s="3"/>
      <c r="G376" s="3"/>
    </row>
    <row r="377" spans="1:7" ht="13">
      <c r="A377" s="3"/>
      <c r="B377" s="3"/>
      <c r="C377" s="3"/>
      <c r="D377" s="3"/>
      <c r="E377" s="3"/>
      <c r="F377" s="3"/>
      <c r="G377" s="3"/>
    </row>
    <row r="378" spans="1:7" ht="13">
      <c r="A378" s="3"/>
      <c r="B378" s="3"/>
      <c r="C378" s="3"/>
      <c r="D378" s="3"/>
      <c r="E378" s="3"/>
      <c r="F378" s="3"/>
      <c r="G378" s="3"/>
    </row>
    <row r="379" spans="1:7" ht="13">
      <c r="A379" s="3"/>
      <c r="B379" s="3"/>
      <c r="C379" s="3"/>
      <c r="D379" s="3"/>
      <c r="E379" s="3"/>
      <c r="F379" s="3"/>
      <c r="G379" s="3"/>
    </row>
    <row r="380" spans="1:7" ht="13">
      <c r="A380" s="3"/>
      <c r="B380" s="3"/>
      <c r="C380" s="3"/>
      <c r="D380" s="3"/>
      <c r="E380" s="3"/>
      <c r="F380" s="3"/>
      <c r="G380" s="3"/>
    </row>
    <row r="381" spans="1:7" ht="13">
      <c r="A381" s="3"/>
      <c r="B381" s="3"/>
      <c r="C381" s="3"/>
      <c r="D381" s="3"/>
      <c r="E381" s="3"/>
      <c r="F381" s="3"/>
      <c r="G381" s="3"/>
    </row>
    <row r="382" spans="1:7" ht="13">
      <c r="A382" s="3"/>
      <c r="B382" s="3"/>
      <c r="C382" s="3"/>
      <c r="D382" s="3"/>
      <c r="E382" s="3"/>
      <c r="F382" s="3"/>
      <c r="G382" s="3"/>
    </row>
    <row r="383" spans="1:7" ht="13">
      <c r="A383" s="3"/>
      <c r="B383" s="3"/>
      <c r="C383" s="3"/>
      <c r="D383" s="3"/>
      <c r="E383" s="3"/>
      <c r="F383" s="3"/>
      <c r="G383" s="3"/>
    </row>
    <row r="384" spans="1:7" ht="13">
      <c r="A384" s="3"/>
      <c r="B384" s="3"/>
      <c r="C384" s="3"/>
      <c r="D384" s="3"/>
      <c r="E384" s="3"/>
      <c r="F384" s="3"/>
      <c r="G384" s="3"/>
    </row>
    <row r="385" spans="1:7" ht="13">
      <c r="A385" s="3"/>
      <c r="B385" s="3"/>
      <c r="C385" s="3"/>
      <c r="D385" s="3"/>
      <c r="E385" s="3"/>
      <c r="F385" s="3"/>
      <c r="G385" s="3"/>
    </row>
    <row r="386" spans="1:7" ht="13">
      <c r="A386" s="3"/>
      <c r="B386" s="3"/>
      <c r="C386" s="3"/>
      <c r="D386" s="3"/>
      <c r="E386" s="3"/>
      <c r="F386" s="3"/>
      <c r="G386" s="3"/>
    </row>
    <row r="387" spans="1:7" ht="13">
      <c r="A387" s="3"/>
      <c r="B387" s="3"/>
      <c r="C387" s="3"/>
      <c r="D387" s="3"/>
      <c r="E387" s="3"/>
      <c r="F387" s="3"/>
      <c r="G387" s="3"/>
    </row>
    <row r="388" spans="1:7" ht="13">
      <c r="A388" s="3"/>
      <c r="B388" s="3"/>
      <c r="C388" s="3"/>
      <c r="D388" s="3"/>
      <c r="E388" s="3"/>
      <c r="F388" s="3"/>
      <c r="G388" s="3"/>
    </row>
    <row r="389" spans="1:7" ht="13">
      <c r="A389" s="3"/>
      <c r="B389" s="3"/>
      <c r="C389" s="3"/>
      <c r="D389" s="3"/>
      <c r="E389" s="3"/>
      <c r="F389" s="3"/>
      <c r="G389" s="3"/>
    </row>
    <row r="390" spans="1:7" ht="13">
      <c r="A390" s="3"/>
      <c r="B390" s="3"/>
      <c r="C390" s="3"/>
      <c r="D390" s="3"/>
      <c r="E390" s="3"/>
      <c r="F390" s="3"/>
      <c r="G390" s="3"/>
    </row>
    <row r="391" spans="1:7" ht="13">
      <c r="A391" s="3"/>
      <c r="B391" s="3"/>
      <c r="C391" s="3"/>
      <c r="D391" s="3"/>
      <c r="E391" s="3"/>
      <c r="F391" s="3"/>
      <c r="G391" s="3"/>
    </row>
    <row r="392" spans="1:7" ht="13">
      <c r="A392" s="3"/>
      <c r="B392" s="3"/>
      <c r="C392" s="3"/>
      <c r="D392" s="3"/>
      <c r="E392" s="3"/>
      <c r="F392" s="3"/>
      <c r="G392" s="3"/>
    </row>
    <row r="393" spans="1:7" ht="13">
      <c r="A393" s="3"/>
      <c r="B393" s="3"/>
      <c r="C393" s="3"/>
      <c r="D393" s="3"/>
      <c r="E393" s="3"/>
      <c r="F393" s="3"/>
      <c r="G393" s="3"/>
    </row>
    <row r="394" spans="1:7" ht="13">
      <c r="A394" s="3"/>
      <c r="B394" s="3"/>
      <c r="C394" s="3"/>
      <c r="D394" s="3"/>
      <c r="E394" s="3"/>
      <c r="F394" s="3"/>
      <c r="G394" s="3"/>
    </row>
    <row r="395" spans="1:7" ht="13">
      <c r="A395" s="3"/>
      <c r="B395" s="3"/>
      <c r="C395" s="3"/>
      <c r="D395" s="3"/>
      <c r="E395" s="3"/>
      <c r="F395" s="3"/>
      <c r="G395" s="3"/>
    </row>
    <row r="396" spans="1:7" ht="13">
      <c r="A396" s="3"/>
      <c r="B396" s="3"/>
      <c r="C396" s="3"/>
      <c r="D396" s="3"/>
      <c r="E396" s="3"/>
      <c r="F396" s="3"/>
      <c r="G396" s="3"/>
    </row>
    <row r="397" spans="1:7" ht="13">
      <c r="A397" s="3"/>
      <c r="B397" s="3"/>
      <c r="C397" s="3"/>
      <c r="D397" s="3"/>
      <c r="E397" s="3"/>
      <c r="F397" s="3"/>
      <c r="G397" s="3"/>
    </row>
    <row r="398" spans="1:7" ht="13">
      <c r="A398" s="3"/>
      <c r="B398" s="3"/>
      <c r="C398" s="3"/>
      <c r="D398" s="3"/>
      <c r="E398" s="3"/>
      <c r="F398" s="3"/>
      <c r="G398" s="3"/>
    </row>
    <row r="399" spans="1:7" ht="13">
      <c r="A399" s="3"/>
      <c r="B399" s="3"/>
      <c r="C399" s="3"/>
      <c r="D399" s="3"/>
      <c r="E399" s="3"/>
      <c r="F399" s="3"/>
      <c r="G399" s="3"/>
    </row>
    <row r="400" spans="1:7" ht="13">
      <c r="A400" s="3"/>
      <c r="B400" s="3"/>
      <c r="C400" s="3"/>
      <c r="D400" s="3"/>
      <c r="E400" s="3"/>
      <c r="F400" s="3"/>
      <c r="G400" s="3"/>
    </row>
    <row r="401" spans="1:7" ht="13">
      <c r="A401" s="3"/>
      <c r="B401" s="3"/>
      <c r="C401" s="3"/>
      <c r="D401" s="3"/>
      <c r="E401" s="3"/>
      <c r="F401" s="3"/>
      <c r="G401" s="3"/>
    </row>
    <row r="402" spans="1:7" ht="13">
      <c r="A402" s="3"/>
      <c r="B402" s="3"/>
      <c r="C402" s="3"/>
      <c r="D402" s="3"/>
      <c r="E402" s="3"/>
      <c r="F402" s="3"/>
      <c r="G402" s="3"/>
    </row>
    <row r="403" spans="1:7" ht="13">
      <c r="A403" s="3"/>
      <c r="B403" s="3"/>
      <c r="C403" s="3"/>
      <c r="D403" s="3"/>
      <c r="E403" s="3"/>
      <c r="F403" s="3"/>
      <c r="G403" s="3"/>
    </row>
    <row r="404" spans="1:7" ht="13">
      <c r="A404" s="3"/>
      <c r="B404" s="3"/>
      <c r="C404" s="3"/>
      <c r="D404" s="3"/>
      <c r="E404" s="3"/>
      <c r="F404" s="3"/>
      <c r="G404" s="3"/>
    </row>
    <row r="405" spans="1:7" ht="13">
      <c r="A405" s="3"/>
      <c r="B405" s="3"/>
      <c r="C405" s="3"/>
      <c r="D405" s="3"/>
      <c r="E405" s="3"/>
      <c r="F405" s="3"/>
      <c r="G405" s="3"/>
    </row>
    <row r="406" spans="1:7" ht="13">
      <c r="A406" s="3"/>
      <c r="B406" s="3"/>
      <c r="C406" s="3"/>
      <c r="D406" s="3"/>
      <c r="E406" s="3"/>
      <c r="F406" s="3"/>
      <c r="G406" s="3"/>
    </row>
    <row r="407" spans="1:7" ht="13">
      <c r="A407" s="3"/>
      <c r="B407" s="3"/>
      <c r="C407" s="3"/>
      <c r="D407" s="3"/>
      <c r="E407" s="3"/>
      <c r="F407" s="3"/>
      <c r="G407" s="3"/>
    </row>
    <row r="408" spans="1:7" ht="13">
      <c r="A408" s="3"/>
      <c r="B408" s="3"/>
      <c r="C408" s="3"/>
      <c r="D408" s="3"/>
      <c r="E408" s="3"/>
      <c r="F408" s="3"/>
      <c r="G408" s="3"/>
    </row>
    <row r="409" spans="1:7" ht="13">
      <c r="A409" s="3"/>
      <c r="B409" s="3"/>
      <c r="C409" s="3"/>
      <c r="D409" s="3"/>
      <c r="E409" s="3"/>
      <c r="F409" s="3"/>
      <c r="G409" s="3"/>
    </row>
    <row r="410" spans="1:7" ht="13">
      <c r="A410" s="3"/>
      <c r="B410" s="3"/>
      <c r="C410" s="3"/>
      <c r="D410" s="3"/>
      <c r="E410" s="3"/>
      <c r="F410" s="3"/>
      <c r="G410" s="3"/>
    </row>
    <row r="411" spans="1:7" ht="13">
      <c r="A411" s="3"/>
      <c r="B411" s="3"/>
      <c r="C411" s="3"/>
      <c r="D411" s="3"/>
      <c r="E411" s="3"/>
      <c r="F411" s="3"/>
      <c r="G411" s="3"/>
    </row>
    <row r="412" spans="1:7" ht="13">
      <c r="A412" s="3"/>
      <c r="B412" s="3"/>
      <c r="C412" s="3"/>
      <c r="D412" s="3"/>
      <c r="E412" s="3"/>
      <c r="F412" s="3"/>
      <c r="G412" s="3"/>
    </row>
    <row r="413" spans="1:7" ht="13">
      <c r="A413" s="3"/>
      <c r="B413" s="3"/>
      <c r="C413" s="3"/>
      <c r="D413" s="3"/>
      <c r="E413" s="3"/>
      <c r="F413" s="3"/>
      <c r="G413" s="3"/>
    </row>
    <row r="414" spans="1:7" ht="13">
      <c r="A414" s="3"/>
      <c r="B414" s="3"/>
      <c r="C414" s="3"/>
      <c r="D414" s="3"/>
      <c r="E414" s="3"/>
      <c r="F414" s="3"/>
      <c r="G414" s="3"/>
    </row>
    <row r="415" spans="1:7" ht="13">
      <c r="A415" s="3"/>
      <c r="B415" s="3"/>
      <c r="C415" s="3"/>
      <c r="D415" s="3"/>
      <c r="E415" s="3"/>
      <c r="F415" s="3"/>
      <c r="G415" s="3"/>
    </row>
    <row r="416" spans="1:7" ht="13">
      <c r="A416" s="3"/>
      <c r="B416" s="3"/>
      <c r="C416" s="3"/>
      <c r="D416" s="3"/>
      <c r="E416" s="3"/>
      <c r="F416" s="3"/>
      <c r="G416" s="3"/>
    </row>
    <row r="417" spans="1:7" ht="13">
      <c r="A417" s="3"/>
      <c r="B417" s="3"/>
      <c r="C417" s="3"/>
      <c r="D417" s="3"/>
      <c r="E417" s="3"/>
      <c r="F417" s="3"/>
      <c r="G417" s="3"/>
    </row>
    <row r="418" spans="1:7" ht="13">
      <c r="A418" s="3"/>
      <c r="B418" s="3"/>
      <c r="C418" s="3"/>
      <c r="D418" s="3"/>
      <c r="E418" s="3"/>
      <c r="F418" s="3"/>
      <c r="G418" s="3"/>
    </row>
    <row r="419" spans="1:7" ht="13">
      <c r="A419" s="3"/>
      <c r="B419" s="3"/>
      <c r="C419" s="3"/>
      <c r="D419" s="3"/>
      <c r="E419" s="3"/>
      <c r="F419" s="3"/>
      <c r="G419" s="3"/>
    </row>
    <row r="420" spans="1:7" ht="13">
      <c r="A420" s="3"/>
      <c r="B420" s="3"/>
      <c r="C420" s="3"/>
      <c r="D420" s="3"/>
      <c r="E420" s="3"/>
      <c r="F420" s="3"/>
      <c r="G420" s="3"/>
    </row>
    <row r="421" spans="1:7" ht="13">
      <c r="A421" s="3"/>
      <c r="B421" s="3"/>
      <c r="C421" s="3"/>
      <c r="D421" s="3"/>
      <c r="E421" s="3"/>
      <c r="F421" s="3"/>
      <c r="G421" s="3"/>
    </row>
    <row r="422" spans="1:7" ht="13">
      <c r="A422" s="3"/>
      <c r="B422" s="3"/>
      <c r="C422" s="3"/>
      <c r="D422" s="3"/>
      <c r="E422" s="3"/>
      <c r="F422" s="3"/>
      <c r="G422" s="3"/>
    </row>
    <row r="423" spans="1:7" ht="13">
      <c r="A423" s="3"/>
      <c r="B423" s="3"/>
      <c r="C423" s="3"/>
      <c r="D423" s="3"/>
      <c r="E423" s="3"/>
      <c r="F423" s="3"/>
      <c r="G423" s="3"/>
    </row>
    <row r="424" spans="1:7" ht="13">
      <c r="A424" s="3"/>
      <c r="B424" s="3"/>
      <c r="C424" s="3"/>
      <c r="D424" s="3"/>
      <c r="E424" s="3"/>
      <c r="F424" s="3"/>
      <c r="G424" s="3"/>
    </row>
    <row r="425" spans="1:7" ht="13">
      <c r="A425" s="3"/>
      <c r="B425" s="3"/>
      <c r="C425" s="3"/>
      <c r="D425" s="3"/>
      <c r="E425" s="3"/>
      <c r="F425" s="3"/>
      <c r="G425" s="3"/>
    </row>
    <row r="426" spans="1:7" ht="13">
      <c r="A426" s="3"/>
      <c r="B426" s="3"/>
      <c r="C426" s="3"/>
      <c r="D426" s="3"/>
      <c r="E426" s="3"/>
      <c r="F426" s="3"/>
      <c r="G426" s="3"/>
    </row>
    <row r="427" spans="1:7" ht="13">
      <c r="A427" s="3"/>
      <c r="B427" s="3"/>
      <c r="C427" s="3"/>
      <c r="D427" s="3"/>
      <c r="E427" s="3"/>
      <c r="F427" s="3"/>
      <c r="G427" s="3"/>
    </row>
    <row r="428" spans="1:7" ht="13">
      <c r="A428" s="3"/>
      <c r="B428" s="3"/>
      <c r="C428" s="3"/>
      <c r="D428" s="3"/>
      <c r="E428" s="3"/>
      <c r="F428" s="3"/>
      <c r="G428" s="3"/>
    </row>
    <row r="429" spans="1:7" ht="13">
      <c r="A429" s="3"/>
      <c r="B429" s="3"/>
      <c r="C429" s="3"/>
      <c r="D429" s="3"/>
      <c r="E429" s="3"/>
      <c r="F429" s="3"/>
      <c r="G429" s="3"/>
    </row>
    <row r="430" spans="1:7" ht="13">
      <c r="A430" s="3"/>
      <c r="B430" s="3"/>
      <c r="C430" s="3"/>
      <c r="D430" s="3"/>
      <c r="E430" s="3"/>
      <c r="F430" s="3"/>
      <c r="G430" s="3"/>
    </row>
    <row r="431" spans="1:7" ht="13">
      <c r="A431" s="3"/>
      <c r="B431" s="3"/>
      <c r="C431" s="3"/>
      <c r="D431" s="3"/>
      <c r="E431" s="3"/>
      <c r="F431" s="3"/>
      <c r="G431" s="3"/>
    </row>
    <row r="432" spans="1:7" ht="13">
      <c r="A432" s="3"/>
      <c r="B432" s="3"/>
      <c r="C432" s="3"/>
      <c r="D432" s="3"/>
      <c r="E432" s="3"/>
      <c r="F432" s="3"/>
      <c r="G432" s="3"/>
    </row>
    <row r="433" spans="1:7" ht="13">
      <c r="A433" s="3"/>
      <c r="B433" s="3"/>
      <c r="C433" s="3"/>
      <c r="D433" s="3"/>
      <c r="E433" s="3"/>
      <c r="F433" s="3"/>
      <c r="G433" s="3"/>
    </row>
    <row r="434" spans="1:7" ht="13">
      <c r="A434" s="3"/>
      <c r="B434" s="3"/>
      <c r="C434" s="3"/>
      <c r="D434" s="3"/>
      <c r="E434" s="3"/>
      <c r="F434" s="3"/>
      <c r="G434" s="3"/>
    </row>
    <row r="435" spans="1:7" ht="13">
      <c r="A435" s="3"/>
      <c r="B435" s="3"/>
      <c r="C435" s="3"/>
      <c r="D435" s="3"/>
      <c r="E435" s="3"/>
      <c r="F435" s="3"/>
      <c r="G435" s="3"/>
    </row>
    <row r="436" spans="1:7" ht="13">
      <c r="A436" s="3"/>
      <c r="B436" s="3"/>
      <c r="C436" s="3"/>
      <c r="D436" s="3"/>
      <c r="E436" s="3"/>
      <c r="F436" s="3"/>
      <c r="G436" s="3"/>
    </row>
    <row r="437" spans="1:7" ht="13">
      <c r="A437" s="3"/>
      <c r="B437" s="3"/>
      <c r="C437" s="3"/>
      <c r="D437" s="3"/>
      <c r="E437" s="3"/>
      <c r="F437" s="3"/>
      <c r="G437" s="3"/>
    </row>
    <row r="438" spans="1:7" ht="13">
      <c r="A438" s="3"/>
      <c r="B438" s="3"/>
      <c r="C438" s="3"/>
      <c r="D438" s="3"/>
      <c r="E438" s="3"/>
      <c r="F438" s="3"/>
      <c r="G438" s="3"/>
    </row>
    <row r="439" spans="1:7" ht="13">
      <c r="A439" s="3"/>
      <c r="B439" s="3"/>
      <c r="C439" s="3"/>
      <c r="D439" s="3"/>
      <c r="E439" s="3"/>
      <c r="F439" s="3"/>
      <c r="G439" s="3"/>
    </row>
    <row r="440" spans="1:7" ht="13">
      <c r="A440" s="3"/>
      <c r="B440" s="3"/>
      <c r="C440" s="3"/>
      <c r="D440" s="3"/>
      <c r="E440" s="3"/>
      <c r="F440" s="3"/>
      <c r="G440" s="3"/>
    </row>
    <row r="441" spans="1:7" ht="13">
      <c r="A441" s="3"/>
      <c r="B441" s="3"/>
      <c r="C441" s="3"/>
      <c r="D441" s="3"/>
      <c r="E441" s="3"/>
      <c r="F441" s="3"/>
      <c r="G441" s="3"/>
    </row>
    <row r="442" spans="1:7" ht="13">
      <c r="A442" s="3"/>
      <c r="B442" s="3"/>
      <c r="C442" s="3"/>
      <c r="D442" s="3"/>
      <c r="E442" s="3"/>
      <c r="F442" s="3"/>
      <c r="G442" s="3"/>
    </row>
    <row r="443" spans="1:7" ht="13">
      <c r="A443" s="3"/>
      <c r="B443" s="3"/>
      <c r="C443" s="3"/>
      <c r="D443" s="3"/>
      <c r="E443" s="3"/>
      <c r="F443" s="3"/>
      <c r="G443" s="3"/>
    </row>
    <row r="444" spans="1:7" ht="13">
      <c r="A444" s="3"/>
      <c r="B444" s="3"/>
      <c r="C444" s="3"/>
      <c r="D444" s="3"/>
      <c r="E444" s="3"/>
      <c r="F444" s="3"/>
      <c r="G444" s="3"/>
    </row>
    <row r="445" spans="1:7" ht="13">
      <c r="A445" s="3"/>
      <c r="B445" s="3"/>
      <c r="C445" s="3"/>
      <c r="D445" s="3"/>
      <c r="E445" s="3"/>
      <c r="F445" s="3"/>
      <c r="G445" s="3"/>
    </row>
    <row r="446" spans="1:7" ht="13">
      <c r="A446" s="3"/>
      <c r="B446" s="3"/>
      <c r="C446" s="3"/>
      <c r="D446" s="3"/>
      <c r="E446" s="3"/>
      <c r="F446" s="3"/>
      <c r="G446" s="3"/>
    </row>
    <row r="447" spans="1:7" ht="13">
      <c r="A447" s="3"/>
      <c r="B447" s="3"/>
      <c r="C447" s="3"/>
      <c r="D447" s="3"/>
      <c r="E447" s="3"/>
      <c r="F447" s="3"/>
      <c r="G447" s="3"/>
    </row>
    <row r="448" spans="1:7" ht="13">
      <c r="A448" s="3"/>
      <c r="B448" s="3"/>
      <c r="C448" s="3"/>
      <c r="D448" s="3"/>
      <c r="E448" s="3"/>
      <c r="F448" s="3"/>
      <c r="G448" s="3"/>
    </row>
    <row r="449" spans="1:7" ht="13">
      <c r="A449" s="3"/>
      <c r="B449" s="3"/>
      <c r="C449" s="3"/>
      <c r="D449" s="3"/>
      <c r="E449" s="3"/>
      <c r="F449" s="3"/>
      <c r="G449" s="3"/>
    </row>
    <row r="450" spans="1:7" ht="13">
      <c r="A450" s="3"/>
      <c r="B450" s="3"/>
      <c r="C450" s="3"/>
      <c r="D450" s="3"/>
      <c r="E450" s="3"/>
      <c r="F450" s="3"/>
      <c r="G450" s="3"/>
    </row>
    <row r="451" spans="1:7" ht="13">
      <c r="A451" s="3"/>
      <c r="B451" s="3"/>
      <c r="C451" s="3"/>
      <c r="D451" s="3"/>
      <c r="E451" s="3"/>
      <c r="F451" s="3"/>
      <c r="G451" s="3"/>
    </row>
    <row r="452" spans="1:7" ht="13">
      <c r="A452" s="3"/>
      <c r="B452" s="3"/>
      <c r="C452" s="3"/>
      <c r="D452" s="3"/>
      <c r="E452" s="3"/>
      <c r="F452" s="3"/>
      <c r="G452" s="3"/>
    </row>
    <row r="453" spans="1:7" ht="13">
      <c r="A453" s="3"/>
      <c r="B453" s="3"/>
      <c r="C453" s="3"/>
      <c r="D453" s="3"/>
      <c r="E453" s="3"/>
      <c r="F453" s="3"/>
      <c r="G453" s="3"/>
    </row>
    <row r="454" spans="1:7" ht="13">
      <c r="A454" s="3"/>
      <c r="B454" s="3"/>
      <c r="C454" s="3"/>
      <c r="D454" s="3"/>
      <c r="E454" s="3"/>
      <c r="F454" s="3"/>
      <c r="G454" s="3"/>
    </row>
    <row r="455" spans="1:7" ht="13">
      <c r="A455" s="3"/>
      <c r="B455" s="3"/>
      <c r="C455" s="3"/>
      <c r="D455" s="3"/>
      <c r="E455" s="3"/>
      <c r="F455" s="3"/>
      <c r="G455" s="3"/>
    </row>
    <row r="456" spans="1:7" ht="13">
      <c r="A456" s="3"/>
      <c r="B456" s="3"/>
      <c r="C456" s="3"/>
      <c r="D456" s="3"/>
      <c r="E456" s="3"/>
      <c r="F456" s="3"/>
      <c r="G456" s="3"/>
    </row>
    <row r="457" spans="1:7" ht="13">
      <c r="A457" s="3"/>
      <c r="B457" s="3"/>
      <c r="C457" s="3"/>
      <c r="D457" s="3"/>
      <c r="E457" s="3"/>
      <c r="F457" s="3"/>
      <c r="G457" s="3"/>
    </row>
    <row r="458" spans="1:7" ht="13">
      <c r="A458" s="3"/>
      <c r="B458" s="3"/>
      <c r="C458" s="3"/>
      <c r="D458" s="3"/>
      <c r="E458" s="3"/>
      <c r="F458" s="3"/>
      <c r="G458" s="3"/>
    </row>
    <row r="459" spans="1:7" ht="13">
      <c r="A459" s="3"/>
      <c r="B459" s="3"/>
      <c r="C459" s="3"/>
      <c r="D459" s="3"/>
      <c r="E459" s="3"/>
      <c r="F459" s="3"/>
      <c r="G459" s="3"/>
    </row>
    <row r="460" spans="1:7" ht="13">
      <c r="A460" s="3"/>
      <c r="B460" s="3"/>
      <c r="C460" s="3"/>
      <c r="D460" s="3"/>
      <c r="E460" s="3"/>
      <c r="F460" s="3"/>
      <c r="G460" s="3"/>
    </row>
    <row r="461" spans="1:7" ht="13">
      <c r="A461" s="3"/>
      <c r="B461" s="3"/>
      <c r="C461" s="3"/>
      <c r="D461" s="3"/>
      <c r="E461" s="3"/>
      <c r="F461" s="3"/>
      <c r="G461" s="3"/>
    </row>
    <row r="462" spans="1:7" ht="13">
      <c r="A462" s="3"/>
      <c r="B462" s="3"/>
      <c r="C462" s="3"/>
      <c r="D462" s="3"/>
      <c r="E462" s="3"/>
      <c r="F462" s="3"/>
      <c r="G462" s="3"/>
    </row>
    <row r="463" spans="1:7" ht="13">
      <c r="A463" s="3"/>
      <c r="B463" s="3"/>
      <c r="C463" s="3"/>
      <c r="D463" s="3"/>
      <c r="E463" s="3"/>
      <c r="F463" s="3"/>
      <c r="G463" s="3"/>
    </row>
    <row r="464" spans="1:7" ht="13">
      <c r="A464" s="3"/>
      <c r="B464" s="3"/>
      <c r="C464" s="3"/>
      <c r="D464" s="3"/>
      <c r="E464" s="3"/>
      <c r="F464" s="3"/>
      <c r="G464" s="3"/>
    </row>
    <row r="465" spans="1:7" ht="13">
      <c r="A465" s="3"/>
      <c r="B465" s="3"/>
      <c r="C465" s="3"/>
      <c r="D465" s="3"/>
      <c r="E465" s="3"/>
      <c r="F465" s="3"/>
      <c r="G465" s="3"/>
    </row>
    <row r="466" spans="1:7" ht="13">
      <c r="A466" s="3"/>
      <c r="B466" s="3"/>
      <c r="C466" s="3"/>
      <c r="D466" s="3"/>
      <c r="E466" s="3"/>
      <c r="F466" s="3"/>
      <c r="G466" s="3"/>
    </row>
    <row r="467" spans="1:7" ht="13">
      <c r="A467" s="3"/>
      <c r="B467" s="3"/>
      <c r="C467" s="3"/>
      <c r="D467" s="3"/>
      <c r="E467" s="3"/>
      <c r="F467" s="3"/>
      <c r="G467" s="3"/>
    </row>
    <row r="468" spans="1:7" ht="13">
      <c r="A468" s="3"/>
      <c r="B468" s="3"/>
      <c r="C468" s="3"/>
      <c r="D468" s="3"/>
      <c r="E468" s="3"/>
      <c r="F468" s="3"/>
      <c r="G468" s="3"/>
    </row>
    <row r="469" spans="1:7" ht="13">
      <c r="A469" s="3"/>
      <c r="B469" s="3"/>
      <c r="C469" s="3"/>
      <c r="D469" s="3"/>
      <c r="E469" s="3"/>
      <c r="F469" s="3"/>
      <c r="G469" s="3"/>
    </row>
    <row r="470" spans="1:7" ht="13">
      <c r="A470" s="3"/>
      <c r="B470" s="3"/>
      <c r="C470" s="3"/>
      <c r="D470" s="3"/>
      <c r="E470" s="3"/>
      <c r="F470" s="3"/>
      <c r="G470" s="3"/>
    </row>
    <row r="471" spans="1:7" ht="13">
      <c r="A471" s="3"/>
      <c r="B471" s="3"/>
      <c r="C471" s="3"/>
      <c r="D471" s="3"/>
      <c r="E471" s="3"/>
      <c r="F471" s="3"/>
      <c r="G471" s="3"/>
    </row>
    <row r="472" spans="1:7" ht="13">
      <c r="A472" s="3"/>
      <c r="B472" s="3"/>
      <c r="C472" s="3"/>
      <c r="D472" s="3"/>
      <c r="E472" s="3"/>
      <c r="F472" s="3"/>
      <c r="G472" s="3"/>
    </row>
    <row r="473" spans="1:7" ht="13">
      <c r="A473" s="3"/>
      <c r="B473" s="3"/>
      <c r="C473" s="3"/>
      <c r="D473" s="3"/>
      <c r="E473" s="3"/>
      <c r="F473" s="3"/>
      <c r="G473" s="3"/>
    </row>
    <row r="474" spans="1:7" ht="13">
      <c r="A474" s="3"/>
      <c r="B474" s="3"/>
      <c r="C474" s="3"/>
      <c r="D474" s="3"/>
      <c r="E474" s="3"/>
      <c r="F474" s="3"/>
      <c r="G474" s="3"/>
    </row>
    <row r="475" spans="1:7" ht="13">
      <c r="A475" s="3"/>
      <c r="B475" s="3"/>
      <c r="C475" s="3"/>
      <c r="D475" s="3"/>
      <c r="E475" s="3"/>
      <c r="F475" s="3"/>
      <c r="G475" s="3"/>
    </row>
    <row r="476" spans="1:7" ht="13">
      <c r="A476" s="3"/>
      <c r="B476" s="3"/>
      <c r="C476" s="3"/>
      <c r="D476" s="3"/>
      <c r="E476" s="3"/>
      <c r="F476" s="3"/>
      <c r="G476" s="3"/>
    </row>
    <row r="477" spans="1:7" ht="13">
      <c r="A477" s="3"/>
      <c r="B477" s="3"/>
      <c r="C477" s="3"/>
      <c r="D477" s="3"/>
      <c r="E477" s="3"/>
      <c r="F477" s="3"/>
      <c r="G477" s="3"/>
    </row>
    <row r="478" spans="1:7" ht="13">
      <c r="A478" s="3"/>
      <c r="B478" s="3"/>
      <c r="C478" s="3"/>
      <c r="D478" s="3"/>
      <c r="E478" s="3"/>
      <c r="F478" s="3"/>
      <c r="G478" s="3"/>
    </row>
    <row r="479" spans="1:7" ht="13">
      <c r="A479" s="3"/>
      <c r="B479" s="3"/>
      <c r="C479" s="3"/>
      <c r="D479" s="3"/>
      <c r="E479" s="3"/>
      <c r="F479" s="3"/>
      <c r="G479" s="3"/>
    </row>
    <row r="480" spans="1:7" ht="13">
      <c r="A480" s="3"/>
      <c r="B480" s="3"/>
      <c r="C480" s="3"/>
      <c r="D480" s="3"/>
      <c r="E480" s="3"/>
      <c r="F480" s="3"/>
      <c r="G480" s="3"/>
    </row>
    <row r="481" spans="1:7" ht="13">
      <c r="A481" s="3"/>
      <c r="B481" s="3"/>
      <c r="C481" s="3"/>
      <c r="D481" s="3"/>
      <c r="E481" s="3"/>
      <c r="F481" s="3"/>
      <c r="G481" s="3"/>
    </row>
    <row r="482" spans="1:7" ht="13">
      <c r="A482" s="3"/>
      <c r="B482" s="3"/>
      <c r="C482" s="3"/>
      <c r="D482" s="3"/>
      <c r="E482" s="3"/>
      <c r="F482" s="3"/>
      <c r="G482" s="3"/>
    </row>
    <row r="483" spans="1:7" ht="13">
      <c r="A483" s="3"/>
      <c r="B483" s="3"/>
      <c r="C483" s="3"/>
      <c r="D483" s="3"/>
      <c r="E483" s="3"/>
      <c r="F483" s="3"/>
      <c r="G483" s="3"/>
    </row>
    <row r="484" spans="1:7" ht="13">
      <c r="A484" s="3"/>
      <c r="B484" s="3"/>
      <c r="C484" s="3"/>
      <c r="D484" s="3"/>
      <c r="E484" s="3"/>
      <c r="F484" s="3"/>
      <c r="G484" s="3"/>
    </row>
    <row r="485" spans="1:7" ht="13">
      <c r="A485" s="3"/>
      <c r="B485" s="3"/>
      <c r="C485" s="3"/>
      <c r="D485" s="3"/>
      <c r="E485" s="3"/>
      <c r="F485" s="3"/>
      <c r="G485" s="3"/>
    </row>
    <row r="486" spans="1:7" ht="13">
      <c r="A486" s="3"/>
      <c r="B486" s="3"/>
      <c r="C486" s="3"/>
      <c r="D486" s="3"/>
      <c r="E486" s="3"/>
      <c r="F486" s="3"/>
      <c r="G486" s="3"/>
    </row>
    <row r="487" spans="1:7" ht="13">
      <c r="A487" s="3"/>
      <c r="B487" s="3"/>
      <c r="C487" s="3"/>
      <c r="D487" s="3"/>
      <c r="E487" s="3"/>
      <c r="F487" s="3"/>
      <c r="G487" s="3"/>
    </row>
    <row r="488" spans="1:7" ht="13">
      <c r="A488" s="3"/>
      <c r="B488" s="3"/>
      <c r="C488" s="3"/>
      <c r="D488" s="3"/>
      <c r="E488" s="3"/>
      <c r="F488" s="3"/>
      <c r="G488" s="3"/>
    </row>
    <row r="489" spans="1:7" ht="13">
      <c r="A489" s="3"/>
      <c r="B489" s="3"/>
      <c r="C489" s="3"/>
      <c r="D489" s="3"/>
      <c r="E489" s="3"/>
      <c r="F489" s="3"/>
      <c r="G489" s="3"/>
    </row>
    <row r="490" spans="1:7" ht="13">
      <c r="A490" s="3"/>
      <c r="B490" s="3"/>
      <c r="C490" s="3"/>
      <c r="D490" s="3"/>
      <c r="E490" s="3"/>
      <c r="F490" s="3"/>
      <c r="G490" s="3"/>
    </row>
    <row r="491" spans="1:7" ht="13">
      <c r="A491" s="3"/>
      <c r="B491" s="3"/>
      <c r="C491" s="3"/>
      <c r="D491" s="3"/>
      <c r="E491" s="3"/>
      <c r="F491" s="3"/>
      <c r="G491" s="3"/>
    </row>
    <row r="492" spans="1:7" ht="13">
      <c r="A492" s="3"/>
      <c r="B492" s="3"/>
      <c r="C492" s="3"/>
      <c r="D492" s="3"/>
      <c r="E492" s="3"/>
      <c r="F492" s="3"/>
      <c r="G492" s="3"/>
    </row>
    <row r="493" spans="1:7" ht="13">
      <c r="A493" s="3"/>
      <c r="B493" s="3"/>
      <c r="C493" s="3"/>
      <c r="D493" s="3"/>
      <c r="E493" s="3"/>
      <c r="F493" s="3"/>
      <c r="G493" s="3"/>
    </row>
    <row r="494" spans="1:7" ht="13">
      <c r="A494" s="3"/>
      <c r="B494" s="3"/>
      <c r="C494" s="3"/>
      <c r="D494" s="3"/>
      <c r="E494" s="3"/>
      <c r="F494" s="3"/>
      <c r="G494" s="3"/>
    </row>
    <row r="495" spans="1:7" ht="13">
      <c r="A495" s="3"/>
      <c r="B495" s="3"/>
      <c r="C495" s="3"/>
      <c r="D495" s="3"/>
      <c r="E495" s="3"/>
      <c r="F495" s="3"/>
      <c r="G495" s="3"/>
    </row>
    <row r="496" spans="1:7" ht="13">
      <c r="A496" s="3"/>
      <c r="B496" s="3"/>
      <c r="C496" s="3"/>
      <c r="D496" s="3"/>
      <c r="E496" s="3"/>
      <c r="F496" s="3"/>
      <c r="G496" s="3"/>
    </row>
    <row r="497" spans="1:7" ht="13">
      <c r="A497" s="3"/>
      <c r="B497" s="3"/>
      <c r="C497" s="3"/>
      <c r="D497" s="3"/>
      <c r="E497" s="3"/>
      <c r="F497" s="3"/>
      <c r="G497" s="3"/>
    </row>
    <row r="498" spans="1:7" ht="13">
      <c r="A498" s="3"/>
      <c r="B498" s="3"/>
      <c r="C498" s="3"/>
      <c r="D498" s="3"/>
      <c r="E498" s="3"/>
      <c r="F498" s="3"/>
      <c r="G498" s="3"/>
    </row>
    <row r="499" spans="1:7" ht="13">
      <c r="A499" s="3"/>
      <c r="B499" s="3"/>
      <c r="C499" s="3"/>
      <c r="D499" s="3"/>
      <c r="E499" s="3"/>
      <c r="F499" s="3"/>
      <c r="G499" s="3"/>
    </row>
    <row r="500" spans="1:7" ht="13">
      <c r="A500" s="3"/>
      <c r="B500" s="3"/>
      <c r="C500" s="3"/>
      <c r="D500" s="3"/>
      <c r="E500" s="3"/>
      <c r="F500" s="3"/>
      <c r="G500" s="3"/>
    </row>
    <row r="501" spans="1:7" ht="13">
      <c r="A501" s="3"/>
      <c r="B501" s="3"/>
      <c r="C501" s="3"/>
      <c r="D501" s="3"/>
      <c r="E501" s="3"/>
      <c r="F501" s="3"/>
      <c r="G501" s="3"/>
    </row>
    <row r="502" spans="1:7" ht="13">
      <c r="A502" s="3"/>
      <c r="B502" s="3"/>
      <c r="C502" s="3"/>
      <c r="D502" s="3"/>
      <c r="E502" s="3"/>
      <c r="F502" s="3"/>
      <c r="G502" s="3"/>
    </row>
    <row r="503" spans="1:7" ht="13">
      <c r="A503" s="3"/>
      <c r="B503" s="3"/>
      <c r="C503" s="3"/>
      <c r="D503" s="3"/>
      <c r="E503" s="3"/>
      <c r="F503" s="3"/>
      <c r="G503" s="3"/>
    </row>
    <row r="504" spans="1:7" ht="13">
      <c r="A504" s="3"/>
      <c r="B504" s="3"/>
      <c r="C504" s="3"/>
      <c r="D504" s="3"/>
      <c r="E504" s="3"/>
      <c r="F504" s="3"/>
      <c r="G504" s="3"/>
    </row>
    <row r="505" spans="1:7" ht="13">
      <c r="A505" s="3"/>
      <c r="B505" s="3"/>
      <c r="C505" s="3"/>
      <c r="D505" s="3"/>
      <c r="E505" s="3"/>
      <c r="F505" s="3"/>
      <c r="G505" s="3"/>
    </row>
    <row r="506" spans="1:7" ht="13">
      <c r="A506" s="3"/>
      <c r="B506" s="3"/>
      <c r="C506" s="3"/>
      <c r="D506" s="3"/>
      <c r="E506" s="3"/>
      <c r="F506" s="3"/>
      <c r="G506" s="3"/>
    </row>
    <row r="507" spans="1:7" ht="13">
      <c r="A507" s="3"/>
      <c r="B507" s="3"/>
      <c r="C507" s="3"/>
      <c r="D507" s="3"/>
      <c r="E507" s="3"/>
      <c r="F507" s="3"/>
      <c r="G507" s="3"/>
    </row>
    <row r="508" spans="1:7" ht="13">
      <c r="A508" s="3"/>
      <c r="B508" s="3"/>
      <c r="C508" s="3"/>
      <c r="D508" s="3"/>
      <c r="E508" s="3"/>
      <c r="F508" s="3"/>
      <c r="G508" s="3"/>
    </row>
    <row r="509" spans="1:7" ht="13">
      <c r="A509" s="3"/>
      <c r="B509" s="3"/>
      <c r="C509" s="3"/>
      <c r="D509" s="3"/>
      <c r="E509" s="3"/>
      <c r="F509" s="3"/>
      <c r="G509" s="3"/>
    </row>
    <row r="510" spans="1:7" ht="13">
      <c r="A510" s="3"/>
      <c r="B510" s="3"/>
      <c r="C510" s="3"/>
      <c r="D510" s="3"/>
      <c r="E510" s="3"/>
      <c r="F510" s="3"/>
      <c r="G510" s="3"/>
    </row>
    <row r="511" spans="1:7" ht="13">
      <c r="A511" s="3"/>
      <c r="B511" s="3"/>
      <c r="C511" s="3"/>
      <c r="D511" s="3"/>
      <c r="E511" s="3"/>
      <c r="F511" s="3"/>
      <c r="G511" s="3"/>
    </row>
    <row r="512" spans="1:7" ht="13">
      <c r="A512" s="3"/>
      <c r="B512" s="3"/>
      <c r="C512" s="3"/>
      <c r="D512" s="3"/>
      <c r="E512" s="3"/>
      <c r="F512" s="3"/>
      <c r="G512" s="3"/>
    </row>
    <row r="513" spans="1:7" ht="13">
      <c r="A513" s="3"/>
      <c r="B513" s="3"/>
      <c r="C513" s="3"/>
      <c r="D513" s="3"/>
      <c r="E513" s="3"/>
      <c r="F513" s="3"/>
      <c r="G513" s="3"/>
    </row>
    <row r="514" spans="1:7" ht="13">
      <c r="A514" s="3"/>
      <c r="B514" s="3"/>
      <c r="C514" s="3"/>
      <c r="D514" s="3"/>
      <c r="E514" s="3"/>
      <c r="F514" s="3"/>
      <c r="G514" s="3"/>
    </row>
    <row r="515" spans="1:7" ht="13">
      <c r="A515" s="3"/>
      <c r="B515" s="3"/>
      <c r="C515" s="3"/>
      <c r="D515" s="3"/>
      <c r="E515" s="3"/>
      <c r="F515" s="3"/>
      <c r="G515" s="3"/>
    </row>
    <row r="516" spans="1:7" ht="13">
      <c r="A516" s="3"/>
      <c r="B516" s="3"/>
      <c r="C516" s="3"/>
      <c r="D516" s="3"/>
      <c r="E516" s="3"/>
      <c r="F516" s="3"/>
      <c r="G516" s="3"/>
    </row>
    <row r="517" spans="1:7" ht="13">
      <c r="A517" s="3"/>
      <c r="B517" s="3"/>
      <c r="C517" s="3"/>
      <c r="D517" s="3"/>
      <c r="E517" s="3"/>
      <c r="F517" s="3"/>
      <c r="G517" s="3"/>
    </row>
    <row r="518" spans="1:7" ht="13">
      <c r="A518" s="3"/>
      <c r="B518" s="3"/>
      <c r="C518" s="3"/>
      <c r="D518" s="3"/>
      <c r="E518" s="3"/>
      <c r="F518" s="3"/>
      <c r="G518" s="3"/>
    </row>
    <row r="519" spans="1:7" ht="13">
      <c r="A519" s="3"/>
      <c r="B519" s="3"/>
      <c r="C519" s="3"/>
      <c r="D519" s="3"/>
      <c r="E519" s="3"/>
      <c r="F519" s="3"/>
      <c r="G519" s="3"/>
    </row>
    <row r="520" spans="1:7" ht="13">
      <c r="A520" s="3"/>
      <c r="B520" s="3"/>
      <c r="C520" s="3"/>
      <c r="D520" s="3"/>
      <c r="E520" s="3"/>
      <c r="F520" s="3"/>
      <c r="G520" s="3"/>
    </row>
    <row r="521" spans="1:7" ht="13">
      <c r="A521" s="3"/>
      <c r="B521" s="3"/>
      <c r="C521" s="3"/>
      <c r="D521" s="3"/>
      <c r="E521" s="3"/>
      <c r="F521" s="3"/>
      <c r="G521" s="3"/>
    </row>
    <row r="522" spans="1:7" ht="13">
      <c r="A522" s="3"/>
      <c r="B522" s="3"/>
      <c r="C522" s="3"/>
      <c r="D522" s="3"/>
      <c r="E522" s="3"/>
      <c r="F522" s="3"/>
      <c r="G522" s="3"/>
    </row>
    <row r="523" spans="1:7" ht="13">
      <c r="A523" s="3"/>
      <c r="B523" s="3"/>
      <c r="C523" s="3"/>
      <c r="D523" s="3"/>
      <c r="E523" s="3"/>
      <c r="F523" s="3"/>
      <c r="G523" s="3"/>
    </row>
    <row r="524" spans="1:7" ht="13">
      <c r="A524" s="3"/>
      <c r="B524" s="3"/>
      <c r="C524" s="3"/>
      <c r="D524" s="3"/>
      <c r="E524" s="3"/>
      <c r="F524" s="3"/>
      <c r="G524" s="3"/>
    </row>
    <row r="525" spans="1:7" ht="13">
      <c r="A525" s="3"/>
      <c r="B525" s="3"/>
      <c r="C525" s="3"/>
      <c r="D525" s="3"/>
      <c r="E525" s="3"/>
      <c r="F525" s="3"/>
      <c r="G525" s="3"/>
    </row>
    <row r="526" spans="1:7" ht="13">
      <c r="A526" s="3"/>
      <c r="B526" s="3"/>
      <c r="C526" s="3"/>
      <c r="D526" s="3"/>
      <c r="E526" s="3"/>
      <c r="F526" s="3"/>
      <c r="G526" s="3"/>
    </row>
    <row r="527" spans="1:7" ht="13">
      <c r="A527" s="3"/>
      <c r="B527" s="3"/>
      <c r="C527" s="3"/>
      <c r="D527" s="3"/>
      <c r="E527" s="3"/>
      <c r="F527" s="3"/>
      <c r="G527" s="3"/>
    </row>
    <row r="528" spans="1:7" ht="13">
      <c r="A528" s="3"/>
      <c r="B528" s="3"/>
      <c r="C528" s="3"/>
      <c r="D528" s="3"/>
      <c r="E528" s="3"/>
      <c r="F528" s="3"/>
      <c r="G528" s="3"/>
    </row>
    <row r="529" spans="1:7" ht="13">
      <c r="A529" s="3"/>
      <c r="B529" s="3"/>
      <c r="C529" s="3"/>
      <c r="D529" s="3"/>
      <c r="E529" s="3"/>
      <c r="F529" s="3"/>
      <c r="G529" s="3"/>
    </row>
    <row r="530" spans="1:7" ht="13">
      <c r="A530" s="3"/>
      <c r="B530" s="3"/>
      <c r="C530" s="3"/>
      <c r="D530" s="3"/>
      <c r="E530" s="3"/>
      <c r="F530" s="3"/>
      <c r="G530" s="3"/>
    </row>
    <row r="531" spans="1:7" ht="13">
      <c r="A531" s="3"/>
      <c r="B531" s="3"/>
      <c r="C531" s="3"/>
      <c r="D531" s="3"/>
      <c r="E531" s="3"/>
      <c r="F531" s="3"/>
      <c r="G531" s="3"/>
    </row>
    <row r="532" spans="1:7" ht="13">
      <c r="A532" s="3"/>
      <c r="B532" s="3"/>
      <c r="C532" s="3"/>
      <c r="D532" s="3"/>
      <c r="E532" s="3"/>
      <c r="F532" s="3"/>
      <c r="G532" s="3"/>
    </row>
    <row r="533" spans="1:7" ht="13">
      <c r="A533" s="3"/>
      <c r="B533" s="3"/>
      <c r="C533" s="3"/>
      <c r="D533" s="3"/>
      <c r="E533" s="3"/>
      <c r="F533" s="3"/>
      <c r="G533" s="3"/>
    </row>
    <row r="534" spans="1:7" ht="13">
      <c r="A534" s="3"/>
      <c r="B534" s="3"/>
      <c r="C534" s="3"/>
      <c r="D534" s="3"/>
      <c r="E534" s="3"/>
      <c r="F534" s="3"/>
      <c r="G534" s="3"/>
    </row>
    <row r="535" spans="1:7" ht="13">
      <c r="A535" s="3"/>
      <c r="B535" s="3"/>
      <c r="C535" s="3"/>
      <c r="D535" s="3"/>
      <c r="E535" s="3"/>
      <c r="F535" s="3"/>
      <c r="G535" s="3"/>
    </row>
    <row r="536" spans="1:7" ht="13">
      <c r="A536" s="3"/>
      <c r="B536" s="3"/>
      <c r="C536" s="3"/>
      <c r="D536" s="3"/>
      <c r="E536" s="3"/>
      <c r="F536" s="3"/>
      <c r="G536" s="3"/>
    </row>
    <row r="537" spans="1:7" ht="13">
      <c r="A537" s="3"/>
      <c r="B537" s="3"/>
      <c r="C537" s="3"/>
      <c r="D537" s="3"/>
      <c r="E537" s="3"/>
      <c r="F537" s="3"/>
      <c r="G537" s="3"/>
    </row>
    <row r="538" spans="1:7" ht="13">
      <c r="A538" s="3"/>
      <c r="B538" s="3"/>
      <c r="C538" s="3"/>
      <c r="D538" s="3"/>
      <c r="E538" s="3"/>
      <c r="F538" s="3"/>
      <c r="G538" s="3"/>
    </row>
    <row r="539" spans="1:7" ht="13">
      <c r="A539" s="3"/>
      <c r="B539" s="3"/>
      <c r="C539" s="3"/>
      <c r="D539" s="3"/>
      <c r="E539" s="3"/>
      <c r="F539" s="3"/>
      <c r="G539" s="3"/>
    </row>
    <row r="540" spans="1:7" ht="13">
      <c r="A540" s="3"/>
      <c r="B540" s="3"/>
      <c r="C540" s="3"/>
      <c r="D540" s="3"/>
      <c r="E540" s="3"/>
      <c r="F540" s="3"/>
      <c r="G540" s="3"/>
    </row>
    <row r="541" spans="1:7" ht="13">
      <c r="A541" s="3"/>
      <c r="B541" s="3"/>
      <c r="C541" s="3"/>
      <c r="D541" s="3"/>
      <c r="E541" s="3"/>
      <c r="F541" s="3"/>
      <c r="G541" s="3"/>
    </row>
    <row r="542" spans="1:7" ht="13">
      <c r="A542" s="3"/>
      <c r="B542" s="3"/>
      <c r="C542" s="3"/>
      <c r="D542" s="3"/>
      <c r="E542" s="3"/>
      <c r="F542" s="3"/>
      <c r="G542" s="3"/>
    </row>
    <row r="543" spans="1:7" ht="13">
      <c r="A543" s="3"/>
      <c r="B543" s="3"/>
      <c r="C543" s="3"/>
      <c r="D543" s="3"/>
      <c r="E543" s="3"/>
      <c r="F543" s="3"/>
      <c r="G543" s="3"/>
    </row>
    <row r="544" spans="1:7" ht="13">
      <c r="A544" s="3"/>
      <c r="B544" s="3"/>
      <c r="C544" s="3"/>
      <c r="D544" s="3"/>
      <c r="E544" s="3"/>
      <c r="F544" s="3"/>
      <c r="G544" s="3"/>
    </row>
    <row r="545" spans="1:7" ht="13">
      <c r="A545" s="3"/>
      <c r="B545" s="3"/>
      <c r="C545" s="3"/>
      <c r="D545" s="3"/>
      <c r="E545" s="3"/>
      <c r="F545" s="3"/>
      <c r="G545" s="3"/>
    </row>
    <row r="546" spans="1:7" ht="13">
      <c r="A546" s="3"/>
      <c r="B546" s="3"/>
      <c r="C546" s="3"/>
      <c r="D546" s="3"/>
      <c r="E546" s="3"/>
      <c r="F546" s="3"/>
      <c r="G546" s="3"/>
    </row>
    <row r="547" spans="1:7" ht="13">
      <c r="A547" s="3"/>
      <c r="B547" s="3"/>
      <c r="C547" s="3"/>
      <c r="D547" s="3"/>
      <c r="E547" s="3"/>
      <c r="F547" s="3"/>
      <c r="G547" s="3"/>
    </row>
    <row r="548" spans="1:7" ht="13">
      <c r="A548" s="3"/>
      <c r="B548" s="3"/>
      <c r="C548" s="3"/>
      <c r="D548" s="3"/>
      <c r="E548" s="3"/>
      <c r="F548" s="3"/>
      <c r="G548" s="3"/>
    </row>
    <row r="549" spans="1:7" ht="13">
      <c r="A549" s="3"/>
      <c r="B549" s="3"/>
      <c r="C549" s="3"/>
      <c r="D549" s="3"/>
      <c r="E549" s="3"/>
      <c r="F549" s="3"/>
      <c r="G549" s="3"/>
    </row>
    <row r="550" spans="1:7" ht="13">
      <c r="A550" s="3"/>
      <c r="B550" s="3"/>
      <c r="C550" s="3"/>
      <c r="D550" s="3"/>
      <c r="E550" s="3"/>
      <c r="F550" s="3"/>
      <c r="G550" s="3"/>
    </row>
    <row r="551" spans="1:7" ht="13">
      <c r="A551" s="3"/>
      <c r="B551" s="3"/>
      <c r="C551" s="3"/>
      <c r="D551" s="3"/>
      <c r="E551" s="3"/>
      <c r="F551" s="3"/>
      <c r="G551" s="3"/>
    </row>
    <row r="552" spans="1:7" ht="13">
      <c r="A552" s="3"/>
      <c r="B552" s="3"/>
      <c r="C552" s="3"/>
      <c r="D552" s="3"/>
      <c r="E552" s="3"/>
      <c r="F552" s="3"/>
      <c r="G552" s="3"/>
    </row>
    <row r="553" spans="1:7" ht="13">
      <c r="A553" s="3"/>
      <c r="B553" s="3"/>
      <c r="C553" s="3"/>
      <c r="D553" s="3"/>
      <c r="E553" s="3"/>
      <c r="F553" s="3"/>
      <c r="G553" s="3"/>
    </row>
    <row r="554" spans="1:7" ht="13">
      <c r="A554" s="3"/>
      <c r="B554" s="3"/>
      <c r="C554" s="3"/>
      <c r="D554" s="3"/>
      <c r="E554" s="3"/>
      <c r="F554" s="3"/>
      <c r="G554" s="3"/>
    </row>
    <row r="555" spans="1:7" ht="13">
      <c r="A555" s="3"/>
      <c r="B555" s="3"/>
      <c r="C555" s="3"/>
      <c r="D555" s="3"/>
      <c r="E555" s="3"/>
      <c r="F555" s="3"/>
      <c r="G555" s="3"/>
    </row>
    <row r="556" spans="1:7" ht="13">
      <c r="A556" s="3"/>
      <c r="B556" s="3"/>
      <c r="C556" s="3"/>
      <c r="D556" s="3"/>
      <c r="E556" s="3"/>
      <c r="F556" s="3"/>
      <c r="G556" s="3"/>
    </row>
    <row r="557" spans="1:7" ht="13">
      <c r="A557" s="3"/>
      <c r="B557" s="3"/>
      <c r="C557" s="3"/>
      <c r="D557" s="3"/>
      <c r="E557" s="3"/>
      <c r="F557" s="3"/>
      <c r="G557" s="3"/>
    </row>
    <row r="558" spans="1:7" ht="13">
      <c r="A558" s="3"/>
      <c r="B558" s="3"/>
      <c r="C558" s="3"/>
      <c r="D558" s="3"/>
      <c r="E558" s="3"/>
      <c r="F558" s="3"/>
      <c r="G558" s="3"/>
    </row>
    <row r="559" spans="1:7" ht="13">
      <c r="A559" s="3"/>
      <c r="B559" s="3"/>
      <c r="C559" s="3"/>
      <c r="D559" s="3"/>
      <c r="E559" s="3"/>
      <c r="F559" s="3"/>
      <c r="G559" s="3"/>
    </row>
    <row r="560" spans="1:7" ht="13">
      <c r="A560" s="3"/>
      <c r="B560" s="3"/>
      <c r="C560" s="3"/>
      <c r="D560" s="3"/>
      <c r="E560" s="3"/>
      <c r="F560" s="3"/>
      <c r="G560" s="3"/>
    </row>
    <row r="561" spans="1:7" ht="13">
      <c r="A561" s="3"/>
      <c r="B561" s="3"/>
      <c r="C561" s="3"/>
      <c r="D561" s="3"/>
      <c r="E561" s="3"/>
      <c r="F561" s="3"/>
      <c r="G561" s="3"/>
    </row>
    <row r="562" spans="1:7" ht="13">
      <c r="A562" s="3"/>
      <c r="B562" s="3"/>
      <c r="C562" s="3"/>
      <c r="D562" s="3"/>
      <c r="E562" s="3"/>
      <c r="F562" s="3"/>
      <c r="G562" s="3"/>
    </row>
    <row r="563" spans="1:7" ht="13">
      <c r="A563" s="3"/>
      <c r="B563" s="3"/>
      <c r="C563" s="3"/>
      <c r="D563" s="3"/>
      <c r="E563" s="3"/>
      <c r="F563" s="3"/>
      <c r="G563" s="3"/>
    </row>
    <row r="564" spans="1:7" ht="13">
      <c r="A564" s="3"/>
      <c r="B564" s="3"/>
      <c r="C564" s="3"/>
      <c r="D564" s="3"/>
      <c r="E564" s="3"/>
      <c r="F564" s="3"/>
      <c r="G564" s="3"/>
    </row>
    <row r="565" spans="1:7" ht="13">
      <c r="A565" s="3"/>
      <c r="B565" s="3"/>
      <c r="C565" s="3"/>
      <c r="D565" s="3"/>
      <c r="E565" s="3"/>
      <c r="F565" s="3"/>
      <c r="G565" s="3"/>
    </row>
    <row r="566" spans="1:7" ht="13">
      <c r="A566" s="3"/>
      <c r="B566" s="3"/>
      <c r="C566" s="3"/>
      <c r="D566" s="3"/>
      <c r="E566" s="3"/>
      <c r="F566" s="3"/>
      <c r="G566" s="3"/>
    </row>
    <row r="567" spans="1:7" ht="13">
      <c r="A567" s="3"/>
      <c r="B567" s="3"/>
      <c r="C567" s="3"/>
      <c r="D567" s="3"/>
      <c r="E567" s="3"/>
      <c r="F567" s="3"/>
      <c r="G567" s="3"/>
    </row>
    <row r="568" spans="1:7" ht="13">
      <c r="A568" s="3"/>
      <c r="B568" s="3"/>
      <c r="C568" s="3"/>
      <c r="D568" s="3"/>
      <c r="E568" s="3"/>
      <c r="F568" s="3"/>
      <c r="G568" s="3"/>
    </row>
    <row r="569" spans="1:7" ht="13">
      <c r="A569" s="3"/>
      <c r="B569" s="3"/>
      <c r="C569" s="3"/>
      <c r="D569" s="3"/>
      <c r="E569" s="3"/>
      <c r="F569" s="3"/>
      <c r="G569" s="3"/>
    </row>
    <row r="570" spans="1:7" ht="13">
      <c r="A570" s="3"/>
      <c r="B570" s="3"/>
      <c r="C570" s="3"/>
      <c r="D570" s="3"/>
      <c r="E570" s="3"/>
      <c r="F570" s="3"/>
      <c r="G570" s="3"/>
    </row>
    <row r="571" spans="1:7" ht="13">
      <c r="A571" s="3"/>
      <c r="B571" s="3"/>
      <c r="C571" s="3"/>
      <c r="D571" s="3"/>
      <c r="E571" s="3"/>
      <c r="F571" s="3"/>
      <c r="G571" s="3"/>
    </row>
    <row r="572" spans="1:7" ht="13">
      <c r="A572" s="3"/>
      <c r="B572" s="3"/>
      <c r="C572" s="3"/>
      <c r="D572" s="3"/>
      <c r="E572" s="3"/>
      <c r="F572" s="3"/>
      <c r="G572" s="3"/>
    </row>
    <row r="573" spans="1:7" ht="13">
      <c r="A573" s="3"/>
      <c r="B573" s="3"/>
      <c r="C573" s="3"/>
      <c r="D573" s="3"/>
      <c r="E573" s="3"/>
      <c r="F573" s="3"/>
      <c r="G573" s="3"/>
    </row>
    <row r="574" spans="1:7" ht="13">
      <c r="A574" s="3"/>
      <c r="B574" s="3"/>
      <c r="C574" s="3"/>
      <c r="D574" s="3"/>
      <c r="E574" s="3"/>
      <c r="F574" s="3"/>
      <c r="G574" s="3"/>
    </row>
    <row r="575" spans="1:7" ht="13">
      <c r="A575" s="3"/>
      <c r="B575" s="3"/>
      <c r="C575" s="3"/>
      <c r="D575" s="3"/>
      <c r="E575" s="3"/>
      <c r="F575" s="3"/>
      <c r="G575" s="3"/>
    </row>
    <row r="576" spans="1:7" ht="13">
      <c r="A576" s="3"/>
      <c r="B576" s="3"/>
      <c r="C576" s="3"/>
      <c r="D576" s="3"/>
      <c r="E576" s="3"/>
      <c r="F576" s="3"/>
      <c r="G576" s="3"/>
    </row>
    <row r="577" spans="1:7" ht="13">
      <c r="A577" s="3"/>
      <c r="B577" s="3"/>
      <c r="C577" s="3"/>
      <c r="D577" s="3"/>
      <c r="E577" s="3"/>
      <c r="F577" s="3"/>
      <c r="G577" s="3"/>
    </row>
    <row r="578" spans="1:7" ht="13">
      <c r="A578" s="3"/>
      <c r="B578" s="3"/>
      <c r="C578" s="3"/>
      <c r="D578" s="3"/>
      <c r="E578" s="3"/>
      <c r="F578" s="3"/>
      <c r="G578" s="3"/>
    </row>
    <row r="579" spans="1:7" ht="13">
      <c r="A579" s="3"/>
      <c r="B579" s="3"/>
      <c r="C579" s="3"/>
      <c r="D579" s="3"/>
      <c r="E579" s="3"/>
      <c r="F579" s="3"/>
      <c r="G579" s="3"/>
    </row>
    <row r="580" spans="1:7" ht="13">
      <c r="A580" s="3"/>
      <c r="B580" s="3"/>
      <c r="C580" s="3"/>
      <c r="D580" s="3"/>
      <c r="E580" s="3"/>
      <c r="F580" s="3"/>
      <c r="G580" s="3"/>
    </row>
    <row r="581" spans="1:7" ht="13">
      <c r="A581" s="3"/>
      <c r="B581" s="3"/>
      <c r="C581" s="3"/>
      <c r="D581" s="3"/>
      <c r="E581" s="3"/>
      <c r="F581" s="3"/>
      <c r="G581" s="3"/>
    </row>
    <row r="582" spans="1:7" ht="13">
      <c r="A582" s="3"/>
      <c r="B582" s="3"/>
      <c r="C582" s="3"/>
      <c r="D582" s="3"/>
      <c r="E582" s="3"/>
      <c r="F582" s="3"/>
      <c r="G582" s="3"/>
    </row>
    <row r="583" spans="1:7" ht="13">
      <c r="A583" s="3"/>
      <c r="B583" s="3"/>
      <c r="C583" s="3"/>
      <c r="D583" s="3"/>
      <c r="E583" s="3"/>
      <c r="F583" s="3"/>
      <c r="G583" s="3"/>
    </row>
    <row r="584" spans="1:7" ht="13">
      <c r="A584" s="3"/>
      <c r="B584" s="3"/>
      <c r="C584" s="3"/>
      <c r="D584" s="3"/>
      <c r="E584" s="3"/>
      <c r="F584" s="3"/>
      <c r="G584" s="3"/>
    </row>
    <row r="585" spans="1:7" ht="13">
      <c r="A585" s="3"/>
      <c r="B585" s="3"/>
      <c r="C585" s="3"/>
      <c r="D585" s="3"/>
      <c r="E585" s="3"/>
      <c r="F585" s="3"/>
      <c r="G585" s="3"/>
    </row>
    <row r="586" spans="1:7" ht="13">
      <c r="A586" s="3"/>
      <c r="B586" s="3"/>
      <c r="C586" s="3"/>
      <c r="D586" s="3"/>
      <c r="E586" s="3"/>
      <c r="F586" s="3"/>
      <c r="G586" s="3"/>
    </row>
    <row r="587" spans="1:7" ht="13">
      <c r="A587" s="3"/>
      <c r="B587" s="3"/>
      <c r="C587" s="3"/>
      <c r="D587" s="3"/>
      <c r="E587" s="3"/>
      <c r="F587" s="3"/>
      <c r="G587" s="3"/>
    </row>
    <row r="588" spans="1:7" ht="13">
      <c r="A588" s="3"/>
      <c r="B588" s="3"/>
      <c r="C588" s="3"/>
      <c r="D588" s="3"/>
      <c r="E588" s="3"/>
      <c r="F588" s="3"/>
      <c r="G588" s="3"/>
    </row>
    <row r="589" spans="1:7" ht="13">
      <c r="A589" s="3"/>
      <c r="B589" s="3"/>
      <c r="C589" s="3"/>
      <c r="D589" s="3"/>
      <c r="E589" s="3"/>
      <c r="F589" s="3"/>
      <c r="G589" s="3"/>
    </row>
    <row r="590" spans="1:7" ht="13">
      <c r="A590" s="3"/>
      <c r="B590" s="3"/>
      <c r="C590" s="3"/>
      <c r="D590" s="3"/>
      <c r="E590" s="3"/>
      <c r="F590" s="3"/>
      <c r="G590" s="3"/>
    </row>
    <row r="591" spans="1:7" ht="13">
      <c r="A591" s="3"/>
      <c r="B591" s="3"/>
      <c r="C591" s="3"/>
      <c r="D591" s="3"/>
      <c r="E591" s="3"/>
      <c r="F591" s="3"/>
      <c r="G591" s="3"/>
    </row>
    <row r="592" spans="1:7" ht="13">
      <c r="A592" s="3"/>
      <c r="B592" s="3"/>
      <c r="C592" s="3"/>
      <c r="D592" s="3"/>
      <c r="E592" s="3"/>
      <c r="F592" s="3"/>
      <c r="G592" s="3"/>
    </row>
    <row r="593" spans="1:7" ht="13">
      <c r="A593" s="3"/>
      <c r="B593" s="3"/>
      <c r="C593" s="3"/>
      <c r="D593" s="3"/>
      <c r="E593" s="3"/>
      <c r="F593" s="3"/>
      <c r="G593" s="3"/>
    </row>
    <row r="594" spans="1:7" ht="13">
      <c r="A594" s="3"/>
      <c r="B594" s="3"/>
      <c r="C594" s="3"/>
      <c r="D594" s="3"/>
      <c r="E594" s="3"/>
      <c r="F594" s="3"/>
      <c r="G594" s="3"/>
    </row>
    <row r="595" spans="1:7" ht="13">
      <c r="A595" s="3"/>
      <c r="B595" s="3"/>
      <c r="C595" s="3"/>
      <c r="D595" s="3"/>
      <c r="E595" s="3"/>
      <c r="F595" s="3"/>
      <c r="G595" s="3"/>
    </row>
    <row r="596" spans="1:7" ht="13">
      <c r="A596" s="3"/>
      <c r="B596" s="3"/>
      <c r="C596" s="3"/>
      <c r="D596" s="3"/>
      <c r="E596" s="3"/>
      <c r="F596" s="3"/>
      <c r="G596" s="3"/>
    </row>
    <row r="597" spans="1:7" ht="13">
      <c r="A597" s="3"/>
      <c r="B597" s="3"/>
      <c r="C597" s="3"/>
      <c r="D597" s="3"/>
      <c r="E597" s="3"/>
      <c r="F597" s="3"/>
      <c r="G597" s="3"/>
    </row>
    <row r="598" spans="1:7" ht="13">
      <c r="A598" s="3"/>
      <c r="B598" s="3"/>
      <c r="C598" s="3"/>
      <c r="D598" s="3"/>
      <c r="E598" s="3"/>
      <c r="F598" s="3"/>
      <c r="G598" s="3"/>
    </row>
    <row r="599" spans="1:7" ht="13">
      <c r="A599" s="3"/>
      <c r="B599" s="3"/>
      <c r="C599" s="3"/>
      <c r="D599" s="3"/>
      <c r="E599" s="3"/>
      <c r="F599" s="3"/>
      <c r="G599" s="3"/>
    </row>
    <row r="600" spans="1:7" ht="13">
      <c r="A600" s="3"/>
      <c r="B600" s="3"/>
      <c r="C600" s="3"/>
      <c r="D600" s="3"/>
      <c r="E600" s="3"/>
      <c r="F600" s="3"/>
      <c r="G600" s="3"/>
    </row>
    <row r="601" spans="1:7" ht="13">
      <c r="A601" s="3"/>
      <c r="B601" s="3"/>
      <c r="C601" s="3"/>
      <c r="D601" s="3"/>
      <c r="E601" s="3"/>
      <c r="F601" s="3"/>
      <c r="G601" s="3"/>
    </row>
    <row r="602" spans="1:7" ht="13">
      <c r="A602" s="3"/>
      <c r="B602" s="3"/>
      <c r="C602" s="3"/>
      <c r="D602" s="3"/>
      <c r="E602" s="3"/>
      <c r="F602" s="3"/>
      <c r="G602" s="3"/>
    </row>
    <row r="603" spans="1:7" ht="13">
      <c r="A603" s="3"/>
      <c r="B603" s="3"/>
      <c r="C603" s="3"/>
      <c r="D603" s="3"/>
      <c r="E603" s="3"/>
      <c r="F603" s="3"/>
      <c r="G603" s="3"/>
    </row>
    <row r="604" spans="1:7" ht="13">
      <c r="A604" s="3"/>
      <c r="B604" s="3"/>
      <c r="C604" s="3"/>
      <c r="D604" s="3"/>
      <c r="E604" s="3"/>
      <c r="F604" s="3"/>
      <c r="G604" s="3"/>
    </row>
    <row r="605" spans="1:7" ht="13">
      <c r="A605" s="3"/>
      <c r="B605" s="3"/>
      <c r="C605" s="3"/>
      <c r="D605" s="3"/>
      <c r="E605" s="3"/>
      <c r="F605" s="3"/>
      <c r="G605" s="3"/>
    </row>
    <row r="606" spans="1:7" ht="13">
      <c r="A606" s="3"/>
      <c r="B606" s="3"/>
      <c r="C606" s="3"/>
      <c r="D606" s="3"/>
      <c r="E606" s="3"/>
      <c r="F606" s="3"/>
      <c r="G606" s="3"/>
    </row>
    <row r="607" spans="1:7" ht="13">
      <c r="A607" s="3"/>
      <c r="B607" s="3"/>
      <c r="C607" s="3"/>
      <c r="D607" s="3"/>
      <c r="E607" s="3"/>
      <c r="F607" s="3"/>
      <c r="G607" s="3"/>
    </row>
    <row r="608" spans="1:7" ht="13">
      <c r="A608" s="3"/>
      <c r="B608" s="3"/>
      <c r="C608" s="3"/>
      <c r="D608" s="3"/>
      <c r="E608" s="3"/>
      <c r="F608" s="3"/>
      <c r="G608" s="3"/>
    </row>
    <row r="609" spans="1:7" ht="13">
      <c r="A609" s="3"/>
      <c r="B609" s="3"/>
      <c r="C609" s="3"/>
      <c r="D609" s="3"/>
      <c r="E609" s="3"/>
      <c r="F609" s="3"/>
      <c r="G609" s="3"/>
    </row>
    <row r="610" spans="1:7" ht="13">
      <c r="A610" s="3"/>
      <c r="B610" s="3"/>
      <c r="C610" s="3"/>
      <c r="D610" s="3"/>
      <c r="E610" s="3"/>
      <c r="F610" s="3"/>
      <c r="G610" s="3"/>
    </row>
    <row r="611" spans="1:7" ht="13">
      <c r="A611" s="3"/>
      <c r="B611" s="3"/>
      <c r="C611" s="3"/>
      <c r="D611" s="3"/>
      <c r="E611" s="3"/>
      <c r="F611" s="3"/>
      <c r="G611" s="3"/>
    </row>
    <row r="612" spans="1:7" ht="13">
      <c r="A612" s="3"/>
      <c r="B612" s="3"/>
      <c r="C612" s="3"/>
      <c r="D612" s="3"/>
      <c r="E612" s="3"/>
      <c r="F612" s="3"/>
      <c r="G612" s="3"/>
    </row>
    <row r="613" spans="1:7" ht="13">
      <c r="A613" s="3"/>
      <c r="B613" s="3"/>
      <c r="C613" s="3"/>
      <c r="D613" s="3"/>
      <c r="E613" s="3"/>
      <c r="F613" s="3"/>
      <c r="G613" s="3"/>
    </row>
    <row r="614" spans="1:7" ht="13">
      <c r="A614" s="3"/>
      <c r="B614" s="3"/>
      <c r="C614" s="3"/>
      <c r="D614" s="3"/>
      <c r="E614" s="3"/>
      <c r="F614" s="3"/>
      <c r="G614" s="3"/>
    </row>
    <row r="615" spans="1:7" ht="13">
      <c r="A615" s="3"/>
      <c r="B615" s="3"/>
      <c r="C615" s="3"/>
      <c r="D615" s="3"/>
      <c r="E615" s="3"/>
      <c r="F615" s="3"/>
      <c r="G615" s="3"/>
    </row>
    <row r="616" spans="1:7" ht="13">
      <c r="A616" s="3"/>
      <c r="B616" s="3"/>
      <c r="C616" s="3"/>
      <c r="D616" s="3"/>
      <c r="E616" s="3"/>
      <c r="F616" s="3"/>
      <c r="G616" s="3"/>
    </row>
    <row r="617" spans="1:7" ht="13">
      <c r="A617" s="3"/>
      <c r="B617" s="3"/>
      <c r="C617" s="3"/>
      <c r="D617" s="3"/>
      <c r="E617" s="3"/>
      <c r="F617" s="3"/>
      <c r="G617" s="3"/>
    </row>
    <row r="618" spans="1:7" ht="13">
      <c r="A618" s="3"/>
      <c r="B618" s="3"/>
      <c r="C618" s="3"/>
      <c r="D618" s="3"/>
      <c r="E618" s="3"/>
      <c r="F618" s="3"/>
      <c r="G618" s="3"/>
    </row>
    <row r="619" spans="1:7" ht="13">
      <c r="A619" s="3"/>
      <c r="B619" s="3"/>
      <c r="C619" s="3"/>
      <c r="D619" s="3"/>
      <c r="E619" s="3"/>
      <c r="F619" s="3"/>
      <c r="G619" s="3"/>
    </row>
    <row r="620" spans="1:7" ht="13">
      <c r="A620" s="3"/>
      <c r="B620" s="3"/>
      <c r="C620" s="3"/>
      <c r="D620" s="3"/>
      <c r="E620" s="3"/>
      <c r="F620" s="3"/>
      <c r="G620" s="3"/>
    </row>
    <row r="621" spans="1:7" ht="13">
      <c r="A621" s="3"/>
      <c r="B621" s="3"/>
      <c r="C621" s="3"/>
      <c r="D621" s="3"/>
      <c r="E621" s="3"/>
      <c r="F621" s="3"/>
      <c r="G621" s="3"/>
    </row>
    <row r="622" spans="1:7" ht="13">
      <c r="A622" s="3"/>
      <c r="B622" s="3"/>
      <c r="C622" s="3"/>
      <c r="D622" s="3"/>
      <c r="E622" s="3"/>
      <c r="F622" s="3"/>
      <c r="G622" s="3"/>
    </row>
    <row r="623" spans="1:7" ht="13">
      <c r="A623" s="3"/>
      <c r="B623" s="3"/>
      <c r="C623" s="3"/>
      <c r="D623" s="3"/>
      <c r="E623" s="3"/>
      <c r="F623" s="3"/>
      <c r="G623" s="3"/>
    </row>
    <row r="624" spans="1:7" ht="13">
      <c r="A624" s="3"/>
      <c r="B624" s="3"/>
      <c r="C624" s="3"/>
      <c r="D624" s="3"/>
      <c r="E624" s="3"/>
      <c r="F624" s="3"/>
      <c r="G624" s="3"/>
    </row>
    <row r="625" spans="1:7" ht="13">
      <c r="A625" s="3"/>
      <c r="B625" s="3"/>
      <c r="C625" s="3"/>
      <c r="D625" s="3"/>
      <c r="E625" s="3"/>
      <c r="F625" s="3"/>
      <c r="G625" s="3"/>
    </row>
    <row r="626" spans="1:7" ht="13">
      <c r="A626" s="3"/>
      <c r="B626" s="3"/>
      <c r="C626" s="3"/>
      <c r="D626" s="3"/>
      <c r="E626" s="3"/>
      <c r="F626" s="3"/>
      <c r="G626" s="3"/>
    </row>
    <row r="627" spans="1:7" ht="13">
      <c r="A627" s="3"/>
      <c r="B627" s="3"/>
      <c r="C627" s="3"/>
      <c r="D627" s="3"/>
      <c r="E627" s="3"/>
      <c r="F627" s="3"/>
      <c r="G627" s="3"/>
    </row>
    <row r="628" spans="1:7" ht="13">
      <c r="A628" s="3"/>
      <c r="B628" s="3"/>
      <c r="C628" s="3"/>
      <c r="D628" s="3"/>
      <c r="E628" s="3"/>
      <c r="F628" s="3"/>
      <c r="G628" s="3"/>
    </row>
    <row r="629" spans="1:7" ht="13">
      <c r="A629" s="3"/>
      <c r="B629" s="3"/>
      <c r="C629" s="3"/>
      <c r="D629" s="3"/>
      <c r="E629" s="3"/>
      <c r="F629" s="3"/>
      <c r="G629" s="3"/>
    </row>
    <row r="630" spans="1:7" ht="13">
      <c r="A630" s="3"/>
      <c r="B630" s="3"/>
      <c r="C630" s="3"/>
      <c r="D630" s="3"/>
      <c r="E630" s="3"/>
      <c r="F630" s="3"/>
      <c r="G630" s="3"/>
    </row>
    <row r="631" spans="1:7" ht="13">
      <c r="A631" s="3"/>
      <c r="B631" s="3"/>
      <c r="C631" s="3"/>
      <c r="D631" s="3"/>
      <c r="E631" s="3"/>
      <c r="F631" s="3"/>
      <c r="G631" s="3"/>
    </row>
    <row r="632" spans="1:7" ht="13">
      <c r="A632" s="3"/>
      <c r="B632" s="3"/>
      <c r="C632" s="3"/>
      <c r="D632" s="3"/>
      <c r="E632" s="3"/>
      <c r="F632" s="3"/>
      <c r="G632" s="3"/>
    </row>
    <row r="633" spans="1:7" ht="13">
      <c r="A633" s="3"/>
      <c r="B633" s="3"/>
      <c r="C633" s="3"/>
      <c r="D633" s="3"/>
      <c r="E633" s="3"/>
      <c r="F633" s="3"/>
      <c r="G633" s="3"/>
    </row>
    <row r="634" spans="1:7" ht="13">
      <c r="A634" s="3"/>
      <c r="B634" s="3"/>
      <c r="C634" s="3"/>
      <c r="D634" s="3"/>
      <c r="E634" s="3"/>
      <c r="F634" s="3"/>
      <c r="G634" s="3"/>
    </row>
    <row r="635" spans="1:7" ht="13">
      <c r="A635" s="3"/>
      <c r="B635" s="3"/>
      <c r="C635" s="3"/>
      <c r="D635" s="3"/>
      <c r="E635" s="3"/>
      <c r="F635" s="3"/>
      <c r="G635" s="3"/>
    </row>
    <row r="636" spans="1:7" ht="13">
      <c r="A636" s="3"/>
      <c r="B636" s="3"/>
      <c r="C636" s="3"/>
      <c r="D636" s="3"/>
      <c r="E636" s="3"/>
      <c r="F636" s="3"/>
      <c r="G636" s="3"/>
    </row>
    <row r="637" spans="1:7" ht="13">
      <c r="A637" s="3"/>
      <c r="B637" s="3"/>
      <c r="C637" s="3"/>
      <c r="D637" s="3"/>
      <c r="E637" s="3"/>
      <c r="F637" s="3"/>
      <c r="G637" s="3"/>
    </row>
    <row r="638" spans="1:7" ht="13">
      <c r="A638" s="3"/>
      <c r="B638" s="3"/>
      <c r="C638" s="3"/>
      <c r="D638" s="3"/>
      <c r="E638" s="3"/>
      <c r="F638" s="3"/>
      <c r="G638" s="3"/>
    </row>
    <row r="639" spans="1:7" ht="13">
      <c r="A639" s="3"/>
      <c r="B639" s="3"/>
      <c r="C639" s="3"/>
      <c r="D639" s="3"/>
      <c r="E639" s="3"/>
      <c r="F639" s="3"/>
      <c r="G639" s="3"/>
    </row>
    <row r="640" spans="1:7" ht="13">
      <c r="A640" s="3"/>
      <c r="B640" s="3"/>
      <c r="C640" s="3"/>
      <c r="D640" s="3"/>
      <c r="E640" s="3"/>
      <c r="F640" s="3"/>
      <c r="G640" s="3"/>
    </row>
    <row r="641" spans="1:7" ht="13">
      <c r="A641" s="3"/>
      <c r="B641" s="3"/>
      <c r="C641" s="3"/>
      <c r="D641" s="3"/>
      <c r="E641" s="3"/>
      <c r="F641" s="3"/>
      <c r="G641" s="3"/>
    </row>
    <row r="642" spans="1:7" ht="13">
      <c r="A642" s="3"/>
      <c r="B642" s="3"/>
      <c r="C642" s="3"/>
      <c r="D642" s="3"/>
      <c r="E642" s="3"/>
      <c r="F642" s="3"/>
      <c r="G642" s="3"/>
    </row>
    <row r="643" spans="1:7" ht="13">
      <c r="A643" s="3"/>
      <c r="B643" s="3"/>
      <c r="C643" s="3"/>
      <c r="D643" s="3"/>
      <c r="E643" s="3"/>
      <c r="F643" s="3"/>
      <c r="G643" s="3"/>
    </row>
    <row r="644" spans="1:7" ht="13">
      <c r="A644" s="3"/>
      <c r="B644" s="3"/>
      <c r="C644" s="3"/>
      <c r="D644" s="3"/>
      <c r="E644" s="3"/>
      <c r="F644" s="3"/>
      <c r="G644" s="3"/>
    </row>
    <row r="645" spans="1:7" ht="13">
      <c r="A645" s="3"/>
      <c r="B645" s="3"/>
      <c r="C645" s="3"/>
      <c r="D645" s="3"/>
      <c r="E645" s="3"/>
      <c r="F645" s="3"/>
      <c r="G645" s="3"/>
    </row>
    <row r="646" spans="1:7" ht="13">
      <c r="A646" s="3"/>
      <c r="B646" s="3"/>
      <c r="C646" s="3"/>
      <c r="D646" s="3"/>
      <c r="E646" s="3"/>
      <c r="F646" s="3"/>
      <c r="G646" s="3"/>
    </row>
    <row r="647" spans="1:7" ht="13">
      <c r="A647" s="3"/>
      <c r="B647" s="3"/>
      <c r="C647" s="3"/>
      <c r="D647" s="3"/>
      <c r="E647" s="3"/>
      <c r="F647" s="3"/>
      <c r="G647" s="3"/>
    </row>
    <row r="648" spans="1:7" ht="13">
      <c r="A648" s="3"/>
      <c r="B648" s="3"/>
      <c r="C648" s="3"/>
      <c r="D648" s="3"/>
      <c r="E648" s="3"/>
      <c r="F648" s="3"/>
      <c r="G648" s="3"/>
    </row>
    <row r="649" spans="1:7" ht="13">
      <c r="A649" s="3"/>
      <c r="B649" s="3"/>
      <c r="C649" s="3"/>
      <c r="D649" s="3"/>
      <c r="E649" s="3"/>
      <c r="F649" s="3"/>
      <c r="G649" s="3"/>
    </row>
    <row r="650" spans="1:7" ht="13">
      <c r="A650" s="3"/>
      <c r="B650" s="3"/>
      <c r="C650" s="3"/>
      <c r="D650" s="3"/>
      <c r="E650" s="3"/>
      <c r="F650" s="3"/>
      <c r="G650" s="3"/>
    </row>
    <row r="651" spans="1:7" ht="13">
      <c r="A651" s="3"/>
      <c r="B651" s="3"/>
      <c r="C651" s="3"/>
      <c r="D651" s="3"/>
      <c r="E651" s="3"/>
      <c r="F651" s="3"/>
      <c r="G651" s="3"/>
    </row>
    <row r="652" spans="1:7" ht="13">
      <c r="A652" s="3"/>
      <c r="B652" s="3"/>
      <c r="C652" s="3"/>
      <c r="D652" s="3"/>
      <c r="E652" s="3"/>
      <c r="F652" s="3"/>
      <c r="G652" s="3"/>
    </row>
    <row r="653" spans="1:7" ht="13">
      <c r="A653" s="3"/>
      <c r="B653" s="3"/>
      <c r="C653" s="3"/>
      <c r="D653" s="3"/>
      <c r="E653" s="3"/>
      <c r="F653" s="3"/>
      <c r="G653" s="3"/>
    </row>
    <row r="654" spans="1:7" ht="13">
      <c r="A654" s="3"/>
      <c r="B654" s="3"/>
      <c r="C654" s="3"/>
      <c r="D654" s="3"/>
      <c r="E654" s="3"/>
      <c r="F654" s="3"/>
      <c r="G654" s="3"/>
    </row>
    <row r="655" spans="1:7" ht="13">
      <c r="A655" s="3"/>
      <c r="B655" s="3"/>
      <c r="C655" s="3"/>
      <c r="D655" s="3"/>
      <c r="E655" s="3"/>
      <c r="F655" s="3"/>
      <c r="G655" s="3"/>
    </row>
    <row r="656" spans="1:7" ht="13">
      <c r="A656" s="3"/>
      <c r="B656" s="3"/>
      <c r="C656" s="3"/>
      <c r="D656" s="3"/>
      <c r="E656" s="3"/>
      <c r="F656" s="3"/>
      <c r="G656" s="3"/>
    </row>
    <row r="657" spans="1:7" ht="13">
      <c r="A657" s="3"/>
      <c r="B657" s="3"/>
      <c r="C657" s="3"/>
      <c r="D657" s="3"/>
      <c r="E657" s="3"/>
      <c r="F657" s="3"/>
      <c r="G657" s="3"/>
    </row>
    <row r="658" spans="1:7" ht="13">
      <c r="A658" s="3"/>
      <c r="B658" s="3"/>
      <c r="C658" s="3"/>
      <c r="D658" s="3"/>
      <c r="E658" s="3"/>
      <c r="F658" s="3"/>
      <c r="G658" s="3"/>
    </row>
    <row r="659" spans="1:7" ht="13">
      <c r="A659" s="3"/>
      <c r="B659" s="3"/>
      <c r="C659" s="3"/>
      <c r="D659" s="3"/>
      <c r="E659" s="3"/>
      <c r="F659" s="3"/>
      <c r="G659" s="3"/>
    </row>
    <row r="660" spans="1:7" ht="13">
      <c r="A660" s="3"/>
      <c r="B660" s="3"/>
      <c r="C660" s="3"/>
      <c r="D660" s="3"/>
      <c r="E660" s="3"/>
      <c r="F660" s="3"/>
      <c r="G660" s="3"/>
    </row>
    <row r="661" spans="1:7" ht="13">
      <c r="A661" s="3"/>
      <c r="B661" s="3"/>
      <c r="C661" s="3"/>
      <c r="D661" s="3"/>
      <c r="E661" s="3"/>
      <c r="F661" s="3"/>
      <c r="G661" s="3"/>
    </row>
    <row r="662" spans="1:7" ht="13">
      <c r="A662" s="3"/>
      <c r="B662" s="3"/>
      <c r="C662" s="3"/>
      <c r="D662" s="3"/>
      <c r="E662" s="3"/>
      <c r="F662" s="3"/>
      <c r="G662" s="3"/>
    </row>
    <row r="663" spans="1:7" ht="13">
      <c r="A663" s="3"/>
      <c r="B663" s="3"/>
      <c r="C663" s="3"/>
      <c r="D663" s="3"/>
      <c r="E663" s="3"/>
      <c r="F663" s="3"/>
      <c r="G663" s="3"/>
    </row>
    <row r="664" spans="1:7" ht="13">
      <c r="A664" s="3"/>
      <c r="B664" s="3"/>
      <c r="C664" s="3"/>
      <c r="D664" s="3"/>
      <c r="E664" s="3"/>
      <c r="F664" s="3"/>
      <c r="G664" s="3"/>
    </row>
    <row r="665" spans="1:7" ht="13">
      <c r="A665" s="3"/>
      <c r="B665" s="3"/>
      <c r="C665" s="3"/>
      <c r="D665" s="3"/>
      <c r="E665" s="3"/>
      <c r="F665" s="3"/>
      <c r="G665" s="3"/>
    </row>
    <row r="666" spans="1:7" ht="13">
      <c r="A666" s="3"/>
      <c r="B666" s="3"/>
      <c r="C666" s="3"/>
      <c r="D666" s="3"/>
      <c r="E666" s="3"/>
      <c r="F666" s="3"/>
      <c r="G666" s="3"/>
    </row>
    <row r="667" spans="1:7" ht="13">
      <c r="A667" s="3"/>
      <c r="B667" s="3"/>
      <c r="C667" s="3"/>
      <c r="D667" s="3"/>
      <c r="E667" s="3"/>
      <c r="F667" s="3"/>
      <c r="G667" s="3"/>
    </row>
    <row r="668" spans="1:7" ht="13">
      <c r="A668" s="3"/>
      <c r="B668" s="3"/>
      <c r="C668" s="3"/>
      <c r="D668" s="3"/>
      <c r="E668" s="3"/>
      <c r="F668" s="3"/>
      <c r="G668" s="3"/>
    </row>
    <row r="669" spans="1:7" ht="13">
      <c r="A669" s="3"/>
      <c r="B669" s="3"/>
      <c r="C669" s="3"/>
      <c r="D669" s="3"/>
      <c r="E669" s="3"/>
      <c r="F669" s="3"/>
      <c r="G669" s="3"/>
    </row>
    <row r="670" spans="1:7" ht="13">
      <c r="A670" s="3"/>
      <c r="B670" s="3"/>
      <c r="C670" s="3"/>
      <c r="D670" s="3"/>
      <c r="E670" s="3"/>
      <c r="F670" s="3"/>
      <c r="G670" s="3"/>
    </row>
    <row r="671" spans="1:7" ht="13">
      <c r="A671" s="3"/>
      <c r="B671" s="3"/>
      <c r="C671" s="3"/>
      <c r="D671" s="3"/>
      <c r="E671" s="3"/>
      <c r="F671" s="3"/>
      <c r="G671" s="3"/>
    </row>
    <row r="672" spans="1:7" ht="13">
      <c r="A672" s="3"/>
      <c r="B672" s="3"/>
      <c r="C672" s="3"/>
      <c r="D672" s="3"/>
      <c r="E672" s="3"/>
      <c r="F672" s="3"/>
      <c r="G672" s="3"/>
    </row>
    <row r="673" spans="1:7" ht="13">
      <c r="A673" s="3"/>
      <c r="B673" s="3"/>
      <c r="C673" s="3"/>
      <c r="D673" s="3"/>
      <c r="E673" s="3"/>
      <c r="F673" s="3"/>
      <c r="G673" s="3"/>
    </row>
    <row r="674" spans="1:7" ht="13">
      <c r="A674" s="3"/>
      <c r="B674" s="3"/>
      <c r="C674" s="3"/>
      <c r="D674" s="3"/>
      <c r="E674" s="3"/>
      <c r="F674" s="3"/>
      <c r="G674" s="3"/>
    </row>
    <row r="675" spans="1:7" ht="13">
      <c r="A675" s="3"/>
      <c r="B675" s="3"/>
      <c r="C675" s="3"/>
      <c r="D675" s="3"/>
      <c r="E675" s="3"/>
      <c r="F675" s="3"/>
      <c r="G675" s="3"/>
    </row>
    <row r="676" spans="1:7" ht="13">
      <c r="A676" s="3"/>
      <c r="B676" s="3"/>
      <c r="C676" s="3"/>
      <c r="D676" s="3"/>
      <c r="E676" s="3"/>
      <c r="F676" s="3"/>
      <c r="G676" s="3"/>
    </row>
    <row r="677" spans="1:7" ht="13">
      <c r="A677" s="3"/>
      <c r="B677" s="3"/>
      <c r="C677" s="3"/>
      <c r="D677" s="3"/>
      <c r="E677" s="3"/>
      <c r="F677" s="3"/>
      <c r="G677" s="3"/>
    </row>
    <row r="678" spans="1:7" ht="13">
      <c r="A678" s="3"/>
      <c r="B678" s="3"/>
      <c r="C678" s="3"/>
      <c r="D678" s="3"/>
      <c r="E678" s="3"/>
      <c r="F678" s="3"/>
      <c r="G678" s="3"/>
    </row>
    <row r="679" spans="1:7" ht="13">
      <c r="A679" s="3"/>
      <c r="B679" s="3"/>
      <c r="C679" s="3"/>
      <c r="D679" s="3"/>
      <c r="E679" s="3"/>
      <c r="F679" s="3"/>
      <c r="G679" s="3"/>
    </row>
    <row r="680" spans="1:7" ht="13">
      <c r="A680" s="3"/>
      <c r="B680" s="3"/>
      <c r="C680" s="3"/>
      <c r="D680" s="3"/>
      <c r="E680" s="3"/>
      <c r="F680" s="3"/>
      <c r="G680" s="3"/>
    </row>
    <row r="681" spans="1:7" ht="13">
      <c r="A681" s="3"/>
      <c r="B681" s="3"/>
      <c r="C681" s="3"/>
      <c r="D681" s="3"/>
      <c r="E681" s="3"/>
      <c r="F681" s="3"/>
      <c r="G681" s="3"/>
    </row>
    <row r="682" spans="1:7" ht="13">
      <c r="A682" s="3"/>
      <c r="B682" s="3"/>
      <c r="C682" s="3"/>
      <c r="D682" s="3"/>
      <c r="E682" s="3"/>
      <c r="F682" s="3"/>
      <c r="G682" s="3"/>
    </row>
    <row r="683" spans="1:7" ht="13">
      <c r="A683" s="3"/>
      <c r="B683" s="3"/>
      <c r="C683" s="3"/>
      <c r="D683" s="3"/>
      <c r="E683" s="3"/>
      <c r="F683" s="3"/>
      <c r="G683" s="3"/>
    </row>
    <row r="684" spans="1:7" ht="13">
      <c r="A684" s="3"/>
      <c r="B684" s="3"/>
      <c r="C684" s="3"/>
      <c r="D684" s="3"/>
      <c r="E684" s="3"/>
      <c r="F684" s="3"/>
      <c r="G684" s="3"/>
    </row>
    <row r="685" spans="1:7" ht="13">
      <c r="A685" s="3"/>
      <c r="B685" s="3"/>
      <c r="C685" s="3"/>
      <c r="D685" s="3"/>
      <c r="E685" s="3"/>
      <c r="F685" s="3"/>
      <c r="G685" s="3"/>
    </row>
  </sheetData>
  <mergeCells count="1">
    <mergeCell ref="C15:F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1008"/>
  <sheetViews>
    <sheetView showGridLines="0" topLeftCell="A7" workbookViewId="0">
      <selection activeCell="B5" sqref="B5:C5"/>
    </sheetView>
  </sheetViews>
  <sheetFormatPr baseColWidth="10" defaultColWidth="14.5" defaultRowHeight="15.75" customHeight="1"/>
  <cols>
    <col min="1" max="1" width="3.5" customWidth="1"/>
    <col min="2" max="2" width="65.1640625" customWidth="1"/>
    <col min="3" max="3" width="64.1640625" customWidth="1"/>
  </cols>
  <sheetData>
    <row r="1" spans="1:25" ht="12.75" customHeight="1">
      <c r="A1" s="12"/>
      <c r="B1" s="12"/>
      <c r="C1" s="12"/>
      <c r="D1" s="3"/>
      <c r="E1" s="3"/>
      <c r="F1" s="3"/>
      <c r="G1" s="3"/>
    </row>
    <row r="2" spans="1:25" ht="23.25" customHeight="1">
      <c r="A2" s="12"/>
      <c r="B2" s="13" t="s">
        <v>0</v>
      </c>
      <c r="C2" s="12"/>
      <c r="D2" s="3"/>
      <c r="E2" s="3"/>
      <c r="F2" s="3"/>
      <c r="G2" s="3"/>
    </row>
    <row r="3" spans="1:25" ht="19">
      <c r="B3" s="37" t="s">
        <v>26</v>
      </c>
      <c r="C3" s="38"/>
    </row>
    <row r="4" spans="1:25" ht="9" customHeight="1">
      <c r="B4" s="38"/>
      <c r="C4" s="38"/>
    </row>
    <row r="5" spans="1:25" ht="13">
      <c r="A5" s="39"/>
      <c r="B5" s="160" t="s">
        <v>27</v>
      </c>
      <c r="C5" s="157"/>
      <c r="D5" s="39"/>
      <c r="E5" s="39"/>
      <c r="F5" s="39"/>
      <c r="G5" s="39"/>
      <c r="H5" s="39"/>
      <c r="I5" s="39"/>
      <c r="J5" s="39"/>
      <c r="K5" s="39"/>
      <c r="L5" s="39"/>
      <c r="M5" s="39"/>
      <c r="N5" s="39"/>
      <c r="O5" s="39"/>
      <c r="P5" s="39"/>
      <c r="Q5" s="39"/>
      <c r="R5" s="39"/>
      <c r="S5" s="39"/>
      <c r="T5" s="39"/>
      <c r="U5" s="39"/>
      <c r="V5" s="39"/>
      <c r="W5" s="39"/>
      <c r="X5" s="39"/>
      <c r="Y5" s="39"/>
    </row>
    <row r="6" spans="1:25" ht="13">
      <c r="A6" s="39"/>
      <c r="B6" s="161" t="s">
        <v>28</v>
      </c>
      <c r="C6" s="157"/>
      <c r="D6" s="39"/>
      <c r="E6" s="39"/>
      <c r="F6" s="39"/>
      <c r="G6" s="39"/>
      <c r="H6" s="39"/>
      <c r="I6" s="39"/>
      <c r="J6" s="39"/>
      <c r="K6" s="39"/>
      <c r="L6" s="39"/>
      <c r="M6" s="39"/>
      <c r="N6" s="39"/>
      <c r="O6" s="39"/>
      <c r="P6" s="39"/>
      <c r="Q6" s="39"/>
      <c r="R6" s="39"/>
      <c r="S6" s="39"/>
      <c r="T6" s="39"/>
      <c r="U6" s="39"/>
      <c r="V6" s="39"/>
      <c r="W6" s="39"/>
      <c r="X6" s="39"/>
      <c r="Y6" s="39"/>
    </row>
    <row r="7" spans="1:25" ht="13">
      <c r="A7" s="39"/>
      <c r="B7" s="161" t="s">
        <v>29</v>
      </c>
      <c r="C7" s="157"/>
      <c r="D7" s="39"/>
      <c r="E7" s="39"/>
      <c r="F7" s="39"/>
      <c r="G7" s="39"/>
      <c r="H7" s="39"/>
      <c r="I7" s="39"/>
      <c r="J7" s="39"/>
      <c r="K7" s="39"/>
      <c r="L7" s="39"/>
      <c r="M7" s="39"/>
      <c r="N7" s="39"/>
      <c r="O7" s="39"/>
      <c r="P7" s="39"/>
      <c r="Q7" s="39"/>
      <c r="R7" s="39"/>
      <c r="S7" s="39"/>
      <c r="T7" s="39"/>
      <c r="U7" s="39"/>
      <c r="V7" s="39"/>
      <c r="W7" s="39"/>
      <c r="X7" s="39"/>
      <c r="Y7" s="39"/>
    </row>
    <row r="8" spans="1:25" ht="13">
      <c r="A8" s="39"/>
      <c r="B8" s="162" t="s">
        <v>30</v>
      </c>
      <c r="C8" s="157"/>
      <c r="D8" s="39"/>
      <c r="E8" s="39"/>
      <c r="F8" s="39"/>
      <c r="G8" s="39"/>
      <c r="H8" s="39"/>
      <c r="I8" s="39"/>
      <c r="J8" s="39"/>
      <c r="K8" s="39"/>
      <c r="L8" s="39"/>
      <c r="M8" s="39"/>
      <c r="N8" s="39"/>
      <c r="O8" s="39"/>
      <c r="P8" s="39"/>
      <c r="Q8" s="39"/>
      <c r="R8" s="39"/>
      <c r="S8" s="39"/>
      <c r="T8" s="39"/>
      <c r="U8" s="39"/>
      <c r="V8" s="39"/>
      <c r="W8" s="39"/>
      <c r="X8" s="39"/>
      <c r="Y8" s="39"/>
    </row>
    <row r="9" spans="1:25" ht="13">
      <c r="A9" s="39"/>
      <c r="B9" s="41" t="s">
        <v>31</v>
      </c>
      <c r="C9" s="42"/>
      <c r="D9" s="39"/>
      <c r="E9" s="39"/>
      <c r="F9" s="39"/>
      <c r="G9" s="39"/>
      <c r="H9" s="39"/>
      <c r="I9" s="39"/>
      <c r="J9" s="39"/>
      <c r="K9" s="39"/>
      <c r="L9" s="39"/>
      <c r="M9" s="39"/>
      <c r="N9" s="39"/>
      <c r="O9" s="39"/>
      <c r="P9" s="39"/>
      <c r="Q9" s="39"/>
      <c r="R9" s="39"/>
      <c r="S9" s="39"/>
      <c r="T9" s="39"/>
      <c r="U9" s="39"/>
      <c r="V9" s="39"/>
      <c r="W9" s="39"/>
      <c r="X9" s="39"/>
      <c r="Y9" s="39"/>
    </row>
    <row r="10" spans="1:25" ht="156">
      <c r="A10" s="39"/>
      <c r="B10" s="43" t="s">
        <v>32</v>
      </c>
      <c r="C10" s="44" t="s">
        <v>33</v>
      </c>
      <c r="D10" s="39"/>
      <c r="E10" s="39"/>
      <c r="F10" s="39"/>
      <c r="G10" s="39"/>
      <c r="H10" s="39"/>
      <c r="I10" s="39"/>
      <c r="J10" s="39"/>
      <c r="K10" s="39"/>
      <c r="L10" s="39"/>
      <c r="M10" s="39"/>
      <c r="N10" s="39"/>
      <c r="O10" s="39"/>
      <c r="P10" s="39"/>
      <c r="Q10" s="39"/>
      <c r="R10" s="39"/>
      <c r="S10" s="39"/>
      <c r="T10" s="39"/>
      <c r="U10" s="39"/>
      <c r="V10" s="39"/>
      <c r="W10" s="39"/>
      <c r="X10" s="39"/>
      <c r="Y10" s="39"/>
    </row>
    <row r="11" spans="1:25" ht="13">
      <c r="A11" s="39"/>
      <c r="B11" s="163" t="s">
        <v>34</v>
      </c>
      <c r="C11" s="157"/>
      <c r="D11" s="39"/>
      <c r="E11" s="39"/>
      <c r="F11" s="39"/>
      <c r="G11" s="39"/>
      <c r="H11" s="39"/>
      <c r="I11" s="39"/>
      <c r="J11" s="39"/>
      <c r="K11" s="39"/>
      <c r="L11" s="39"/>
      <c r="M11" s="39"/>
      <c r="N11" s="39"/>
      <c r="O11" s="39"/>
      <c r="P11" s="39"/>
      <c r="Q11" s="39"/>
      <c r="R11" s="39"/>
      <c r="S11" s="39"/>
      <c r="T11" s="39"/>
      <c r="U11" s="39"/>
      <c r="V11" s="39"/>
      <c r="W11" s="39"/>
      <c r="X11" s="39"/>
      <c r="Y11" s="39"/>
    </row>
    <row r="12" spans="1:25" ht="28">
      <c r="A12" s="39"/>
      <c r="B12" s="40" t="s">
        <v>35</v>
      </c>
      <c r="C12" s="45"/>
      <c r="D12" s="39"/>
      <c r="E12" s="39"/>
      <c r="F12" s="39"/>
      <c r="G12" s="39"/>
      <c r="H12" s="39"/>
      <c r="I12" s="39"/>
      <c r="J12" s="39"/>
      <c r="K12" s="39"/>
      <c r="L12" s="39"/>
      <c r="M12" s="39"/>
      <c r="N12" s="39"/>
      <c r="O12" s="39"/>
      <c r="P12" s="39"/>
      <c r="Q12" s="39"/>
      <c r="R12" s="39"/>
      <c r="S12" s="39"/>
      <c r="T12" s="39"/>
      <c r="U12" s="39"/>
      <c r="V12" s="39"/>
      <c r="W12" s="39"/>
      <c r="X12" s="39"/>
      <c r="Y12" s="39"/>
    </row>
    <row r="13" spans="1:25" ht="104">
      <c r="A13" s="39"/>
      <c r="B13" s="46" t="s">
        <v>36</v>
      </c>
      <c r="C13" s="44" t="s">
        <v>37</v>
      </c>
      <c r="D13" s="39"/>
      <c r="E13" s="39"/>
      <c r="F13" s="39"/>
      <c r="G13" s="39"/>
      <c r="H13" s="39"/>
      <c r="I13" s="39"/>
      <c r="J13" s="39"/>
      <c r="K13" s="39"/>
      <c r="L13" s="39"/>
      <c r="M13" s="39"/>
      <c r="N13" s="39"/>
      <c r="O13" s="39"/>
      <c r="P13" s="39"/>
      <c r="Q13" s="39"/>
      <c r="R13" s="39"/>
      <c r="S13" s="39"/>
      <c r="T13" s="39"/>
      <c r="U13" s="39"/>
      <c r="V13" s="39"/>
      <c r="W13" s="39"/>
      <c r="X13" s="39"/>
      <c r="Y13" s="39"/>
    </row>
    <row r="14" spans="1:25" ht="28">
      <c r="A14" s="39"/>
      <c r="B14" s="47" t="s">
        <v>38</v>
      </c>
      <c r="C14" s="48"/>
      <c r="D14" s="39"/>
      <c r="E14" s="39"/>
      <c r="F14" s="39"/>
      <c r="G14" s="39"/>
      <c r="H14" s="39"/>
      <c r="I14" s="39"/>
      <c r="J14" s="39"/>
      <c r="K14" s="39"/>
      <c r="L14" s="39"/>
      <c r="M14" s="39"/>
      <c r="N14" s="39"/>
      <c r="O14" s="39"/>
      <c r="P14" s="39"/>
      <c r="Q14" s="39"/>
      <c r="R14" s="39"/>
      <c r="S14" s="39"/>
      <c r="T14" s="39"/>
      <c r="U14" s="39"/>
      <c r="V14" s="39"/>
      <c r="W14" s="39"/>
      <c r="X14" s="39"/>
      <c r="Y14" s="39"/>
    </row>
    <row r="15" spans="1:25" ht="117">
      <c r="B15" s="46" t="s">
        <v>39</v>
      </c>
      <c r="C15" s="46" t="s">
        <v>40</v>
      </c>
    </row>
    <row r="16" spans="1:25" ht="13">
      <c r="B16" s="164" t="s">
        <v>41</v>
      </c>
      <c r="C16" s="157"/>
    </row>
    <row r="17" spans="2:3" ht="13">
      <c r="B17" s="41" t="s">
        <v>42</v>
      </c>
      <c r="C17" s="49"/>
    </row>
    <row r="18" spans="2:3" ht="143">
      <c r="B18" s="43" t="s">
        <v>43</v>
      </c>
      <c r="C18" s="46" t="s">
        <v>44</v>
      </c>
    </row>
    <row r="19" spans="2:3" ht="13">
      <c r="B19" s="165" t="s">
        <v>45</v>
      </c>
      <c r="C19" s="157"/>
    </row>
    <row r="20" spans="2:3" ht="28">
      <c r="B20" s="50" t="s">
        <v>46</v>
      </c>
      <c r="C20" s="51"/>
    </row>
    <row r="21" spans="2:3" ht="13">
      <c r="B21" s="158" t="s">
        <v>47</v>
      </c>
      <c r="C21" s="157"/>
    </row>
    <row r="22" spans="2:3" ht="13">
      <c r="B22" s="159" t="s">
        <v>48</v>
      </c>
      <c r="C22" s="157"/>
    </row>
    <row r="23" spans="2:3" ht="13">
      <c r="B23" s="52"/>
      <c r="C23" s="38"/>
    </row>
    <row r="24" spans="2:3" ht="13">
      <c r="B24" s="38"/>
      <c r="C24" s="38"/>
    </row>
    <row r="25" spans="2:3" ht="13">
      <c r="B25" s="38"/>
      <c r="C25" s="38"/>
    </row>
    <row r="26" spans="2:3" ht="13">
      <c r="B26" s="38"/>
      <c r="C26" s="38"/>
    </row>
    <row r="27" spans="2:3" ht="13">
      <c r="B27" s="38"/>
      <c r="C27" s="38"/>
    </row>
    <row r="28" spans="2:3" ht="13">
      <c r="B28" s="38"/>
      <c r="C28" s="38"/>
    </row>
    <row r="29" spans="2:3" ht="13">
      <c r="B29" s="38"/>
      <c r="C29" s="38"/>
    </row>
    <row r="30" spans="2:3" ht="13">
      <c r="B30" s="38"/>
      <c r="C30" s="38"/>
    </row>
    <row r="31" spans="2:3" ht="13">
      <c r="B31" s="38"/>
      <c r="C31" s="38"/>
    </row>
    <row r="32" spans="2:3" ht="13">
      <c r="B32" s="38"/>
      <c r="C32" s="38"/>
    </row>
    <row r="33" spans="2:3" ht="13">
      <c r="B33" s="38"/>
      <c r="C33" s="38"/>
    </row>
    <row r="34" spans="2:3" ht="13">
      <c r="B34" s="38"/>
      <c r="C34" s="38"/>
    </row>
    <row r="35" spans="2:3" ht="13">
      <c r="B35" s="38"/>
      <c r="C35" s="38"/>
    </row>
    <row r="36" spans="2:3" ht="13">
      <c r="B36" s="38"/>
      <c r="C36" s="38"/>
    </row>
    <row r="37" spans="2:3" ht="13">
      <c r="B37" s="38"/>
      <c r="C37" s="38"/>
    </row>
    <row r="38" spans="2:3" ht="13">
      <c r="B38" s="38"/>
      <c r="C38" s="38"/>
    </row>
    <row r="39" spans="2:3" ht="13">
      <c r="B39" s="38"/>
      <c r="C39" s="38"/>
    </row>
    <row r="40" spans="2:3" ht="13">
      <c r="B40" s="38"/>
      <c r="C40" s="38"/>
    </row>
    <row r="41" spans="2:3" ht="13">
      <c r="B41" s="38"/>
      <c r="C41" s="38"/>
    </row>
    <row r="42" spans="2:3" ht="13">
      <c r="B42" s="38"/>
      <c r="C42" s="38"/>
    </row>
    <row r="43" spans="2:3" ht="13">
      <c r="B43" s="38"/>
      <c r="C43" s="38"/>
    </row>
    <row r="44" spans="2:3" ht="13">
      <c r="B44" s="38"/>
      <c r="C44" s="38"/>
    </row>
    <row r="45" spans="2:3" ht="13">
      <c r="B45" s="38"/>
      <c r="C45" s="38"/>
    </row>
    <row r="46" spans="2:3" ht="13">
      <c r="B46" s="38"/>
      <c r="C46" s="38"/>
    </row>
    <row r="47" spans="2:3" ht="13">
      <c r="B47" s="38"/>
      <c r="C47" s="38"/>
    </row>
    <row r="48" spans="2:3" ht="13">
      <c r="B48" s="38"/>
      <c r="C48" s="38"/>
    </row>
    <row r="49" spans="2:3" ht="13">
      <c r="B49" s="38"/>
      <c r="C49" s="38"/>
    </row>
    <row r="50" spans="2:3" ht="13">
      <c r="B50" s="38"/>
      <c r="C50" s="38"/>
    </row>
    <row r="51" spans="2:3" ht="13">
      <c r="B51" s="38"/>
      <c r="C51" s="38"/>
    </row>
    <row r="52" spans="2:3" ht="13">
      <c r="B52" s="38"/>
      <c r="C52" s="38"/>
    </row>
    <row r="53" spans="2:3" ht="13">
      <c r="B53" s="38"/>
      <c r="C53" s="38"/>
    </row>
    <row r="54" spans="2:3" ht="13">
      <c r="B54" s="38"/>
      <c r="C54" s="38"/>
    </row>
    <row r="55" spans="2:3" ht="13">
      <c r="B55" s="38"/>
      <c r="C55" s="38"/>
    </row>
    <row r="56" spans="2:3" ht="13">
      <c r="B56" s="38"/>
      <c r="C56" s="38"/>
    </row>
    <row r="57" spans="2:3" ht="13">
      <c r="B57" s="38"/>
      <c r="C57" s="38"/>
    </row>
    <row r="58" spans="2:3" ht="13">
      <c r="B58" s="38"/>
      <c r="C58" s="38"/>
    </row>
    <row r="59" spans="2:3" ht="13">
      <c r="B59" s="38"/>
      <c r="C59" s="38"/>
    </row>
    <row r="60" spans="2:3" ht="13">
      <c r="B60" s="38"/>
      <c r="C60" s="38"/>
    </row>
    <row r="61" spans="2:3" ht="13">
      <c r="B61" s="38"/>
      <c r="C61" s="38"/>
    </row>
    <row r="62" spans="2:3" ht="13">
      <c r="B62" s="38"/>
      <c r="C62" s="38"/>
    </row>
    <row r="63" spans="2:3" ht="13">
      <c r="B63" s="38"/>
      <c r="C63" s="38"/>
    </row>
    <row r="64" spans="2:3" ht="13">
      <c r="B64" s="38"/>
      <c r="C64" s="38"/>
    </row>
    <row r="65" spans="2:3" ht="13">
      <c r="B65" s="38"/>
      <c r="C65" s="38"/>
    </row>
    <row r="66" spans="2:3" ht="13">
      <c r="B66" s="38"/>
      <c r="C66" s="38"/>
    </row>
    <row r="67" spans="2:3" ht="13">
      <c r="B67" s="38"/>
      <c r="C67" s="38"/>
    </row>
    <row r="68" spans="2:3" ht="13">
      <c r="B68" s="38"/>
      <c r="C68" s="38"/>
    </row>
    <row r="69" spans="2:3" ht="13">
      <c r="B69" s="38"/>
      <c r="C69" s="38"/>
    </row>
    <row r="70" spans="2:3" ht="13">
      <c r="B70" s="38"/>
      <c r="C70" s="38"/>
    </row>
    <row r="71" spans="2:3" ht="13">
      <c r="B71" s="38"/>
      <c r="C71" s="38"/>
    </row>
    <row r="72" spans="2:3" ht="13">
      <c r="B72" s="38"/>
      <c r="C72" s="38"/>
    </row>
    <row r="73" spans="2:3" ht="13">
      <c r="B73" s="38"/>
      <c r="C73" s="38"/>
    </row>
    <row r="74" spans="2:3" ht="13">
      <c r="B74" s="38"/>
      <c r="C74" s="38"/>
    </row>
    <row r="75" spans="2:3" ht="13">
      <c r="B75" s="38"/>
      <c r="C75" s="38"/>
    </row>
    <row r="76" spans="2:3" ht="13">
      <c r="B76" s="38"/>
      <c r="C76" s="38"/>
    </row>
    <row r="77" spans="2:3" ht="13">
      <c r="B77" s="38"/>
      <c r="C77" s="38"/>
    </row>
    <row r="78" spans="2:3" ht="13">
      <c r="B78" s="38"/>
      <c r="C78" s="38"/>
    </row>
    <row r="79" spans="2:3" ht="13">
      <c r="B79" s="38"/>
      <c r="C79" s="38"/>
    </row>
    <row r="80" spans="2:3" ht="13">
      <c r="B80" s="38"/>
      <c r="C80" s="38"/>
    </row>
    <row r="81" spans="2:3" ht="13">
      <c r="B81" s="38"/>
      <c r="C81" s="38"/>
    </row>
    <row r="82" spans="2:3" ht="13">
      <c r="B82" s="38"/>
      <c r="C82" s="38"/>
    </row>
    <row r="83" spans="2:3" ht="13">
      <c r="B83" s="38"/>
      <c r="C83" s="38"/>
    </row>
    <row r="84" spans="2:3" ht="13">
      <c r="B84" s="38"/>
      <c r="C84" s="38"/>
    </row>
    <row r="85" spans="2:3" ht="13">
      <c r="B85" s="38"/>
      <c r="C85" s="38"/>
    </row>
    <row r="86" spans="2:3" ht="13">
      <c r="B86" s="38"/>
      <c r="C86" s="38"/>
    </row>
    <row r="87" spans="2:3" ht="13">
      <c r="B87" s="38"/>
      <c r="C87" s="38"/>
    </row>
    <row r="88" spans="2:3" ht="13">
      <c r="B88" s="38"/>
      <c r="C88" s="38"/>
    </row>
    <row r="89" spans="2:3" ht="13">
      <c r="B89" s="38"/>
      <c r="C89" s="38"/>
    </row>
    <row r="90" spans="2:3" ht="13">
      <c r="B90" s="38"/>
      <c r="C90" s="38"/>
    </row>
    <row r="91" spans="2:3" ht="13">
      <c r="B91" s="38"/>
      <c r="C91" s="38"/>
    </row>
    <row r="92" spans="2:3" ht="13">
      <c r="B92" s="38"/>
      <c r="C92" s="38"/>
    </row>
    <row r="93" spans="2:3" ht="13">
      <c r="B93" s="38"/>
      <c r="C93" s="38"/>
    </row>
    <row r="94" spans="2:3" ht="13">
      <c r="B94" s="38"/>
      <c r="C94" s="38"/>
    </row>
    <row r="95" spans="2:3" ht="13">
      <c r="B95" s="38"/>
      <c r="C95" s="38"/>
    </row>
    <row r="96" spans="2:3" ht="13">
      <c r="B96" s="38"/>
      <c r="C96" s="38"/>
    </row>
    <row r="97" spans="2:3" ht="13">
      <c r="B97" s="38"/>
      <c r="C97" s="38"/>
    </row>
    <row r="98" spans="2:3" ht="13">
      <c r="B98" s="38"/>
      <c r="C98" s="38"/>
    </row>
    <row r="99" spans="2:3" ht="13">
      <c r="B99" s="38"/>
      <c r="C99" s="38"/>
    </row>
    <row r="100" spans="2:3" ht="13">
      <c r="B100" s="38"/>
      <c r="C100" s="38"/>
    </row>
    <row r="101" spans="2:3" ht="13">
      <c r="B101" s="38"/>
      <c r="C101" s="38"/>
    </row>
    <row r="102" spans="2:3" ht="13">
      <c r="B102" s="38"/>
      <c r="C102" s="38"/>
    </row>
    <row r="103" spans="2:3" ht="13">
      <c r="B103" s="38"/>
      <c r="C103" s="38"/>
    </row>
    <row r="104" spans="2:3" ht="13">
      <c r="B104" s="38"/>
      <c r="C104" s="38"/>
    </row>
    <row r="105" spans="2:3" ht="13">
      <c r="B105" s="38"/>
      <c r="C105" s="38"/>
    </row>
    <row r="106" spans="2:3" ht="13">
      <c r="B106" s="38"/>
      <c r="C106" s="38"/>
    </row>
    <row r="107" spans="2:3" ht="13">
      <c r="B107" s="38"/>
      <c r="C107" s="38"/>
    </row>
    <row r="108" spans="2:3" ht="13">
      <c r="B108" s="38"/>
      <c r="C108" s="38"/>
    </row>
    <row r="109" spans="2:3" ht="13">
      <c r="B109" s="38"/>
      <c r="C109" s="38"/>
    </row>
    <row r="110" spans="2:3" ht="13">
      <c r="B110" s="38"/>
      <c r="C110" s="38"/>
    </row>
    <row r="111" spans="2:3" ht="13">
      <c r="B111" s="38"/>
      <c r="C111" s="38"/>
    </row>
    <row r="112" spans="2:3" ht="13">
      <c r="B112" s="38"/>
      <c r="C112" s="38"/>
    </row>
    <row r="113" spans="2:3" ht="13">
      <c r="B113" s="38"/>
      <c r="C113" s="38"/>
    </row>
    <row r="114" spans="2:3" ht="13">
      <c r="B114" s="38"/>
      <c r="C114" s="38"/>
    </row>
    <row r="115" spans="2:3" ht="13">
      <c r="B115" s="38"/>
      <c r="C115" s="38"/>
    </row>
    <row r="116" spans="2:3" ht="13">
      <c r="B116" s="38"/>
      <c r="C116" s="38"/>
    </row>
    <row r="117" spans="2:3" ht="13">
      <c r="B117" s="38"/>
      <c r="C117" s="38"/>
    </row>
    <row r="118" spans="2:3" ht="13">
      <c r="B118" s="38"/>
      <c r="C118" s="38"/>
    </row>
    <row r="119" spans="2:3" ht="13">
      <c r="B119" s="38"/>
      <c r="C119" s="38"/>
    </row>
    <row r="120" spans="2:3" ht="13">
      <c r="B120" s="38"/>
      <c r="C120" s="38"/>
    </row>
    <row r="121" spans="2:3" ht="13">
      <c r="B121" s="38"/>
      <c r="C121" s="38"/>
    </row>
    <row r="122" spans="2:3" ht="13">
      <c r="B122" s="38"/>
      <c r="C122" s="38"/>
    </row>
    <row r="123" spans="2:3" ht="13">
      <c r="B123" s="38"/>
      <c r="C123" s="38"/>
    </row>
    <row r="124" spans="2:3" ht="13">
      <c r="B124" s="38"/>
      <c r="C124" s="38"/>
    </row>
    <row r="125" spans="2:3" ht="13">
      <c r="B125" s="38"/>
      <c r="C125" s="38"/>
    </row>
    <row r="126" spans="2:3" ht="13">
      <c r="B126" s="38"/>
      <c r="C126" s="38"/>
    </row>
    <row r="127" spans="2:3" ht="13">
      <c r="B127" s="38"/>
      <c r="C127" s="38"/>
    </row>
    <row r="128" spans="2:3" ht="13">
      <c r="B128" s="38"/>
      <c r="C128" s="38"/>
    </row>
    <row r="129" spans="2:3" ht="13">
      <c r="B129" s="38"/>
      <c r="C129" s="38"/>
    </row>
    <row r="130" spans="2:3" ht="13">
      <c r="B130" s="38"/>
      <c r="C130" s="38"/>
    </row>
    <row r="131" spans="2:3" ht="13">
      <c r="B131" s="38"/>
      <c r="C131" s="38"/>
    </row>
    <row r="132" spans="2:3" ht="13">
      <c r="B132" s="38"/>
      <c r="C132" s="38"/>
    </row>
    <row r="133" spans="2:3" ht="13">
      <c r="B133" s="38"/>
      <c r="C133" s="38"/>
    </row>
    <row r="134" spans="2:3" ht="13">
      <c r="B134" s="38"/>
      <c r="C134" s="38"/>
    </row>
    <row r="135" spans="2:3" ht="13">
      <c r="B135" s="38"/>
      <c r="C135" s="38"/>
    </row>
    <row r="136" spans="2:3" ht="13">
      <c r="B136" s="38"/>
      <c r="C136" s="38"/>
    </row>
    <row r="137" spans="2:3" ht="13">
      <c r="B137" s="38"/>
      <c r="C137" s="38"/>
    </row>
    <row r="138" spans="2:3" ht="13">
      <c r="B138" s="38"/>
      <c r="C138" s="38"/>
    </row>
    <row r="139" spans="2:3" ht="13">
      <c r="B139" s="38"/>
      <c r="C139" s="38"/>
    </row>
    <row r="140" spans="2:3" ht="13">
      <c r="B140" s="38"/>
      <c r="C140" s="38"/>
    </row>
    <row r="141" spans="2:3" ht="13">
      <c r="B141" s="38"/>
      <c r="C141" s="38"/>
    </row>
    <row r="142" spans="2:3" ht="13">
      <c r="B142" s="38"/>
      <c r="C142" s="38"/>
    </row>
    <row r="143" spans="2:3" ht="13">
      <c r="B143" s="38"/>
      <c r="C143" s="38"/>
    </row>
    <row r="144" spans="2:3" ht="13">
      <c r="B144" s="38"/>
      <c r="C144" s="38"/>
    </row>
    <row r="145" spans="2:3" ht="13">
      <c r="B145" s="38"/>
      <c r="C145" s="38"/>
    </row>
    <row r="146" spans="2:3" ht="13">
      <c r="B146" s="38"/>
      <c r="C146" s="38"/>
    </row>
    <row r="147" spans="2:3" ht="13">
      <c r="B147" s="38"/>
      <c r="C147" s="38"/>
    </row>
    <row r="148" spans="2:3" ht="13">
      <c r="B148" s="38"/>
      <c r="C148" s="38"/>
    </row>
    <row r="149" spans="2:3" ht="13">
      <c r="B149" s="38"/>
      <c r="C149" s="38"/>
    </row>
    <row r="150" spans="2:3" ht="13">
      <c r="B150" s="38"/>
      <c r="C150" s="38"/>
    </row>
    <row r="151" spans="2:3" ht="13">
      <c r="B151" s="38"/>
      <c r="C151" s="38"/>
    </row>
    <row r="152" spans="2:3" ht="13">
      <c r="B152" s="38"/>
      <c r="C152" s="38"/>
    </row>
    <row r="153" spans="2:3" ht="13">
      <c r="B153" s="38"/>
      <c r="C153" s="38"/>
    </row>
    <row r="154" spans="2:3" ht="13">
      <c r="B154" s="38"/>
      <c r="C154" s="38"/>
    </row>
    <row r="155" spans="2:3" ht="13">
      <c r="B155" s="38"/>
      <c r="C155" s="38"/>
    </row>
    <row r="156" spans="2:3" ht="13">
      <c r="B156" s="38"/>
      <c r="C156" s="38"/>
    </row>
    <row r="157" spans="2:3" ht="13">
      <c r="B157" s="38"/>
      <c r="C157" s="38"/>
    </row>
    <row r="158" spans="2:3" ht="13">
      <c r="B158" s="38"/>
      <c r="C158" s="38"/>
    </row>
    <row r="159" spans="2:3" ht="13">
      <c r="B159" s="38"/>
      <c r="C159" s="38"/>
    </row>
    <row r="160" spans="2:3" ht="13">
      <c r="B160" s="38"/>
      <c r="C160" s="38"/>
    </row>
    <row r="161" spans="2:3" ht="13">
      <c r="B161" s="38"/>
      <c r="C161" s="38"/>
    </row>
    <row r="162" spans="2:3" ht="13">
      <c r="B162" s="38"/>
      <c r="C162" s="38"/>
    </row>
    <row r="163" spans="2:3" ht="13">
      <c r="B163" s="38"/>
      <c r="C163" s="38"/>
    </row>
    <row r="164" spans="2:3" ht="13">
      <c r="B164" s="38"/>
      <c r="C164" s="38"/>
    </row>
    <row r="165" spans="2:3" ht="13">
      <c r="B165" s="38"/>
      <c r="C165" s="38"/>
    </row>
    <row r="166" spans="2:3" ht="13">
      <c r="B166" s="38"/>
      <c r="C166" s="38"/>
    </row>
    <row r="167" spans="2:3" ht="13">
      <c r="B167" s="38"/>
      <c r="C167" s="38"/>
    </row>
    <row r="168" spans="2:3" ht="13">
      <c r="B168" s="38"/>
      <c r="C168" s="38"/>
    </row>
    <row r="169" spans="2:3" ht="13">
      <c r="B169" s="38"/>
      <c r="C169" s="38"/>
    </row>
    <row r="170" spans="2:3" ht="13">
      <c r="B170" s="38"/>
      <c r="C170" s="38"/>
    </row>
    <row r="171" spans="2:3" ht="13">
      <c r="B171" s="38"/>
      <c r="C171" s="38"/>
    </row>
    <row r="172" spans="2:3" ht="13">
      <c r="B172" s="38"/>
      <c r="C172" s="38"/>
    </row>
    <row r="173" spans="2:3" ht="13">
      <c r="B173" s="38"/>
      <c r="C173" s="38"/>
    </row>
    <row r="174" spans="2:3" ht="13">
      <c r="B174" s="38"/>
      <c r="C174" s="38"/>
    </row>
    <row r="175" spans="2:3" ht="13">
      <c r="B175" s="38"/>
      <c r="C175" s="38"/>
    </row>
    <row r="176" spans="2:3" ht="13">
      <c r="B176" s="38"/>
      <c r="C176" s="38"/>
    </row>
    <row r="177" spans="2:3" ht="13">
      <c r="B177" s="38"/>
      <c r="C177" s="38"/>
    </row>
    <row r="178" spans="2:3" ht="13">
      <c r="B178" s="38"/>
      <c r="C178" s="38"/>
    </row>
    <row r="179" spans="2:3" ht="13">
      <c r="B179" s="38"/>
      <c r="C179" s="38"/>
    </row>
    <row r="180" spans="2:3" ht="13">
      <c r="B180" s="38"/>
      <c r="C180" s="38"/>
    </row>
    <row r="181" spans="2:3" ht="13">
      <c r="B181" s="38"/>
      <c r="C181" s="38"/>
    </row>
    <row r="182" spans="2:3" ht="13">
      <c r="B182" s="38"/>
      <c r="C182" s="38"/>
    </row>
    <row r="183" spans="2:3" ht="13">
      <c r="B183" s="38"/>
      <c r="C183" s="38"/>
    </row>
    <row r="184" spans="2:3" ht="13">
      <c r="B184" s="38"/>
      <c r="C184" s="38"/>
    </row>
    <row r="185" spans="2:3" ht="13">
      <c r="B185" s="38"/>
      <c r="C185" s="38"/>
    </row>
    <row r="186" spans="2:3" ht="13">
      <c r="B186" s="38"/>
      <c r="C186" s="38"/>
    </row>
    <row r="187" spans="2:3" ht="13">
      <c r="B187" s="38"/>
      <c r="C187" s="38"/>
    </row>
    <row r="188" spans="2:3" ht="13">
      <c r="B188" s="38"/>
      <c r="C188" s="38"/>
    </row>
    <row r="189" spans="2:3" ht="13">
      <c r="B189" s="38"/>
      <c r="C189" s="38"/>
    </row>
    <row r="190" spans="2:3" ht="13">
      <c r="B190" s="38"/>
      <c r="C190" s="38"/>
    </row>
    <row r="191" spans="2:3" ht="13">
      <c r="B191" s="38"/>
      <c r="C191" s="38"/>
    </row>
    <row r="192" spans="2:3" ht="13">
      <c r="B192" s="38"/>
      <c r="C192" s="38"/>
    </row>
    <row r="193" spans="2:3" ht="13">
      <c r="B193" s="38"/>
      <c r="C193" s="38"/>
    </row>
    <row r="194" spans="2:3" ht="13">
      <c r="B194" s="38"/>
      <c r="C194" s="38"/>
    </row>
    <row r="195" spans="2:3" ht="13">
      <c r="B195" s="38"/>
      <c r="C195" s="38"/>
    </row>
    <row r="196" spans="2:3" ht="13">
      <c r="B196" s="38"/>
      <c r="C196" s="38"/>
    </row>
    <row r="197" spans="2:3" ht="13">
      <c r="B197" s="38"/>
      <c r="C197" s="38"/>
    </row>
    <row r="198" spans="2:3" ht="13">
      <c r="B198" s="38"/>
      <c r="C198" s="38"/>
    </row>
    <row r="199" spans="2:3" ht="13">
      <c r="B199" s="38"/>
      <c r="C199" s="38"/>
    </row>
    <row r="200" spans="2:3" ht="13">
      <c r="B200" s="38"/>
      <c r="C200" s="38"/>
    </row>
    <row r="201" spans="2:3" ht="13">
      <c r="B201" s="38"/>
      <c r="C201" s="38"/>
    </row>
    <row r="202" spans="2:3" ht="13">
      <c r="B202" s="38"/>
      <c r="C202" s="38"/>
    </row>
    <row r="203" spans="2:3" ht="13">
      <c r="B203" s="38"/>
      <c r="C203" s="38"/>
    </row>
    <row r="204" spans="2:3" ht="13">
      <c r="B204" s="38"/>
      <c r="C204" s="38"/>
    </row>
    <row r="205" spans="2:3" ht="13">
      <c r="B205" s="38"/>
      <c r="C205" s="38"/>
    </row>
    <row r="206" spans="2:3" ht="13">
      <c r="B206" s="38"/>
      <c r="C206" s="38"/>
    </row>
    <row r="207" spans="2:3" ht="13">
      <c r="B207" s="38"/>
      <c r="C207" s="38"/>
    </row>
    <row r="208" spans="2:3" ht="13">
      <c r="B208" s="38"/>
      <c r="C208" s="38"/>
    </row>
    <row r="209" spans="2:3" ht="13">
      <c r="B209" s="38"/>
      <c r="C209" s="38"/>
    </row>
    <row r="210" spans="2:3" ht="13">
      <c r="B210" s="38"/>
      <c r="C210" s="38"/>
    </row>
    <row r="211" spans="2:3" ht="13">
      <c r="B211" s="38"/>
      <c r="C211" s="38"/>
    </row>
    <row r="212" spans="2:3" ht="13">
      <c r="B212" s="38"/>
      <c r="C212" s="38"/>
    </row>
    <row r="213" spans="2:3" ht="13">
      <c r="B213" s="38"/>
      <c r="C213" s="38"/>
    </row>
    <row r="214" spans="2:3" ht="13">
      <c r="B214" s="38"/>
      <c r="C214" s="38"/>
    </row>
    <row r="215" spans="2:3" ht="13">
      <c r="B215" s="38"/>
      <c r="C215" s="38"/>
    </row>
    <row r="216" spans="2:3" ht="13">
      <c r="B216" s="38"/>
      <c r="C216" s="38"/>
    </row>
    <row r="217" spans="2:3" ht="13">
      <c r="B217" s="38"/>
      <c r="C217" s="38"/>
    </row>
    <row r="218" spans="2:3" ht="13">
      <c r="B218" s="38"/>
      <c r="C218" s="38"/>
    </row>
    <row r="219" spans="2:3" ht="13">
      <c r="B219" s="38"/>
      <c r="C219" s="38"/>
    </row>
    <row r="220" spans="2:3" ht="13">
      <c r="B220" s="38"/>
      <c r="C220" s="38"/>
    </row>
    <row r="221" spans="2:3" ht="13">
      <c r="B221" s="38"/>
      <c r="C221" s="38"/>
    </row>
    <row r="222" spans="2:3" ht="13">
      <c r="B222" s="38"/>
      <c r="C222" s="38"/>
    </row>
    <row r="223" spans="2:3" ht="13">
      <c r="B223" s="38"/>
      <c r="C223" s="38"/>
    </row>
    <row r="224" spans="2:3" ht="13">
      <c r="B224" s="38"/>
      <c r="C224" s="38"/>
    </row>
    <row r="225" spans="2:3" ht="13">
      <c r="B225" s="38"/>
      <c r="C225" s="38"/>
    </row>
    <row r="226" spans="2:3" ht="13">
      <c r="B226" s="38"/>
      <c r="C226" s="38"/>
    </row>
    <row r="227" spans="2:3" ht="13">
      <c r="B227" s="38"/>
      <c r="C227" s="38"/>
    </row>
    <row r="228" spans="2:3" ht="13">
      <c r="B228" s="38"/>
      <c r="C228" s="38"/>
    </row>
    <row r="229" spans="2:3" ht="13">
      <c r="B229" s="38"/>
      <c r="C229" s="38"/>
    </row>
    <row r="230" spans="2:3" ht="13">
      <c r="B230" s="38"/>
      <c r="C230" s="38"/>
    </row>
    <row r="231" spans="2:3" ht="13">
      <c r="B231" s="38"/>
      <c r="C231" s="38"/>
    </row>
    <row r="232" spans="2:3" ht="13">
      <c r="B232" s="38"/>
      <c r="C232" s="38"/>
    </row>
    <row r="233" spans="2:3" ht="13">
      <c r="B233" s="38"/>
      <c r="C233" s="38"/>
    </row>
    <row r="234" spans="2:3" ht="13">
      <c r="B234" s="38"/>
      <c r="C234" s="38"/>
    </row>
    <row r="235" spans="2:3" ht="13">
      <c r="B235" s="38"/>
      <c r="C235" s="38"/>
    </row>
    <row r="236" spans="2:3" ht="13">
      <c r="B236" s="38"/>
      <c r="C236" s="38"/>
    </row>
    <row r="237" spans="2:3" ht="13">
      <c r="B237" s="38"/>
      <c r="C237" s="38"/>
    </row>
    <row r="238" spans="2:3" ht="13">
      <c r="B238" s="38"/>
      <c r="C238" s="38"/>
    </row>
    <row r="239" spans="2:3" ht="13">
      <c r="B239" s="38"/>
      <c r="C239" s="38"/>
    </row>
    <row r="240" spans="2:3" ht="13">
      <c r="B240" s="38"/>
      <c r="C240" s="38"/>
    </row>
    <row r="241" spans="2:3" ht="13">
      <c r="B241" s="38"/>
      <c r="C241" s="38"/>
    </row>
    <row r="242" spans="2:3" ht="13">
      <c r="B242" s="38"/>
      <c r="C242" s="38"/>
    </row>
    <row r="243" spans="2:3" ht="13">
      <c r="B243" s="38"/>
      <c r="C243" s="38"/>
    </row>
    <row r="244" spans="2:3" ht="13">
      <c r="B244" s="38"/>
      <c r="C244" s="38"/>
    </row>
    <row r="245" spans="2:3" ht="13">
      <c r="B245" s="38"/>
      <c r="C245" s="38"/>
    </row>
    <row r="246" spans="2:3" ht="13">
      <c r="B246" s="38"/>
      <c r="C246" s="38"/>
    </row>
    <row r="247" spans="2:3" ht="13">
      <c r="B247" s="38"/>
      <c r="C247" s="38"/>
    </row>
    <row r="248" spans="2:3" ht="13">
      <c r="B248" s="38"/>
      <c r="C248" s="38"/>
    </row>
    <row r="249" spans="2:3" ht="13">
      <c r="B249" s="38"/>
      <c r="C249" s="38"/>
    </row>
    <row r="250" spans="2:3" ht="13">
      <c r="B250" s="38"/>
      <c r="C250" s="38"/>
    </row>
    <row r="251" spans="2:3" ht="13">
      <c r="B251" s="38"/>
      <c r="C251" s="38"/>
    </row>
    <row r="252" spans="2:3" ht="13">
      <c r="B252" s="38"/>
      <c r="C252" s="38"/>
    </row>
    <row r="253" spans="2:3" ht="13">
      <c r="B253" s="38"/>
      <c r="C253" s="38"/>
    </row>
    <row r="254" spans="2:3" ht="13">
      <c r="B254" s="38"/>
      <c r="C254" s="38"/>
    </row>
    <row r="255" spans="2:3" ht="13">
      <c r="B255" s="38"/>
      <c r="C255" s="38"/>
    </row>
    <row r="256" spans="2:3" ht="13">
      <c r="B256" s="38"/>
      <c r="C256" s="38"/>
    </row>
    <row r="257" spans="2:3" ht="13">
      <c r="B257" s="38"/>
      <c r="C257" s="38"/>
    </row>
    <row r="258" spans="2:3" ht="13">
      <c r="B258" s="38"/>
      <c r="C258" s="38"/>
    </row>
    <row r="259" spans="2:3" ht="13">
      <c r="B259" s="38"/>
      <c r="C259" s="38"/>
    </row>
    <row r="260" spans="2:3" ht="13">
      <c r="B260" s="38"/>
      <c r="C260" s="38"/>
    </row>
    <row r="261" spans="2:3" ht="13">
      <c r="B261" s="38"/>
      <c r="C261" s="38"/>
    </row>
    <row r="262" spans="2:3" ht="13">
      <c r="B262" s="38"/>
      <c r="C262" s="38"/>
    </row>
    <row r="263" spans="2:3" ht="13">
      <c r="B263" s="38"/>
      <c r="C263" s="38"/>
    </row>
    <row r="264" spans="2:3" ht="13">
      <c r="B264" s="38"/>
      <c r="C264" s="38"/>
    </row>
    <row r="265" spans="2:3" ht="13">
      <c r="B265" s="38"/>
      <c r="C265" s="38"/>
    </row>
    <row r="266" spans="2:3" ht="13">
      <c r="B266" s="38"/>
      <c r="C266" s="38"/>
    </row>
    <row r="267" spans="2:3" ht="13">
      <c r="B267" s="38"/>
      <c r="C267" s="38"/>
    </row>
    <row r="268" spans="2:3" ht="13">
      <c r="B268" s="38"/>
      <c r="C268" s="38"/>
    </row>
    <row r="269" spans="2:3" ht="13">
      <c r="B269" s="38"/>
      <c r="C269" s="38"/>
    </row>
    <row r="270" spans="2:3" ht="13">
      <c r="B270" s="38"/>
      <c r="C270" s="38"/>
    </row>
    <row r="271" spans="2:3" ht="13">
      <c r="B271" s="38"/>
      <c r="C271" s="38"/>
    </row>
    <row r="272" spans="2:3" ht="13">
      <c r="B272" s="38"/>
      <c r="C272" s="38"/>
    </row>
    <row r="273" spans="2:3" ht="13">
      <c r="B273" s="38"/>
      <c r="C273" s="38"/>
    </row>
    <row r="274" spans="2:3" ht="13">
      <c r="B274" s="38"/>
      <c r="C274" s="38"/>
    </row>
    <row r="275" spans="2:3" ht="13">
      <c r="B275" s="38"/>
      <c r="C275" s="38"/>
    </row>
    <row r="276" spans="2:3" ht="13">
      <c r="B276" s="38"/>
      <c r="C276" s="38"/>
    </row>
    <row r="277" spans="2:3" ht="13">
      <c r="B277" s="38"/>
      <c r="C277" s="38"/>
    </row>
    <row r="278" spans="2:3" ht="13">
      <c r="B278" s="38"/>
      <c r="C278" s="38"/>
    </row>
    <row r="279" spans="2:3" ht="13">
      <c r="B279" s="38"/>
      <c r="C279" s="38"/>
    </row>
    <row r="280" spans="2:3" ht="13">
      <c r="B280" s="38"/>
      <c r="C280" s="38"/>
    </row>
    <row r="281" spans="2:3" ht="13">
      <c r="B281" s="38"/>
      <c r="C281" s="38"/>
    </row>
    <row r="282" spans="2:3" ht="13">
      <c r="B282" s="38"/>
      <c r="C282" s="38"/>
    </row>
    <row r="283" spans="2:3" ht="13">
      <c r="B283" s="38"/>
      <c r="C283" s="38"/>
    </row>
    <row r="284" spans="2:3" ht="13">
      <c r="B284" s="38"/>
      <c r="C284" s="38"/>
    </row>
    <row r="285" spans="2:3" ht="13">
      <c r="B285" s="38"/>
      <c r="C285" s="38"/>
    </row>
    <row r="286" spans="2:3" ht="13">
      <c r="B286" s="38"/>
      <c r="C286" s="38"/>
    </row>
    <row r="287" spans="2:3" ht="13">
      <c r="B287" s="38"/>
      <c r="C287" s="38"/>
    </row>
    <row r="288" spans="2:3" ht="13">
      <c r="B288" s="38"/>
      <c r="C288" s="38"/>
    </row>
    <row r="289" spans="2:3" ht="13">
      <c r="B289" s="38"/>
      <c r="C289" s="38"/>
    </row>
    <row r="290" spans="2:3" ht="13">
      <c r="B290" s="38"/>
      <c r="C290" s="38"/>
    </row>
    <row r="291" spans="2:3" ht="13">
      <c r="B291" s="38"/>
      <c r="C291" s="38"/>
    </row>
    <row r="292" spans="2:3" ht="13">
      <c r="B292" s="38"/>
      <c r="C292" s="38"/>
    </row>
    <row r="293" spans="2:3" ht="13">
      <c r="B293" s="38"/>
      <c r="C293" s="38"/>
    </row>
    <row r="294" spans="2:3" ht="13">
      <c r="B294" s="38"/>
      <c r="C294" s="38"/>
    </row>
    <row r="295" spans="2:3" ht="13">
      <c r="B295" s="38"/>
      <c r="C295" s="38"/>
    </row>
    <row r="296" spans="2:3" ht="13">
      <c r="B296" s="38"/>
      <c r="C296" s="38"/>
    </row>
    <row r="297" spans="2:3" ht="13">
      <c r="B297" s="38"/>
      <c r="C297" s="38"/>
    </row>
    <row r="298" spans="2:3" ht="13">
      <c r="B298" s="38"/>
      <c r="C298" s="38"/>
    </row>
    <row r="299" spans="2:3" ht="13">
      <c r="B299" s="38"/>
      <c r="C299" s="38"/>
    </row>
    <row r="300" spans="2:3" ht="13">
      <c r="B300" s="38"/>
      <c r="C300" s="38"/>
    </row>
    <row r="301" spans="2:3" ht="13">
      <c r="B301" s="38"/>
      <c r="C301" s="38"/>
    </row>
    <row r="302" spans="2:3" ht="13">
      <c r="B302" s="38"/>
      <c r="C302" s="38"/>
    </row>
    <row r="303" spans="2:3" ht="13">
      <c r="B303" s="38"/>
      <c r="C303" s="38"/>
    </row>
    <row r="304" spans="2:3" ht="13">
      <c r="B304" s="38"/>
      <c r="C304" s="38"/>
    </row>
    <row r="305" spans="2:3" ht="13">
      <c r="B305" s="38"/>
      <c r="C305" s="38"/>
    </row>
    <row r="306" spans="2:3" ht="13">
      <c r="B306" s="38"/>
      <c r="C306" s="38"/>
    </row>
    <row r="307" spans="2:3" ht="13">
      <c r="B307" s="38"/>
      <c r="C307" s="38"/>
    </row>
    <row r="308" spans="2:3" ht="13">
      <c r="B308" s="38"/>
      <c r="C308" s="38"/>
    </row>
    <row r="309" spans="2:3" ht="13">
      <c r="B309" s="38"/>
      <c r="C309" s="38"/>
    </row>
    <row r="310" spans="2:3" ht="13">
      <c r="B310" s="38"/>
      <c r="C310" s="38"/>
    </row>
    <row r="311" spans="2:3" ht="13">
      <c r="B311" s="38"/>
      <c r="C311" s="38"/>
    </row>
    <row r="312" spans="2:3" ht="13">
      <c r="B312" s="38"/>
      <c r="C312" s="38"/>
    </row>
    <row r="313" spans="2:3" ht="13">
      <c r="B313" s="38"/>
      <c r="C313" s="38"/>
    </row>
    <row r="314" spans="2:3" ht="13">
      <c r="B314" s="38"/>
      <c r="C314" s="38"/>
    </row>
    <row r="315" spans="2:3" ht="13">
      <c r="B315" s="38"/>
      <c r="C315" s="38"/>
    </row>
    <row r="316" spans="2:3" ht="13">
      <c r="B316" s="38"/>
      <c r="C316" s="38"/>
    </row>
    <row r="317" spans="2:3" ht="13">
      <c r="B317" s="38"/>
      <c r="C317" s="38"/>
    </row>
    <row r="318" spans="2:3" ht="13">
      <c r="B318" s="38"/>
      <c r="C318" s="38"/>
    </row>
    <row r="319" spans="2:3" ht="13">
      <c r="B319" s="38"/>
      <c r="C319" s="38"/>
    </row>
    <row r="320" spans="2:3" ht="13">
      <c r="B320" s="38"/>
      <c r="C320" s="38"/>
    </row>
    <row r="321" spans="2:3" ht="13">
      <c r="B321" s="38"/>
      <c r="C321" s="38"/>
    </row>
    <row r="322" spans="2:3" ht="13">
      <c r="B322" s="38"/>
      <c r="C322" s="38"/>
    </row>
    <row r="323" spans="2:3" ht="13">
      <c r="B323" s="38"/>
      <c r="C323" s="38"/>
    </row>
    <row r="324" spans="2:3" ht="13">
      <c r="B324" s="38"/>
      <c r="C324" s="38"/>
    </row>
    <row r="325" spans="2:3" ht="13">
      <c r="B325" s="38"/>
      <c r="C325" s="38"/>
    </row>
    <row r="326" spans="2:3" ht="13">
      <c r="B326" s="38"/>
      <c r="C326" s="38"/>
    </row>
    <row r="327" spans="2:3" ht="13">
      <c r="B327" s="38"/>
      <c r="C327" s="38"/>
    </row>
    <row r="328" spans="2:3" ht="13">
      <c r="B328" s="38"/>
      <c r="C328" s="38"/>
    </row>
    <row r="329" spans="2:3" ht="13">
      <c r="B329" s="38"/>
      <c r="C329" s="38"/>
    </row>
    <row r="330" spans="2:3" ht="13">
      <c r="B330" s="38"/>
      <c r="C330" s="38"/>
    </row>
    <row r="331" spans="2:3" ht="13">
      <c r="B331" s="38"/>
      <c r="C331" s="38"/>
    </row>
    <row r="332" spans="2:3" ht="13">
      <c r="B332" s="38"/>
      <c r="C332" s="38"/>
    </row>
    <row r="333" spans="2:3" ht="13">
      <c r="B333" s="38"/>
      <c r="C333" s="38"/>
    </row>
    <row r="334" spans="2:3" ht="13">
      <c r="B334" s="38"/>
      <c r="C334" s="38"/>
    </row>
    <row r="335" spans="2:3" ht="13">
      <c r="B335" s="38"/>
      <c r="C335" s="38"/>
    </row>
    <row r="336" spans="2:3" ht="13">
      <c r="B336" s="38"/>
      <c r="C336" s="38"/>
    </row>
    <row r="337" spans="2:3" ht="13">
      <c r="B337" s="38"/>
      <c r="C337" s="38"/>
    </row>
    <row r="338" spans="2:3" ht="13">
      <c r="B338" s="38"/>
      <c r="C338" s="38"/>
    </row>
    <row r="339" spans="2:3" ht="13">
      <c r="B339" s="38"/>
      <c r="C339" s="38"/>
    </row>
    <row r="340" spans="2:3" ht="13">
      <c r="B340" s="38"/>
      <c r="C340" s="38"/>
    </row>
    <row r="341" spans="2:3" ht="13">
      <c r="B341" s="38"/>
      <c r="C341" s="38"/>
    </row>
    <row r="342" spans="2:3" ht="13">
      <c r="B342" s="38"/>
      <c r="C342" s="38"/>
    </row>
    <row r="343" spans="2:3" ht="13">
      <c r="B343" s="38"/>
      <c r="C343" s="38"/>
    </row>
    <row r="344" spans="2:3" ht="13">
      <c r="B344" s="38"/>
      <c r="C344" s="38"/>
    </row>
    <row r="345" spans="2:3" ht="13">
      <c r="B345" s="38"/>
      <c r="C345" s="38"/>
    </row>
    <row r="346" spans="2:3" ht="13">
      <c r="B346" s="38"/>
      <c r="C346" s="38"/>
    </row>
    <row r="347" spans="2:3" ht="13">
      <c r="B347" s="38"/>
      <c r="C347" s="38"/>
    </row>
    <row r="348" spans="2:3" ht="13">
      <c r="B348" s="38"/>
      <c r="C348" s="38"/>
    </row>
    <row r="349" spans="2:3" ht="13">
      <c r="B349" s="38"/>
      <c r="C349" s="38"/>
    </row>
    <row r="350" spans="2:3" ht="13">
      <c r="B350" s="38"/>
      <c r="C350" s="38"/>
    </row>
    <row r="351" spans="2:3" ht="13">
      <c r="B351" s="38"/>
      <c r="C351" s="38"/>
    </row>
    <row r="352" spans="2:3" ht="13">
      <c r="B352" s="38"/>
      <c r="C352" s="38"/>
    </row>
    <row r="353" spans="2:3" ht="13">
      <c r="B353" s="38"/>
      <c r="C353" s="38"/>
    </row>
    <row r="354" spans="2:3" ht="13">
      <c r="B354" s="38"/>
      <c r="C354" s="38"/>
    </row>
    <row r="355" spans="2:3" ht="13">
      <c r="B355" s="38"/>
      <c r="C355" s="38"/>
    </row>
    <row r="356" spans="2:3" ht="13">
      <c r="B356" s="38"/>
      <c r="C356" s="38"/>
    </row>
    <row r="357" spans="2:3" ht="13">
      <c r="B357" s="38"/>
      <c r="C357" s="38"/>
    </row>
    <row r="358" spans="2:3" ht="13">
      <c r="B358" s="38"/>
      <c r="C358" s="38"/>
    </row>
    <row r="359" spans="2:3" ht="13">
      <c r="B359" s="38"/>
      <c r="C359" s="38"/>
    </row>
    <row r="360" spans="2:3" ht="13">
      <c r="B360" s="38"/>
      <c r="C360" s="38"/>
    </row>
    <row r="361" spans="2:3" ht="13">
      <c r="B361" s="38"/>
      <c r="C361" s="38"/>
    </row>
    <row r="362" spans="2:3" ht="13">
      <c r="B362" s="38"/>
      <c r="C362" s="38"/>
    </row>
    <row r="363" spans="2:3" ht="13">
      <c r="B363" s="38"/>
      <c r="C363" s="38"/>
    </row>
    <row r="364" spans="2:3" ht="13">
      <c r="B364" s="38"/>
      <c r="C364" s="38"/>
    </row>
    <row r="365" spans="2:3" ht="13">
      <c r="B365" s="38"/>
      <c r="C365" s="38"/>
    </row>
    <row r="366" spans="2:3" ht="13">
      <c r="B366" s="38"/>
      <c r="C366" s="38"/>
    </row>
    <row r="367" spans="2:3" ht="13">
      <c r="B367" s="38"/>
      <c r="C367" s="38"/>
    </row>
    <row r="368" spans="2:3" ht="13">
      <c r="B368" s="38"/>
      <c r="C368" s="38"/>
    </row>
    <row r="369" spans="2:3" ht="13">
      <c r="B369" s="38"/>
      <c r="C369" s="38"/>
    </row>
    <row r="370" spans="2:3" ht="13">
      <c r="B370" s="38"/>
      <c r="C370" s="38"/>
    </row>
    <row r="371" spans="2:3" ht="13">
      <c r="B371" s="38"/>
      <c r="C371" s="38"/>
    </row>
    <row r="372" spans="2:3" ht="13">
      <c r="B372" s="38"/>
      <c r="C372" s="38"/>
    </row>
    <row r="373" spans="2:3" ht="13">
      <c r="B373" s="38"/>
      <c r="C373" s="38"/>
    </row>
    <row r="374" spans="2:3" ht="13">
      <c r="B374" s="38"/>
      <c r="C374" s="38"/>
    </row>
    <row r="375" spans="2:3" ht="13">
      <c r="B375" s="38"/>
      <c r="C375" s="38"/>
    </row>
    <row r="376" spans="2:3" ht="13">
      <c r="B376" s="38"/>
      <c r="C376" s="38"/>
    </row>
    <row r="377" spans="2:3" ht="13">
      <c r="B377" s="38"/>
      <c r="C377" s="38"/>
    </row>
    <row r="378" spans="2:3" ht="13">
      <c r="B378" s="38"/>
      <c r="C378" s="38"/>
    </row>
    <row r="379" spans="2:3" ht="13">
      <c r="B379" s="38"/>
      <c r="C379" s="38"/>
    </row>
    <row r="380" spans="2:3" ht="13">
      <c r="B380" s="38"/>
      <c r="C380" s="38"/>
    </row>
    <row r="381" spans="2:3" ht="13">
      <c r="B381" s="38"/>
      <c r="C381" s="38"/>
    </row>
    <row r="382" spans="2:3" ht="13">
      <c r="B382" s="38"/>
      <c r="C382" s="38"/>
    </row>
    <row r="383" spans="2:3" ht="13">
      <c r="B383" s="38"/>
      <c r="C383" s="38"/>
    </row>
    <row r="384" spans="2:3" ht="13">
      <c r="B384" s="38"/>
      <c r="C384" s="38"/>
    </row>
    <row r="385" spans="2:3" ht="13">
      <c r="B385" s="38"/>
      <c r="C385" s="38"/>
    </row>
    <row r="386" spans="2:3" ht="13">
      <c r="B386" s="38"/>
      <c r="C386" s="38"/>
    </row>
    <row r="387" spans="2:3" ht="13">
      <c r="B387" s="38"/>
      <c r="C387" s="38"/>
    </row>
    <row r="388" spans="2:3" ht="13">
      <c r="B388" s="38"/>
      <c r="C388" s="38"/>
    </row>
    <row r="389" spans="2:3" ht="13">
      <c r="B389" s="38"/>
      <c r="C389" s="38"/>
    </row>
    <row r="390" spans="2:3" ht="13">
      <c r="B390" s="38"/>
      <c r="C390" s="38"/>
    </row>
    <row r="391" spans="2:3" ht="13">
      <c r="B391" s="38"/>
      <c r="C391" s="38"/>
    </row>
    <row r="392" spans="2:3" ht="13">
      <c r="B392" s="38"/>
      <c r="C392" s="38"/>
    </row>
    <row r="393" spans="2:3" ht="13">
      <c r="B393" s="38"/>
      <c r="C393" s="38"/>
    </row>
    <row r="394" spans="2:3" ht="13">
      <c r="B394" s="38"/>
      <c r="C394" s="38"/>
    </row>
    <row r="395" spans="2:3" ht="13">
      <c r="B395" s="38"/>
      <c r="C395" s="38"/>
    </row>
    <row r="396" spans="2:3" ht="13">
      <c r="B396" s="38"/>
      <c r="C396" s="38"/>
    </row>
    <row r="397" spans="2:3" ht="13">
      <c r="B397" s="38"/>
      <c r="C397" s="38"/>
    </row>
    <row r="398" spans="2:3" ht="13">
      <c r="B398" s="38"/>
      <c r="C398" s="38"/>
    </row>
    <row r="399" spans="2:3" ht="13">
      <c r="B399" s="38"/>
      <c r="C399" s="38"/>
    </row>
    <row r="400" spans="2:3" ht="13">
      <c r="B400" s="38"/>
      <c r="C400" s="38"/>
    </row>
    <row r="401" spans="2:3" ht="13">
      <c r="B401" s="38"/>
      <c r="C401" s="38"/>
    </row>
    <row r="402" spans="2:3" ht="13">
      <c r="B402" s="38"/>
      <c r="C402" s="38"/>
    </row>
    <row r="403" spans="2:3" ht="13">
      <c r="B403" s="38"/>
      <c r="C403" s="38"/>
    </row>
    <row r="404" spans="2:3" ht="13">
      <c r="B404" s="38"/>
      <c r="C404" s="38"/>
    </row>
    <row r="405" spans="2:3" ht="13">
      <c r="B405" s="38"/>
      <c r="C405" s="38"/>
    </row>
    <row r="406" spans="2:3" ht="13">
      <c r="B406" s="38"/>
      <c r="C406" s="38"/>
    </row>
    <row r="407" spans="2:3" ht="13">
      <c r="B407" s="38"/>
      <c r="C407" s="38"/>
    </row>
    <row r="408" spans="2:3" ht="13">
      <c r="B408" s="38"/>
      <c r="C408" s="38"/>
    </row>
    <row r="409" spans="2:3" ht="13">
      <c r="B409" s="38"/>
      <c r="C409" s="38"/>
    </row>
    <row r="410" spans="2:3" ht="13">
      <c r="B410" s="38"/>
      <c r="C410" s="38"/>
    </row>
    <row r="411" spans="2:3" ht="13">
      <c r="B411" s="38"/>
      <c r="C411" s="38"/>
    </row>
    <row r="412" spans="2:3" ht="13">
      <c r="B412" s="38"/>
      <c r="C412" s="38"/>
    </row>
    <row r="413" spans="2:3" ht="13">
      <c r="B413" s="38"/>
      <c r="C413" s="38"/>
    </row>
    <row r="414" spans="2:3" ht="13">
      <c r="B414" s="38"/>
      <c r="C414" s="38"/>
    </row>
    <row r="415" spans="2:3" ht="13">
      <c r="B415" s="38"/>
      <c r="C415" s="38"/>
    </row>
    <row r="416" spans="2:3" ht="13">
      <c r="B416" s="38"/>
      <c r="C416" s="38"/>
    </row>
    <row r="417" spans="2:3" ht="13">
      <c r="B417" s="38"/>
      <c r="C417" s="38"/>
    </row>
    <row r="418" spans="2:3" ht="13">
      <c r="B418" s="38"/>
      <c r="C418" s="38"/>
    </row>
    <row r="419" spans="2:3" ht="13">
      <c r="B419" s="38"/>
      <c r="C419" s="38"/>
    </row>
    <row r="420" spans="2:3" ht="13">
      <c r="B420" s="38"/>
      <c r="C420" s="38"/>
    </row>
    <row r="421" spans="2:3" ht="13">
      <c r="B421" s="38"/>
      <c r="C421" s="38"/>
    </row>
    <row r="422" spans="2:3" ht="13">
      <c r="B422" s="38"/>
      <c r="C422" s="38"/>
    </row>
    <row r="423" spans="2:3" ht="13">
      <c r="B423" s="38"/>
      <c r="C423" s="38"/>
    </row>
    <row r="424" spans="2:3" ht="13">
      <c r="B424" s="38"/>
      <c r="C424" s="38"/>
    </row>
    <row r="425" spans="2:3" ht="13">
      <c r="B425" s="38"/>
      <c r="C425" s="38"/>
    </row>
    <row r="426" spans="2:3" ht="13">
      <c r="B426" s="38"/>
      <c r="C426" s="38"/>
    </row>
    <row r="427" spans="2:3" ht="13">
      <c r="B427" s="38"/>
      <c r="C427" s="38"/>
    </row>
    <row r="428" spans="2:3" ht="13">
      <c r="B428" s="38"/>
      <c r="C428" s="38"/>
    </row>
    <row r="429" spans="2:3" ht="13">
      <c r="B429" s="38"/>
      <c r="C429" s="38"/>
    </row>
    <row r="430" spans="2:3" ht="13">
      <c r="B430" s="38"/>
      <c r="C430" s="38"/>
    </row>
    <row r="431" spans="2:3" ht="13">
      <c r="B431" s="38"/>
      <c r="C431" s="38"/>
    </row>
    <row r="432" spans="2:3" ht="13">
      <c r="B432" s="38"/>
      <c r="C432" s="38"/>
    </row>
    <row r="433" spans="2:3" ht="13">
      <c r="B433" s="38"/>
      <c r="C433" s="38"/>
    </row>
    <row r="434" spans="2:3" ht="13">
      <c r="B434" s="38"/>
      <c r="C434" s="38"/>
    </row>
    <row r="435" spans="2:3" ht="13">
      <c r="B435" s="38"/>
      <c r="C435" s="38"/>
    </row>
    <row r="436" spans="2:3" ht="13">
      <c r="B436" s="38"/>
      <c r="C436" s="38"/>
    </row>
    <row r="437" spans="2:3" ht="13">
      <c r="B437" s="38"/>
      <c r="C437" s="38"/>
    </row>
    <row r="438" spans="2:3" ht="13">
      <c r="B438" s="38"/>
      <c r="C438" s="38"/>
    </row>
    <row r="439" spans="2:3" ht="13">
      <c r="B439" s="38"/>
      <c r="C439" s="38"/>
    </row>
    <row r="440" spans="2:3" ht="13">
      <c r="B440" s="38"/>
      <c r="C440" s="38"/>
    </row>
    <row r="441" spans="2:3" ht="13">
      <c r="B441" s="38"/>
      <c r="C441" s="38"/>
    </row>
    <row r="442" spans="2:3" ht="13">
      <c r="B442" s="38"/>
      <c r="C442" s="38"/>
    </row>
    <row r="443" spans="2:3" ht="13">
      <c r="B443" s="38"/>
      <c r="C443" s="38"/>
    </row>
    <row r="444" spans="2:3" ht="13">
      <c r="B444" s="38"/>
      <c r="C444" s="38"/>
    </row>
    <row r="445" spans="2:3" ht="13">
      <c r="B445" s="38"/>
      <c r="C445" s="38"/>
    </row>
    <row r="446" spans="2:3" ht="13">
      <c r="B446" s="38"/>
      <c r="C446" s="38"/>
    </row>
    <row r="447" spans="2:3" ht="13">
      <c r="B447" s="38"/>
      <c r="C447" s="38"/>
    </row>
    <row r="448" spans="2:3" ht="13">
      <c r="B448" s="38"/>
      <c r="C448" s="38"/>
    </row>
    <row r="449" spans="2:3" ht="13">
      <c r="B449" s="38"/>
      <c r="C449" s="38"/>
    </row>
    <row r="450" spans="2:3" ht="13">
      <c r="B450" s="38"/>
      <c r="C450" s="38"/>
    </row>
    <row r="451" spans="2:3" ht="13">
      <c r="B451" s="38"/>
      <c r="C451" s="38"/>
    </row>
    <row r="452" spans="2:3" ht="13">
      <c r="B452" s="38"/>
      <c r="C452" s="38"/>
    </row>
    <row r="453" spans="2:3" ht="13">
      <c r="B453" s="38"/>
      <c r="C453" s="38"/>
    </row>
    <row r="454" spans="2:3" ht="13">
      <c r="B454" s="38"/>
      <c r="C454" s="38"/>
    </row>
    <row r="455" spans="2:3" ht="13">
      <c r="B455" s="38"/>
      <c r="C455" s="38"/>
    </row>
    <row r="456" spans="2:3" ht="13">
      <c r="B456" s="38"/>
      <c r="C456" s="38"/>
    </row>
    <row r="457" spans="2:3" ht="13">
      <c r="B457" s="38"/>
      <c r="C457" s="38"/>
    </row>
    <row r="458" spans="2:3" ht="13">
      <c r="B458" s="38"/>
      <c r="C458" s="38"/>
    </row>
    <row r="459" spans="2:3" ht="13">
      <c r="B459" s="38"/>
      <c r="C459" s="38"/>
    </row>
    <row r="460" spans="2:3" ht="13">
      <c r="B460" s="38"/>
      <c r="C460" s="38"/>
    </row>
    <row r="461" spans="2:3" ht="13">
      <c r="B461" s="38"/>
      <c r="C461" s="38"/>
    </row>
    <row r="462" spans="2:3" ht="13">
      <c r="B462" s="38"/>
      <c r="C462" s="38"/>
    </row>
    <row r="463" spans="2:3" ht="13">
      <c r="B463" s="38"/>
      <c r="C463" s="38"/>
    </row>
    <row r="464" spans="2:3" ht="13">
      <c r="B464" s="38"/>
      <c r="C464" s="38"/>
    </row>
    <row r="465" spans="2:3" ht="13">
      <c r="B465" s="38"/>
      <c r="C465" s="38"/>
    </row>
    <row r="466" spans="2:3" ht="13">
      <c r="B466" s="38"/>
      <c r="C466" s="38"/>
    </row>
    <row r="467" spans="2:3" ht="13">
      <c r="B467" s="38"/>
      <c r="C467" s="38"/>
    </row>
    <row r="468" spans="2:3" ht="13">
      <c r="B468" s="38"/>
      <c r="C468" s="38"/>
    </row>
    <row r="469" spans="2:3" ht="13">
      <c r="B469" s="38"/>
      <c r="C469" s="38"/>
    </row>
    <row r="470" spans="2:3" ht="13">
      <c r="B470" s="38"/>
      <c r="C470" s="38"/>
    </row>
    <row r="471" spans="2:3" ht="13">
      <c r="B471" s="38"/>
      <c r="C471" s="38"/>
    </row>
    <row r="472" spans="2:3" ht="13">
      <c r="B472" s="38"/>
      <c r="C472" s="38"/>
    </row>
    <row r="473" spans="2:3" ht="13">
      <c r="B473" s="38"/>
      <c r="C473" s="38"/>
    </row>
    <row r="474" spans="2:3" ht="13">
      <c r="B474" s="38"/>
      <c r="C474" s="38"/>
    </row>
    <row r="475" spans="2:3" ht="13">
      <c r="B475" s="38"/>
      <c r="C475" s="38"/>
    </row>
    <row r="476" spans="2:3" ht="13">
      <c r="B476" s="38"/>
      <c r="C476" s="38"/>
    </row>
    <row r="477" spans="2:3" ht="13">
      <c r="B477" s="38"/>
      <c r="C477" s="38"/>
    </row>
    <row r="478" spans="2:3" ht="13">
      <c r="B478" s="38"/>
      <c r="C478" s="38"/>
    </row>
    <row r="479" spans="2:3" ht="13">
      <c r="B479" s="38"/>
      <c r="C479" s="38"/>
    </row>
    <row r="480" spans="2:3" ht="13">
      <c r="B480" s="38"/>
      <c r="C480" s="38"/>
    </row>
    <row r="481" spans="2:3" ht="13">
      <c r="B481" s="38"/>
      <c r="C481" s="38"/>
    </row>
    <row r="482" spans="2:3" ht="13">
      <c r="B482" s="38"/>
      <c r="C482" s="38"/>
    </row>
    <row r="483" spans="2:3" ht="13">
      <c r="B483" s="38"/>
      <c r="C483" s="38"/>
    </row>
    <row r="484" spans="2:3" ht="13">
      <c r="B484" s="38"/>
      <c r="C484" s="38"/>
    </row>
    <row r="485" spans="2:3" ht="13">
      <c r="B485" s="38"/>
      <c r="C485" s="38"/>
    </row>
    <row r="486" spans="2:3" ht="13">
      <c r="B486" s="38"/>
      <c r="C486" s="38"/>
    </row>
    <row r="487" spans="2:3" ht="13">
      <c r="B487" s="38"/>
      <c r="C487" s="38"/>
    </row>
    <row r="488" spans="2:3" ht="13">
      <c r="B488" s="38"/>
      <c r="C488" s="38"/>
    </row>
    <row r="489" spans="2:3" ht="13">
      <c r="B489" s="38"/>
      <c r="C489" s="38"/>
    </row>
    <row r="490" spans="2:3" ht="13">
      <c r="B490" s="38"/>
      <c r="C490" s="38"/>
    </row>
    <row r="491" spans="2:3" ht="13">
      <c r="B491" s="38"/>
      <c r="C491" s="38"/>
    </row>
    <row r="492" spans="2:3" ht="13">
      <c r="B492" s="38"/>
      <c r="C492" s="38"/>
    </row>
    <row r="493" spans="2:3" ht="13">
      <c r="B493" s="38"/>
      <c r="C493" s="38"/>
    </row>
    <row r="494" spans="2:3" ht="13">
      <c r="B494" s="38"/>
      <c r="C494" s="38"/>
    </row>
    <row r="495" spans="2:3" ht="13">
      <c r="B495" s="38"/>
      <c r="C495" s="38"/>
    </row>
    <row r="496" spans="2:3" ht="13">
      <c r="B496" s="38"/>
      <c r="C496" s="38"/>
    </row>
    <row r="497" spans="2:3" ht="13">
      <c r="B497" s="38"/>
      <c r="C497" s="38"/>
    </row>
    <row r="498" spans="2:3" ht="13">
      <c r="B498" s="38"/>
      <c r="C498" s="38"/>
    </row>
    <row r="499" spans="2:3" ht="13">
      <c r="B499" s="38"/>
      <c r="C499" s="38"/>
    </row>
    <row r="500" spans="2:3" ht="13">
      <c r="B500" s="38"/>
      <c r="C500" s="38"/>
    </row>
    <row r="501" spans="2:3" ht="13">
      <c r="B501" s="38"/>
      <c r="C501" s="38"/>
    </row>
    <row r="502" spans="2:3" ht="13">
      <c r="B502" s="38"/>
      <c r="C502" s="38"/>
    </row>
    <row r="503" spans="2:3" ht="13">
      <c r="B503" s="38"/>
      <c r="C503" s="38"/>
    </row>
    <row r="504" spans="2:3" ht="13">
      <c r="B504" s="38"/>
      <c r="C504" s="38"/>
    </row>
    <row r="505" spans="2:3" ht="13">
      <c r="B505" s="38"/>
      <c r="C505" s="38"/>
    </row>
    <row r="506" spans="2:3" ht="13">
      <c r="B506" s="38"/>
      <c r="C506" s="38"/>
    </row>
    <row r="507" spans="2:3" ht="13">
      <c r="B507" s="38"/>
      <c r="C507" s="38"/>
    </row>
    <row r="508" spans="2:3" ht="13">
      <c r="B508" s="38"/>
      <c r="C508" s="38"/>
    </row>
    <row r="509" spans="2:3" ht="13">
      <c r="B509" s="38"/>
      <c r="C509" s="38"/>
    </row>
    <row r="510" spans="2:3" ht="13">
      <c r="B510" s="38"/>
      <c r="C510" s="38"/>
    </row>
    <row r="511" spans="2:3" ht="13">
      <c r="B511" s="38"/>
      <c r="C511" s="38"/>
    </row>
    <row r="512" spans="2:3" ht="13">
      <c r="B512" s="38"/>
      <c r="C512" s="38"/>
    </row>
    <row r="513" spans="2:3" ht="13">
      <c r="B513" s="38"/>
      <c r="C513" s="38"/>
    </row>
    <row r="514" spans="2:3" ht="13">
      <c r="B514" s="38"/>
      <c r="C514" s="38"/>
    </row>
    <row r="515" spans="2:3" ht="13">
      <c r="B515" s="38"/>
      <c r="C515" s="38"/>
    </row>
    <row r="516" spans="2:3" ht="13">
      <c r="B516" s="38"/>
      <c r="C516" s="38"/>
    </row>
    <row r="517" spans="2:3" ht="13">
      <c r="B517" s="38"/>
      <c r="C517" s="38"/>
    </row>
    <row r="518" spans="2:3" ht="13">
      <c r="B518" s="38"/>
      <c r="C518" s="38"/>
    </row>
    <row r="519" spans="2:3" ht="13">
      <c r="B519" s="38"/>
      <c r="C519" s="38"/>
    </row>
    <row r="520" spans="2:3" ht="13">
      <c r="B520" s="38"/>
      <c r="C520" s="38"/>
    </row>
    <row r="521" spans="2:3" ht="13">
      <c r="B521" s="38"/>
      <c r="C521" s="38"/>
    </row>
    <row r="522" spans="2:3" ht="13">
      <c r="B522" s="38"/>
      <c r="C522" s="38"/>
    </row>
    <row r="523" spans="2:3" ht="13">
      <c r="B523" s="38"/>
      <c r="C523" s="38"/>
    </row>
    <row r="524" spans="2:3" ht="13">
      <c r="B524" s="38"/>
      <c r="C524" s="38"/>
    </row>
    <row r="525" spans="2:3" ht="13">
      <c r="B525" s="38"/>
      <c r="C525" s="38"/>
    </row>
    <row r="526" spans="2:3" ht="13">
      <c r="B526" s="38"/>
      <c r="C526" s="38"/>
    </row>
    <row r="527" spans="2:3" ht="13">
      <c r="B527" s="38"/>
      <c r="C527" s="38"/>
    </row>
    <row r="528" spans="2:3" ht="13">
      <c r="B528" s="38"/>
      <c r="C528" s="38"/>
    </row>
    <row r="529" spans="2:3" ht="13">
      <c r="B529" s="38"/>
      <c r="C529" s="38"/>
    </row>
    <row r="530" spans="2:3" ht="13">
      <c r="B530" s="38"/>
      <c r="C530" s="38"/>
    </row>
    <row r="531" spans="2:3" ht="13">
      <c r="B531" s="38"/>
      <c r="C531" s="38"/>
    </row>
    <row r="532" spans="2:3" ht="13">
      <c r="B532" s="38"/>
      <c r="C532" s="38"/>
    </row>
    <row r="533" spans="2:3" ht="13">
      <c r="B533" s="38"/>
      <c r="C533" s="38"/>
    </row>
    <row r="534" spans="2:3" ht="13">
      <c r="B534" s="38"/>
      <c r="C534" s="38"/>
    </row>
    <row r="535" spans="2:3" ht="13">
      <c r="B535" s="38"/>
      <c r="C535" s="38"/>
    </row>
    <row r="536" spans="2:3" ht="13">
      <c r="B536" s="38"/>
      <c r="C536" s="38"/>
    </row>
    <row r="537" spans="2:3" ht="13">
      <c r="B537" s="38"/>
      <c r="C537" s="38"/>
    </row>
    <row r="538" spans="2:3" ht="13">
      <c r="B538" s="38"/>
      <c r="C538" s="38"/>
    </row>
    <row r="539" spans="2:3" ht="13">
      <c r="B539" s="38"/>
      <c r="C539" s="38"/>
    </row>
    <row r="540" spans="2:3" ht="13">
      <c r="B540" s="38"/>
      <c r="C540" s="38"/>
    </row>
    <row r="541" spans="2:3" ht="13">
      <c r="B541" s="38"/>
      <c r="C541" s="38"/>
    </row>
    <row r="542" spans="2:3" ht="13">
      <c r="B542" s="38"/>
      <c r="C542" s="38"/>
    </row>
    <row r="543" spans="2:3" ht="13">
      <c r="B543" s="38"/>
      <c r="C543" s="38"/>
    </row>
    <row r="544" spans="2:3" ht="13">
      <c r="B544" s="38"/>
      <c r="C544" s="38"/>
    </row>
    <row r="545" spans="2:3" ht="13">
      <c r="B545" s="38"/>
      <c r="C545" s="38"/>
    </row>
    <row r="546" spans="2:3" ht="13">
      <c r="B546" s="38"/>
      <c r="C546" s="38"/>
    </row>
    <row r="547" spans="2:3" ht="13">
      <c r="B547" s="38"/>
      <c r="C547" s="38"/>
    </row>
    <row r="548" spans="2:3" ht="13">
      <c r="B548" s="38"/>
      <c r="C548" s="38"/>
    </row>
    <row r="549" spans="2:3" ht="13">
      <c r="B549" s="38"/>
      <c r="C549" s="38"/>
    </row>
    <row r="550" spans="2:3" ht="13">
      <c r="B550" s="38"/>
      <c r="C550" s="38"/>
    </row>
    <row r="551" spans="2:3" ht="13">
      <c r="B551" s="38"/>
      <c r="C551" s="38"/>
    </row>
    <row r="552" spans="2:3" ht="13">
      <c r="B552" s="38"/>
      <c r="C552" s="38"/>
    </row>
    <row r="553" spans="2:3" ht="13">
      <c r="B553" s="38"/>
      <c r="C553" s="38"/>
    </row>
    <row r="554" spans="2:3" ht="13">
      <c r="B554" s="38"/>
      <c r="C554" s="38"/>
    </row>
    <row r="555" spans="2:3" ht="13">
      <c r="B555" s="38"/>
      <c r="C555" s="38"/>
    </row>
    <row r="556" spans="2:3" ht="13">
      <c r="B556" s="38"/>
      <c r="C556" s="38"/>
    </row>
    <row r="557" spans="2:3" ht="13">
      <c r="B557" s="38"/>
      <c r="C557" s="38"/>
    </row>
    <row r="558" spans="2:3" ht="13">
      <c r="B558" s="38"/>
      <c r="C558" s="38"/>
    </row>
    <row r="559" spans="2:3" ht="13">
      <c r="B559" s="38"/>
      <c r="C559" s="38"/>
    </row>
    <row r="560" spans="2:3" ht="13">
      <c r="B560" s="38"/>
      <c r="C560" s="38"/>
    </row>
    <row r="561" spans="2:3" ht="13">
      <c r="B561" s="38"/>
      <c r="C561" s="38"/>
    </row>
    <row r="562" spans="2:3" ht="13">
      <c r="B562" s="38"/>
      <c r="C562" s="38"/>
    </row>
    <row r="563" spans="2:3" ht="13">
      <c r="B563" s="38"/>
      <c r="C563" s="38"/>
    </row>
    <row r="564" spans="2:3" ht="13">
      <c r="B564" s="38"/>
      <c r="C564" s="38"/>
    </row>
    <row r="565" spans="2:3" ht="13">
      <c r="B565" s="38"/>
      <c r="C565" s="38"/>
    </row>
    <row r="566" spans="2:3" ht="13">
      <c r="B566" s="38"/>
      <c r="C566" s="38"/>
    </row>
    <row r="567" spans="2:3" ht="13">
      <c r="B567" s="38"/>
      <c r="C567" s="38"/>
    </row>
    <row r="568" spans="2:3" ht="13">
      <c r="B568" s="38"/>
      <c r="C568" s="38"/>
    </row>
    <row r="569" spans="2:3" ht="13">
      <c r="B569" s="38"/>
      <c r="C569" s="38"/>
    </row>
    <row r="570" spans="2:3" ht="13">
      <c r="B570" s="38"/>
      <c r="C570" s="38"/>
    </row>
    <row r="571" spans="2:3" ht="13">
      <c r="B571" s="38"/>
      <c r="C571" s="38"/>
    </row>
    <row r="572" spans="2:3" ht="13">
      <c r="B572" s="38"/>
      <c r="C572" s="38"/>
    </row>
    <row r="573" spans="2:3" ht="13">
      <c r="B573" s="38"/>
      <c r="C573" s="38"/>
    </row>
    <row r="574" spans="2:3" ht="13">
      <c r="B574" s="38"/>
      <c r="C574" s="38"/>
    </row>
    <row r="575" spans="2:3" ht="13">
      <c r="B575" s="38"/>
      <c r="C575" s="38"/>
    </row>
    <row r="576" spans="2:3" ht="13">
      <c r="B576" s="38"/>
      <c r="C576" s="38"/>
    </row>
    <row r="577" spans="2:3" ht="13">
      <c r="B577" s="38"/>
      <c r="C577" s="38"/>
    </row>
    <row r="578" spans="2:3" ht="13">
      <c r="B578" s="38"/>
      <c r="C578" s="38"/>
    </row>
    <row r="579" spans="2:3" ht="13">
      <c r="B579" s="38"/>
      <c r="C579" s="38"/>
    </row>
    <row r="580" spans="2:3" ht="13">
      <c r="B580" s="38"/>
      <c r="C580" s="38"/>
    </row>
    <row r="581" spans="2:3" ht="13">
      <c r="B581" s="38"/>
      <c r="C581" s="38"/>
    </row>
    <row r="582" spans="2:3" ht="13">
      <c r="B582" s="38"/>
      <c r="C582" s="38"/>
    </row>
    <row r="583" spans="2:3" ht="13">
      <c r="B583" s="38"/>
      <c r="C583" s="38"/>
    </row>
    <row r="584" spans="2:3" ht="13">
      <c r="B584" s="38"/>
      <c r="C584" s="38"/>
    </row>
    <row r="585" spans="2:3" ht="13">
      <c r="B585" s="38"/>
      <c r="C585" s="38"/>
    </row>
    <row r="586" spans="2:3" ht="13">
      <c r="B586" s="38"/>
      <c r="C586" s="38"/>
    </row>
    <row r="587" spans="2:3" ht="13">
      <c r="B587" s="38"/>
      <c r="C587" s="38"/>
    </row>
    <row r="588" spans="2:3" ht="13">
      <c r="B588" s="38"/>
      <c r="C588" s="38"/>
    </row>
    <row r="589" spans="2:3" ht="13">
      <c r="B589" s="38"/>
      <c r="C589" s="38"/>
    </row>
    <row r="590" spans="2:3" ht="13">
      <c r="B590" s="38"/>
      <c r="C590" s="38"/>
    </row>
    <row r="591" spans="2:3" ht="13">
      <c r="B591" s="38"/>
      <c r="C591" s="38"/>
    </row>
    <row r="592" spans="2:3" ht="13">
      <c r="B592" s="38"/>
      <c r="C592" s="38"/>
    </row>
    <row r="593" spans="2:3" ht="13">
      <c r="B593" s="38"/>
      <c r="C593" s="38"/>
    </row>
    <row r="594" spans="2:3" ht="13">
      <c r="B594" s="38"/>
      <c r="C594" s="38"/>
    </row>
    <row r="595" spans="2:3" ht="13">
      <c r="B595" s="38"/>
      <c r="C595" s="38"/>
    </row>
    <row r="596" spans="2:3" ht="13">
      <c r="B596" s="38"/>
      <c r="C596" s="38"/>
    </row>
    <row r="597" spans="2:3" ht="13">
      <c r="B597" s="38"/>
      <c r="C597" s="38"/>
    </row>
    <row r="598" spans="2:3" ht="13">
      <c r="B598" s="38"/>
      <c r="C598" s="38"/>
    </row>
    <row r="599" spans="2:3" ht="13">
      <c r="B599" s="38"/>
      <c r="C599" s="38"/>
    </row>
    <row r="600" spans="2:3" ht="13">
      <c r="B600" s="38"/>
      <c r="C600" s="38"/>
    </row>
    <row r="601" spans="2:3" ht="13">
      <c r="B601" s="38"/>
      <c r="C601" s="38"/>
    </row>
    <row r="602" spans="2:3" ht="13">
      <c r="B602" s="38"/>
      <c r="C602" s="38"/>
    </row>
    <row r="603" spans="2:3" ht="13">
      <c r="B603" s="38"/>
      <c r="C603" s="38"/>
    </row>
    <row r="604" spans="2:3" ht="13">
      <c r="B604" s="38"/>
      <c r="C604" s="38"/>
    </row>
    <row r="605" spans="2:3" ht="13">
      <c r="B605" s="38"/>
      <c r="C605" s="38"/>
    </row>
    <row r="606" spans="2:3" ht="13">
      <c r="B606" s="38"/>
      <c r="C606" s="38"/>
    </row>
    <row r="607" spans="2:3" ht="13">
      <c r="B607" s="38"/>
      <c r="C607" s="38"/>
    </row>
    <row r="608" spans="2:3" ht="13">
      <c r="B608" s="38"/>
      <c r="C608" s="38"/>
    </row>
    <row r="609" spans="2:3" ht="13">
      <c r="B609" s="38"/>
      <c r="C609" s="38"/>
    </row>
    <row r="610" spans="2:3" ht="13">
      <c r="B610" s="38"/>
      <c r="C610" s="38"/>
    </row>
    <row r="611" spans="2:3" ht="13">
      <c r="B611" s="38"/>
      <c r="C611" s="38"/>
    </row>
    <row r="612" spans="2:3" ht="13">
      <c r="B612" s="38"/>
      <c r="C612" s="38"/>
    </row>
    <row r="613" spans="2:3" ht="13">
      <c r="B613" s="38"/>
      <c r="C613" s="38"/>
    </row>
    <row r="614" spans="2:3" ht="13">
      <c r="B614" s="38"/>
      <c r="C614" s="38"/>
    </row>
    <row r="615" spans="2:3" ht="13">
      <c r="B615" s="38"/>
      <c r="C615" s="38"/>
    </row>
    <row r="616" spans="2:3" ht="13">
      <c r="B616" s="38"/>
      <c r="C616" s="38"/>
    </row>
    <row r="617" spans="2:3" ht="13">
      <c r="B617" s="38"/>
      <c r="C617" s="38"/>
    </row>
    <row r="618" spans="2:3" ht="13">
      <c r="B618" s="38"/>
      <c r="C618" s="38"/>
    </row>
    <row r="619" spans="2:3" ht="13">
      <c r="B619" s="38"/>
      <c r="C619" s="38"/>
    </row>
    <row r="620" spans="2:3" ht="13">
      <c r="B620" s="38"/>
      <c r="C620" s="38"/>
    </row>
    <row r="621" spans="2:3" ht="13">
      <c r="B621" s="38"/>
      <c r="C621" s="38"/>
    </row>
    <row r="622" spans="2:3" ht="13">
      <c r="B622" s="38"/>
      <c r="C622" s="38"/>
    </row>
    <row r="623" spans="2:3" ht="13">
      <c r="B623" s="38"/>
      <c r="C623" s="38"/>
    </row>
    <row r="624" spans="2:3" ht="13">
      <c r="B624" s="38"/>
      <c r="C624" s="38"/>
    </row>
    <row r="625" spans="2:3" ht="13">
      <c r="B625" s="38"/>
      <c r="C625" s="38"/>
    </row>
    <row r="626" spans="2:3" ht="13">
      <c r="B626" s="38"/>
      <c r="C626" s="38"/>
    </row>
    <row r="627" spans="2:3" ht="13">
      <c r="B627" s="38"/>
      <c r="C627" s="38"/>
    </row>
    <row r="628" spans="2:3" ht="13">
      <c r="B628" s="38"/>
      <c r="C628" s="38"/>
    </row>
    <row r="629" spans="2:3" ht="13">
      <c r="B629" s="38"/>
      <c r="C629" s="38"/>
    </row>
    <row r="630" spans="2:3" ht="13">
      <c r="B630" s="38"/>
      <c r="C630" s="38"/>
    </row>
    <row r="631" spans="2:3" ht="13">
      <c r="B631" s="38"/>
      <c r="C631" s="38"/>
    </row>
    <row r="632" spans="2:3" ht="13">
      <c r="B632" s="38"/>
      <c r="C632" s="38"/>
    </row>
    <row r="633" spans="2:3" ht="13">
      <c r="B633" s="38"/>
      <c r="C633" s="38"/>
    </row>
    <row r="634" spans="2:3" ht="13">
      <c r="B634" s="38"/>
      <c r="C634" s="38"/>
    </row>
    <row r="635" spans="2:3" ht="13">
      <c r="B635" s="38"/>
      <c r="C635" s="38"/>
    </row>
    <row r="636" spans="2:3" ht="13">
      <c r="B636" s="38"/>
      <c r="C636" s="38"/>
    </row>
    <row r="637" spans="2:3" ht="13">
      <c r="B637" s="38"/>
      <c r="C637" s="38"/>
    </row>
    <row r="638" spans="2:3" ht="13">
      <c r="B638" s="38"/>
      <c r="C638" s="38"/>
    </row>
    <row r="639" spans="2:3" ht="13">
      <c r="B639" s="38"/>
      <c r="C639" s="38"/>
    </row>
    <row r="640" spans="2:3" ht="13">
      <c r="B640" s="38"/>
      <c r="C640" s="38"/>
    </row>
    <row r="641" spans="2:3" ht="13">
      <c r="B641" s="38"/>
      <c r="C641" s="38"/>
    </row>
    <row r="642" spans="2:3" ht="13">
      <c r="B642" s="38"/>
      <c r="C642" s="38"/>
    </row>
    <row r="643" spans="2:3" ht="13">
      <c r="B643" s="38"/>
      <c r="C643" s="38"/>
    </row>
    <row r="644" spans="2:3" ht="13">
      <c r="B644" s="38"/>
      <c r="C644" s="38"/>
    </row>
    <row r="645" spans="2:3" ht="13">
      <c r="B645" s="38"/>
      <c r="C645" s="38"/>
    </row>
    <row r="646" spans="2:3" ht="13">
      <c r="B646" s="38"/>
      <c r="C646" s="38"/>
    </row>
    <row r="647" spans="2:3" ht="13">
      <c r="B647" s="38"/>
      <c r="C647" s="38"/>
    </row>
    <row r="648" spans="2:3" ht="13">
      <c r="B648" s="38"/>
      <c r="C648" s="38"/>
    </row>
    <row r="649" spans="2:3" ht="13">
      <c r="B649" s="38"/>
      <c r="C649" s="38"/>
    </row>
    <row r="650" spans="2:3" ht="13">
      <c r="B650" s="38"/>
      <c r="C650" s="38"/>
    </row>
    <row r="651" spans="2:3" ht="13">
      <c r="B651" s="38"/>
      <c r="C651" s="38"/>
    </row>
    <row r="652" spans="2:3" ht="13">
      <c r="B652" s="38"/>
      <c r="C652" s="38"/>
    </row>
    <row r="653" spans="2:3" ht="13">
      <c r="B653" s="38"/>
      <c r="C653" s="38"/>
    </row>
    <row r="654" spans="2:3" ht="13">
      <c r="B654" s="38"/>
      <c r="C654" s="38"/>
    </row>
    <row r="655" spans="2:3" ht="13">
      <c r="B655" s="38"/>
      <c r="C655" s="38"/>
    </row>
    <row r="656" spans="2:3" ht="13">
      <c r="B656" s="38"/>
      <c r="C656" s="38"/>
    </row>
    <row r="657" spans="2:3" ht="13">
      <c r="B657" s="38"/>
      <c r="C657" s="38"/>
    </row>
    <row r="658" spans="2:3" ht="13">
      <c r="B658" s="38"/>
      <c r="C658" s="38"/>
    </row>
    <row r="659" spans="2:3" ht="13">
      <c r="B659" s="38"/>
      <c r="C659" s="38"/>
    </row>
    <row r="660" spans="2:3" ht="13">
      <c r="B660" s="38"/>
      <c r="C660" s="38"/>
    </row>
    <row r="661" spans="2:3" ht="13">
      <c r="B661" s="38"/>
      <c r="C661" s="38"/>
    </row>
    <row r="662" spans="2:3" ht="13">
      <c r="B662" s="38"/>
      <c r="C662" s="38"/>
    </row>
    <row r="663" spans="2:3" ht="13">
      <c r="B663" s="38"/>
      <c r="C663" s="38"/>
    </row>
    <row r="664" spans="2:3" ht="13">
      <c r="B664" s="38"/>
      <c r="C664" s="38"/>
    </row>
    <row r="665" spans="2:3" ht="13">
      <c r="B665" s="38"/>
      <c r="C665" s="38"/>
    </row>
    <row r="666" spans="2:3" ht="13">
      <c r="B666" s="38"/>
      <c r="C666" s="38"/>
    </row>
    <row r="667" spans="2:3" ht="13">
      <c r="B667" s="38"/>
      <c r="C667" s="38"/>
    </row>
    <row r="668" spans="2:3" ht="13">
      <c r="B668" s="38"/>
      <c r="C668" s="38"/>
    </row>
    <row r="669" spans="2:3" ht="13">
      <c r="B669" s="38"/>
      <c r="C669" s="38"/>
    </row>
    <row r="670" spans="2:3" ht="13">
      <c r="B670" s="38"/>
      <c r="C670" s="38"/>
    </row>
    <row r="671" spans="2:3" ht="13">
      <c r="B671" s="38"/>
      <c r="C671" s="38"/>
    </row>
    <row r="672" spans="2:3" ht="13">
      <c r="B672" s="38"/>
      <c r="C672" s="38"/>
    </row>
    <row r="673" spans="2:3" ht="13">
      <c r="B673" s="38"/>
      <c r="C673" s="38"/>
    </row>
    <row r="674" spans="2:3" ht="13">
      <c r="B674" s="38"/>
      <c r="C674" s="38"/>
    </row>
    <row r="675" spans="2:3" ht="13">
      <c r="B675" s="38"/>
      <c r="C675" s="38"/>
    </row>
    <row r="676" spans="2:3" ht="13">
      <c r="B676" s="38"/>
      <c r="C676" s="38"/>
    </row>
    <row r="677" spans="2:3" ht="13">
      <c r="B677" s="38"/>
      <c r="C677" s="38"/>
    </row>
    <row r="678" spans="2:3" ht="13">
      <c r="B678" s="38"/>
      <c r="C678" s="38"/>
    </row>
    <row r="679" spans="2:3" ht="13">
      <c r="B679" s="38"/>
      <c r="C679" s="38"/>
    </row>
    <row r="680" spans="2:3" ht="13">
      <c r="B680" s="38"/>
      <c r="C680" s="38"/>
    </row>
    <row r="681" spans="2:3" ht="13">
      <c r="B681" s="38"/>
      <c r="C681" s="38"/>
    </row>
    <row r="682" spans="2:3" ht="13">
      <c r="B682" s="38"/>
      <c r="C682" s="38"/>
    </row>
    <row r="683" spans="2:3" ht="13">
      <c r="B683" s="38"/>
      <c r="C683" s="38"/>
    </row>
    <row r="684" spans="2:3" ht="13">
      <c r="B684" s="38"/>
      <c r="C684" s="38"/>
    </row>
    <row r="685" spans="2:3" ht="13">
      <c r="B685" s="38"/>
      <c r="C685" s="38"/>
    </row>
    <row r="686" spans="2:3" ht="13">
      <c r="B686" s="38"/>
      <c r="C686" s="38"/>
    </row>
    <row r="687" spans="2:3" ht="13">
      <c r="B687" s="38"/>
      <c r="C687" s="38"/>
    </row>
    <row r="688" spans="2:3" ht="13">
      <c r="B688" s="38"/>
      <c r="C688" s="38"/>
    </row>
    <row r="689" spans="2:3" ht="13">
      <c r="B689" s="38"/>
      <c r="C689" s="38"/>
    </row>
    <row r="690" spans="2:3" ht="13">
      <c r="B690" s="38"/>
      <c r="C690" s="38"/>
    </row>
    <row r="691" spans="2:3" ht="13">
      <c r="B691" s="38"/>
      <c r="C691" s="38"/>
    </row>
    <row r="692" spans="2:3" ht="13">
      <c r="B692" s="38"/>
      <c r="C692" s="38"/>
    </row>
    <row r="693" spans="2:3" ht="13">
      <c r="B693" s="38"/>
      <c r="C693" s="38"/>
    </row>
    <row r="694" spans="2:3" ht="13">
      <c r="B694" s="38"/>
      <c r="C694" s="38"/>
    </row>
    <row r="695" spans="2:3" ht="13">
      <c r="B695" s="38"/>
      <c r="C695" s="38"/>
    </row>
    <row r="696" spans="2:3" ht="13">
      <c r="B696" s="38"/>
      <c r="C696" s="38"/>
    </row>
    <row r="697" spans="2:3" ht="13">
      <c r="B697" s="38"/>
      <c r="C697" s="38"/>
    </row>
    <row r="698" spans="2:3" ht="13">
      <c r="B698" s="38"/>
      <c r="C698" s="38"/>
    </row>
    <row r="699" spans="2:3" ht="13">
      <c r="B699" s="38"/>
      <c r="C699" s="38"/>
    </row>
    <row r="700" spans="2:3" ht="13">
      <c r="B700" s="38"/>
      <c r="C700" s="38"/>
    </row>
    <row r="701" spans="2:3" ht="13">
      <c r="B701" s="38"/>
      <c r="C701" s="38"/>
    </row>
    <row r="702" spans="2:3" ht="13">
      <c r="B702" s="38"/>
      <c r="C702" s="38"/>
    </row>
    <row r="703" spans="2:3" ht="13">
      <c r="B703" s="38"/>
      <c r="C703" s="38"/>
    </row>
    <row r="704" spans="2:3" ht="13">
      <c r="B704" s="38"/>
      <c r="C704" s="38"/>
    </row>
    <row r="705" spans="2:3" ht="13">
      <c r="B705" s="38"/>
      <c r="C705" s="38"/>
    </row>
    <row r="706" spans="2:3" ht="13">
      <c r="B706" s="38"/>
      <c r="C706" s="38"/>
    </row>
    <row r="707" spans="2:3" ht="13">
      <c r="B707" s="38"/>
      <c r="C707" s="38"/>
    </row>
    <row r="708" spans="2:3" ht="13">
      <c r="B708" s="38"/>
      <c r="C708" s="38"/>
    </row>
    <row r="709" spans="2:3" ht="13">
      <c r="B709" s="38"/>
      <c r="C709" s="38"/>
    </row>
    <row r="710" spans="2:3" ht="13">
      <c r="B710" s="38"/>
      <c r="C710" s="38"/>
    </row>
    <row r="711" spans="2:3" ht="13">
      <c r="B711" s="38"/>
      <c r="C711" s="38"/>
    </row>
    <row r="712" spans="2:3" ht="13">
      <c r="B712" s="38"/>
      <c r="C712" s="38"/>
    </row>
    <row r="713" spans="2:3" ht="13">
      <c r="B713" s="38"/>
      <c r="C713" s="38"/>
    </row>
    <row r="714" spans="2:3" ht="13">
      <c r="B714" s="38"/>
      <c r="C714" s="38"/>
    </row>
    <row r="715" spans="2:3" ht="13">
      <c r="B715" s="38"/>
      <c r="C715" s="38"/>
    </row>
    <row r="716" spans="2:3" ht="13">
      <c r="B716" s="38"/>
      <c r="C716" s="38"/>
    </row>
    <row r="717" spans="2:3" ht="13">
      <c r="B717" s="38"/>
      <c r="C717" s="38"/>
    </row>
    <row r="718" spans="2:3" ht="13">
      <c r="B718" s="38"/>
      <c r="C718" s="38"/>
    </row>
    <row r="719" spans="2:3" ht="13">
      <c r="B719" s="38"/>
      <c r="C719" s="38"/>
    </row>
    <row r="720" spans="2:3" ht="13">
      <c r="B720" s="38"/>
      <c r="C720" s="38"/>
    </row>
    <row r="721" spans="2:3" ht="13">
      <c r="B721" s="38"/>
      <c r="C721" s="38"/>
    </row>
    <row r="722" spans="2:3" ht="13">
      <c r="B722" s="38"/>
      <c r="C722" s="38"/>
    </row>
    <row r="723" spans="2:3" ht="13">
      <c r="B723" s="38"/>
      <c r="C723" s="38"/>
    </row>
    <row r="724" spans="2:3" ht="13">
      <c r="B724" s="38"/>
      <c r="C724" s="38"/>
    </row>
    <row r="725" spans="2:3" ht="13">
      <c r="B725" s="38"/>
      <c r="C725" s="38"/>
    </row>
    <row r="726" spans="2:3" ht="13">
      <c r="B726" s="38"/>
      <c r="C726" s="38"/>
    </row>
    <row r="727" spans="2:3" ht="13">
      <c r="B727" s="38"/>
      <c r="C727" s="38"/>
    </row>
    <row r="728" spans="2:3" ht="13">
      <c r="B728" s="38"/>
      <c r="C728" s="38"/>
    </row>
    <row r="729" spans="2:3" ht="13">
      <c r="B729" s="38"/>
      <c r="C729" s="38"/>
    </row>
    <row r="730" spans="2:3" ht="13">
      <c r="B730" s="38"/>
      <c r="C730" s="38"/>
    </row>
    <row r="731" spans="2:3" ht="13">
      <c r="B731" s="38"/>
      <c r="C731" s="38"/>
    </row>
    <row r="732" spans="2:3" ht="13">
      <c r="B732" s="38"/>
      <c r="C732" s="38"/>
    </row>
    <row r="733" spans="2:3" ht="13">
      <c r="B733" s="38"/>
      <c r="C733" s="38"/>
    </row>
    <row r="734" spans="2:3" ht="13">
      <c r="B734" s="38"/>
      <c r="C734" s="38"/>
    </row>
    <row r="735" spans="2:3" ht="13">
      <c r="B735" s="38"/>
      <c r="C735" s="38"/>
    </row>
    <row r="736" spans="2:3" ht="13">
      <c r="B736" s="38"/>
      <c r="C736" s="38"/>
    </row>
    <row r="737" spans="2:3" ht="13">
      <c r="B737" s="38"/>
      <c r="C737" s="38"/>
    </row>
    <row r="738" spans="2:3" ht="13">
      <c r="B738" s="38"/>
      <c r="C738" s="38"/>
    </row>
    <row r="739" spans="2:3" ht="13">
      <c r="B739" s="38"/>
      <c r="C739" s="38"/>
    </row>
    <row r="740" spans="2:3" ht="13">
      <c r="B740" s="38"/>
      <c r="C740" s="38"/>
    </row>
    <row r="741" spans="2:3" ht="13">
      <c r="B741" s="38"/>
      <c r="C741" s="38"/>
    </row>
    <row r="742" spans="2:3" ht="13">
      <c r="B742" s="38"/>
      <c r="C742" s="38"/>
    </row>
    <row r="743" spans="2:3" ht="13">
      <c r="B743" s="38"/>
      <c r="C743" s="38"/>
    </row>
    <row r="744" spans="2:3" ht="13">
      <c r="B744" s="38"/>
      <c r="C744" s="38"/>
    </row>
    <row r="745" spans="2:3" ht="13">
      <c r="B745" s="38"/>
      <c r="C745" s="38"/>
    </row>
    <row r="746" spans="2:3" ht="13">
      <c r="B746" s="38"/>
      <c r="C746" s="38"/>
    </row>
    <row r="747" spans="2:3" ht="13">
      <c r="B747" s="38"/>
      <c r="C747" s="38"/>
    </row>
    <row r="748" spans="2:3" ht="13">
      <c r="B748" s="38"/>
      <c r="C748" s="38"/>
    </row>
    <row r="749" spans="2:3" ht="13">
      <c r="B749" s="38"/>
      <c r="C749" s="38"/>
    </row>
    <row r="750" spans="2:3" ht="13">
      <c r="B750" s="38"/>
      <c r="C750" s="38"/>
    </row>
    <row r="751" spans="2:3" ht="13">
      <c r="B751" s="38"/>
      <c r="C751" s="38"/>
    </row>
    <row r="752" spans="2:3" ht="13">
      <c r="B752" s="38"/>
      <c r="C752" s="38"/>
    </row>
    <row r="753" spans="2:3" ht="13">
      <c r="B753" s="38"/>
      <c r="C753" s="38"/>
    </row>
    <row r="754" spans="2:3" ht="13">
      <c r="B754" s="38"/>
      <c r="C754" s="38"/>
    </row>
    <row r="755" spans="2:3" ht="13">
      <c r="B755" s="38"/>
      <c r="C755" s="38"/>
    </row>
    <row r="756" spans="2:3" ht="13">
      <c r="B756" s="38"/>
      <c r="C756" s="38"/>
    </row>
    <row r="757" spans="2:3" ht="13">
      <c r="B757" s="38"/>
      <c r="C757" s="38"/>
    </row>
    <row r="758" spans="2:3" ht="13">
      <c r="B758" s="38"/>
      <c r="C758" s="38"/>
    </row>
    <row r="759" spans="2:3" ht="13">
      <c r="B759" s="38"/>
      <c r="C759" s="38"/>
    </row>
    <row r="760" spans="2:3" ht="13">
      <c r="B760" s="38"/>
      <c r="C760" s="38"/>
    </row>
    <row r="761" spans="2:3" ht="13">
      <c r="B761" s="38"/>
      <c r="C761" s="38"/>
    </row>
    <row r="762" spans="2:3" ht="13">
      <c r="B762" s="38"/>
      <c r="C762" s="38"/>
    </row>
    <row r="763" spans="2:3" ht="13">
      <c r="B763" s="38"/>
      <c r="C763" s="38"/>
    </row>
    <row r="764" spans="2:3" ht="13">
      <c r="B764" s="38"/>
      <c r="C764" s="38"/>
    </row>
    <row r="765" spans="2:3" ht="13">
      <c r="B765" s="38"/>
      <c r="C765" s="38"/>
    </row>
    <row r="766" spans="2:3" ht="13">
      <c r="B766" s="38"/>
      <c r="C766" s="38"/>
    </row>
    <row r="767" spans="2:3" ht="13">
      <c r="B767" s="38"/>
      <c r="C767" s="38"/>
    </row>
    <row r="768" spans="2:3" ht="13">
      <c r="B768" s="38"/>
      <c r="C768" s="38"/>
    </row>
    <row r="769" spans="2:3" ht="13">
      <c r="B769" s="38"/>
      <c r="C769" s="38"/>
    </row>
    <row r="770" spans="2:3" ht="13">
      <c r="B770" s="38"/>
      <c r="C770" s="38"/>
    </row>
    <row r="771" spans="2:3" ht="13">
      <c r="B771" s="38"/>
      <c r="C771" s="38"/>
    </row>
    <row r="772" spans="2:3" ht="13">
      <c r="B772" s="38"/>
      <c r="C772" s="38"/>
    </row>
    <row r="773" spans="2:3" ht="13">
      <c r="B773" s="38"/>
      <c r="C773" s="38"/>
    </row>
    <row r="774" spans="2:3" ht="13">
      <c r="B774" s="38"/>
      <c r="C774" s="38"/>
    </row>
    <row r="775" spans="2:3" ht="13">
      <c r="B775" s="38"/>
      <c r="C775" s="38"/>
    </row>
    <row r="776" spans="2:3" ht="13">
      <c r="B776" s="38"/>
      <c r="C776" s="38"/>
    </row>
    <row r="777" spans="2:3" ht="13">
      <c r="B777" s="38"/>
      <c r="C777" s="38"/>
    </row>
    <row r="778" spans="2:3" ht="13">
      <c r="B778" s="38"/>
      <c r="C778" s="38"/>
    </row>
    <row r="779" spans="2:3" ht="13">
      <c r="B779" s="38"/>
      <c r="C779" s="38"/>
    </row>
    <row r="780" spans="2:3" ht="13">
      <c r="B780" s="38"/>
      <c r="C780" s="38"/>
    </row>
    <row r="781" spans="2:3" ht="13">
      <c r="B781" s="38"/>
      <c r="C781" s="38"/>
    </row>
    <row r="782" spans="2:3" ht="13">
      <c r="B782" s="38"/>
      <c r="C782" s="38"/>
    </row>
    <row r="783" spans="2:3" ht="13">
      <c r="B783" s="38"/>
      <c r="C783" s="38"/>
    </row>
    <row r="784" spans="2:3" ht="13">
      <c r="B784" s="38"/>
      <c r="C784" s="38"/>
    </row>
    <row r="785" spans="2:3" ht="13">
      <c r="B785" s="38"/>
      <c r="C785" s="38"/>
    </row>
    <row r="786" spans="2:3" ht="13">
      <c r="B786" s="38"/>
      <c r="C786" s="38"/>
    </row>
    <row r="787" spans="2:3" ht="13">
      <c r="B787" s="38"/>
      <c r="C787" s="38"/>
    </row>
    <row r="788" spans="2:3" ht="13">
      <c r="B788" s="38"/>
      <c r="C788" s="38"/>
    </row>
    <row r="789" spans="2:3" ht="13">
      <c r="B789" s="38"/>
      <c r="C789" s="38"/>
    </row>
    <row r="790" spans="2:3" ht="13">
      <c r="B790" s="38"/>
      <c r="C790" s="38"/>
    </row>
    <row r="791" spans="2:3" ht="13">
      <c r="B791" s="38"/>
      <c r="C791" s="38"/>
    </row>
    <row r="792" spans="2:3" ht="13">
      <c r="B792" s="38"/>
      <c r="C792" s="38"/>
    </row>
    <row r="793" spans="2:3" ht="13">
      <c r="B793" s="38"/>
      <c r="C793" s="38"/>
    </row>
    <row r="794" spans="2:3" ht="13">
      <c r="B794" s="38"/>
      <c r="C794" s="38"/>
    </row>
    <row r="795" spans="2:3" ht="13">
      <c r="B795" s="38"/>
      <c r="C795" s="38"/>
    </row>
    <row r="796" spans="2:3" ht="13">
      <c r="B796" s="38"/>
      <c r="C796" s="38"/>
    </row>
    <row r="797" spans="2:3" ht="13">
      <c r="B797" s="38"/>
      <c r="C797" s="38"/>
    </row>
    <row r="798" spans="2:3" ht="13">
      <c r="B798" s="38"/>
      <c r="C798" s="38"/>
    </row>
    <row r="799" spans="2:3" ht="13">
      <c r="B799" s="38"/>
      <c r="C799" s="38"/>
    </row>
    <row r="800" spans="2:3" ht="13">
      <c r="B800" s="38"/>
      <c r="C800" s="38"/>
    </row>
    <row r="801" spans="2:3" ht="13">
      <c r="B801" s="38"/>
      <c r="C801" s="38"/>
    </row>
    <row r="802" spans="2:3" ht="13">
      <c r="B802" s="38"/>
      <c r="C802" s="38"/>
    </row>
    <row r="803" spans="2:3" ht="13">
      <c r="B803" s="38"/>
      <c r="C803" s="38"/>
    </row>
    <row r="804" spans="2:3" ht="13">
      <c r="B804" s="38"/>
      <c r="C804" s="38"/>
    </row>
    <row r="805" spans="2:3" ht="13">
      <c r="B805" s="38"/>
      <c r="C805" s="38"/>
    </row>
    <row r="806" spans="2:3" ht="13">
      <c r="B806" s="38"/>
      <c r="C806" s="38"/>
    </row>
    <row r="807" spans="2:3" ht="13">
      <c r="B807" s="38"/>
      <c r="C807" s="38"/>
    </row>
    <row r="808" spans="2:3" ht="13">
      <c r="B808" s="38"/>
      <c r="C808" s="38"/>
    </row>
    <row r="809" spans="2:3" ht="13">
      <c r="B809" s="38"/>
      <c r="C809" s="38"/>
    </row>
    <row r="810" spans="2:3" ht="13">
      <c r="B810" s="38"/>
      <c r="C810" s="38"/>
    </row>
    <row r="811" spans="2:3" ht="13">
      <c r="B811" s="38"/>
      <c r="C811" s="38"/>
    </row>
    <row r="812" spans="2:3" ht="13">
      <c r="B812" s="38"/>
      <c r="C812" s="38"/>
    </row>
    <row r="813" spans="2:3" ht="13">
      <c r="B813" s="38"/>
      <c r="C813" s="38"/>
    </row>
    <row r="814" spans="2:3" ht="13">
      <c r="B814" s="38"/>
      <c r="C814" s="38"/>
    </row>
    <row r="815" spans="2:3" ht="13">
      <c r="B815" s="38"/>
      <c r="C815" s="38"/>
    </row>
    <row r="816" spans="2:3" ht="13">
      <c r="B816" s="38"/>
      <c r="C816" s="38"/>
    </row>
    <row r="817" spans="2:3" ht="13">
      <c r="B817" s="38"/>
      <c r="C817" s="38"/>
    </row>
    <row r="818" spans="2:3" ht="13">
      <c r="B818" s="38"/>
      <c r="C818" s="38"/>
    </row>
    <row r="819" spans="2:3" ht="13">
      <c r="B819" s="38"/>
      <c r="C819" s="38"/>
    </row>
    <row r="820" spans="2:3" ht="13">
      <c r="B820" s="38"/>
      <c r="C820" s="38"/>
    </row>
    <row r="821" spans="2:3" ht="13">
      <c r="B821" s="38"/>
      <c r="C821" s="38"/>
    </row>
    <row r="822" spans="2:3" ht="13">
      <c r="B822" s="38"/>
      <c r="C822" s="38"/>
    </row>
    <row r="823" spans="2:3" ht="13">
      <c r="B823" s="38"/>
      <c r="C823" s="38"/>
    </row>
    <row r="824" spans="2:3" ht="13">
      <c r="B824" s="38"/>
      <c r="C824" s="38"/>
    </row>
    <row r="825" spans="2:3" ht="13">
      <c r="B825" s="38"/>
      <c r="C825" s="38"/>
    </row>
    <row r="826" spans="2:3" ht="13">
      <c r="B826" s="38"/>
      <c r="C826" s="38"/>
    </row>
    <row r="827" spans="2:3" ht="13">
      <c r="B827" s="38"/>
      <c r="C827" s="38"/>
    </row>
    <row r="828" spans="2:3" ht="13">
      <c r="B828" s="38"/>
      <c r="C828" s="38"/>
    </row>
    <row r="829" spans="2:3" ht="13">
      <c r="B829" s="38"/>
      <c r="C829" s="38"/>
    </row>
    <row r="830" spans="2:3" ht="13">
      <c r="B830" s="38"/>
      <c r="C830" s="38"/>
    </row>
    <row r="831" spans="2:3" ht="13">
      <c r="B831" s="38"/>
      <c r="C831" s="38"/>
    </row>
    <row r="832" spans="2:3" ht="13">
      <c r="B832" s="38"/>
      <c r="C832" s="38"/>
    </row>
    <row r="833" spans="2:3" ht="13">
      <c r="B833" s="38"/>
      <c r="C833" s="38"/>
    </row>
    <row r="834" spans="2:3" ht="13">
      <c r="B834" s="38"/>
      <c r="C834" s="38"/>
    </row>
    <row r="835" spans="2:3" ht="13">
      <c r="B835" s="38"/>
      <c r="C835" s="38"/>
    </row>
    <row r="836" spans="2:3" ht="13">
      <c r="B836" s="38"/>
      <c r="C836" s="38"/>
    </row>
    <row r="837" spans="2:3" ht="13">
      <c r="B837" s="38"/>
      <c r="C837" s="38"/>
    </row>
    <row r="838" spans="2:3" ht="13">
      <c r="B838" s="38"/>
      <c r="C838" s="38"/>
    </row>
    <row r="839" spans="2:3" ht="13">
      <c r="B839" s="38"/>
      <c r="C839" s="38"/>
    </row>
    <row r="840" spans="2:3" ht="13">
      <c r="B840" s="38"/>
      <c r="C840" s="38"/>
    </row>
    <row r="841" spans="2:3" ht="13">
      <c r="B841" s="38"/>
      <c r="C841" s="38"/>
    </row>
    <row r="842" spans="2:3" ht="13">
      <c r="B842" s="38"/>
      <c r="C842" s="38"/>
    </row>
    <row r="843" spans="2:3" ht="13">
      <c r="B843" s="38"/>
      <c r="C843" s="38"/>
    </row>
    <row r="844" spans="2:3" ht="13">
      <c r="B844" s="38"/>
      <c r="C844" s="38"/>
    </row>
    <row r="845" spans="2:3" ht="13">
      <c r="B845" s="38"/>
      <c r="C845" s="38"/>
    </row>
    <row r="846" spans="2:3" ht="13">
      <c r="B846" s="38"/>
      <c r="C846" s="38"/>
    </row>
    <row r="847" spans="2:3" ht="13">
      <c r="B847" s="38"/>
      <c r="C847" s="38"/>
    </row>
    <row r="848" spans="2:3" ht="13">
      <c r="B848" s="38"/>
      <c r="C848" s="38"/>
    </row>
    <row r="849" spans="2:3" ht="13">
      <c r="B849" s="38"/>
      <c r="C849" s="38"/>
    </row>
    <row r="850" spans="2:3" ht="13">
      <c r="B850" s="38"/>
      <c r="C850" s="38"/>
    </row>
    <row r="851" spans="2:3" ht="13">
      <c r="B851" s="38"/>
      <c r="C851" s="38"/>
    </row>
    <row r="852" spans="2:3" ht="13">
      <c r="B852" s="38"/>
      <c r="C852" s="38"/>
    </row>
    <row r="853" spans="2:3" ht="13">
      <c r="B853" s="38"/>
      <c r="C853" s="38"/>
    </row>
    <row r="854" spans="2:3" ht="13">
      <c r="B854" s="38"/>
      <c r="C854" s="38"/>
    </row>
    <row r="855" spans="2:3" ht="13">
      <c r="B855" s="38"/>
      <c r="C855" s="38"/>
    </row>
    <row r="856" spans="2:3" ht="13">
      <c r="B856" s="38"/>
      <c r="C856" s="38"/>
    </row>
    <row r="857" spans="2:3" ht="13">
      <c r="B857" s="38"/>
      <c r="C857" s="38"/>
    </row>
    <row r="858" spans="2:3" ht="13">
      <c r="B858" s="38"/>
      <c r="C858" s="38"/>
    </row>
    <row r="859" spans="2:3" ht="13">
      <c r="B859" s="38"/>
      <c r="C859" s="38"/>
    </row>
    <row r="860" spans="2:3" ht="13">
      <c r="B860" s="38"/>
      <c r="C860" s="38"/>
    </row>
    <row r="861" spans="2:3" ht="13">
      <c r="B861" s="38"/>
      <c r="C861" s="38"/>
    </row>
    <row r="862" spans="2:3" ht="13">
      <c r="B862" s="38"/>
      <c r="C862" s="38"/>
    </row>
    <row r="863" spans="2:3" ht="13">
      <c r="B863" s="38"/>
      <c r="C863" s="38"/>
    </row>
    <row r="864" spans="2:3" ht="13">
      <c r="B864" s="38"/>
      <c r="C864" s="38"/>
    </row>
    <row r="865" spans="2:3" ht="13">
      <c r="B865" s="38"/>
      <c r="C865" s="38"/>
    </row>
    <row r="866" spans="2:3" ht="13">
      <c r="B866" s="38"/>
      <c r="C866" s="38"/>
    </row>
    <row r="867" spans="2:3" ht="13">
      <c r="B867" s="38"/>
      <c r="C867" s="38"/>
    </row>
    <row r="868" spans="2:3" ht="13">
      <c r="B868" s="38"/>
      <c r="C868" s="38"/>
    </row>
    <row r="869" spans="2:3" ht="13">
      <c r="B869" s="38"/>
      <c r="C869" s="38"/>
    </row>
    <row r="870" spans="2:3" ht="13">
      <c r="B870" s="38"/>
      <c r="C870" s="38"/>
    </row>
    <row r="871" spans="2:3" ht="13">
      <c r="B871" s="38"/>
      <c r="C871" s="38"/>
    </row>
    <row r="872" spans="2:3" ht="13">
      <c r="B872" s="38"/>
      <c r="C872" s="38"/>
    </row>
    <row r="873" spans="2:3" ht="13">
      <c r="B873" s="38"/>
      <c r="C873" s="38"/>
    </row>
    <row r="874" spans="2:3" ht="13">
      <c r="B874" s="38"/>
      <c r="C874" s="38"/>
    </row>
    <row r="875" spans="2:3" ht="13">
      <c r="B875" s="38"/>
      <c r="C875" s="38"/>
    </row>
    <row r="876" spans="2:3" ht="13">
      <c r="B876" s="38"/>
      <c r="C876" s="38"/>
    </row>
    <row r="877" spans="2:3" ht="13">
      <c r="B877" s="38"/>
      <c r="C877" s="38"/>
    </row>
    <row r="878" spans="2:3" ht="13">
      <c r="B878" s="38"/>
      <c r="C878" s="38"/>
    </row>
    <row r="879" spans="2:3" ht="13">
      <c r="B879" s="38"/>
      <c r="C879" s="38"/>
    </row>
    <row r="880" spans="2:3" ht="13">
      <c r="B880" s="38"/>
      <c r="C880" s="38"/>
    </row>
    <row r="881" spans="2:3" ht="13">
      <c r="B881" s="38"/>
      <c r="C881" s="38"/>
    </row>
    <row r="882" spans="2:3" ht="13">
      <c r="B882" s="38"/>
      <c r="C882" s="38"/>
    </row>
    <row r="883" spans="2:3" ht="13">
      <c r="B883" s="38"/>
      <c r="C883" s="38"/>
    </row>
    <row r="884" spans="2:3" ht="13">
      <c r="B884" s="38"/>
      <c r="C884" s="38"/>
    </row>
    <row r="885" spans="2:3" ht="13">
      <c r="B885" s="38"/>
      <c r="C885" s="38"/>
    </row>
    <row r="886" spans="2:3" ht="13">
      <c r="B886" s="38"/>
      <c r="C886" s="38"/>
    </row>
    <row r="887" spans="2:3" ht="13">
      <c r="B887" s="38"/>
      <c r="C887" s="38"/>
    </row>
    <row r="888" spans="2:3" ht="13">
      <c r="B888" s="38"/>
      <c r="C888" s="38"/>
    </row>
    <row r="889" spans="2:3" ht="13">
      <c r="B889" s="38"/>
      <c r="C889" s="38"/>
    </row>
    <row r="890" spans="2:3" ht="13">
      <c r="B890" s="38"/>
      <c r="C890" s="38"/>
    </row>
    <row r="891" spans="2:3" ht="13">
      <c r="B891" s="38"/>
      <c r="C891" s="38"/>
    </row>
    <row r="892" spans="2:3" ht="13">
      <c r="B892" s="38"/>
      <c r="C892" s="38"/>
    </row>
    <row r="893" spans="2:3" ht="13">
      <c r="B893" s="38"/>
      <c r="C893" s="38"/>
    </row>
    <row r="894" spans="2:3" ht="13">
      <c r="B894" s="38"/>
      <c r="C894" s="38"/>
    </row>
    <row r="895" spans="2:3" ht="13">
      <c r="B895" s="38"/>
      <c r="C895" s="38"/>
    </row>
    <row r="896" spans="2:3" ht="13">
      <c r="B896" s="38"/>
      <c r="C896" s="38"/>
    </row>
    <row r="897" spans="2:3" ht="13">
      <c r="B897" s="38"/>
      <c r="C897" s="38"/>
    </row>
    <row r="898" spans="2:3" ht="13">
      <c r="B898" s="38"/>
      <c r="C898" s="38"/>
    </row>
    <row r="899" spans="2:3" ht="13">
      <c r="B899" s="38"/>
      <c r="C899" s="38"/>
    </row>
    <row r="900" spans="2:3" ht="13">
      <c r="B900" s="38"/>
      <c r="C900" s="38"/>
    </row>
    <row r="901" spans="2:3" ht="13">
      <c r="B901" s="38"/>
      <c r="C901" s="38"/>
    </row>
    <row r="902" spans="2:3" ht="13">
      <c r="B902" s="38"/>
      <c r="C902" s="38"/>
    </row>
    <row r="903" spans="2:3" ht="13">
      <c r="B903" s="38"/>
      <c r="C903" s="38"/>
    </row>
    <row r="904" spans="2:3" ht="13">
      <c r="B904" s="38"/>
      <c r="C904" s="38"/>
    </row>
    <row r="905" spans="2:3" ht="13">
      <c r="B905" s="38"/>
      <c r="C905" s="38"/>
    </row>
    <row r="906" spans="2:3" ht="13">
      <c r="B906" s="38"/>
      <c r="C906" s="38"/>
    </row>
    <row r="907" spans="2:3" ht="13">
      <c r="B907" s="38"/>
      <c r="C907" s="38"/>
    </row>
    <row r="908" spans="2:3" ht="13">
      <c r="B908" s="38"/>
      <c r="C908" s="38"/>
    </row>
    <row r="909" spans="2:3" ht="13">
      <c r="B909" s="38"/>
      <c r="C909" s="38"/>
    </row>
    <row r="910" spans="2:3" ht="13">
      <c r="B910" s="38"/>
      <c r="C910" s="38"/>
    </row>
    <row r="911" spans="2:3" ht="13">
      <c r="B911" s="38"/>
      <c r="C911" s="38"/>
    </row>
    <row r="912" spans="2:3" ht="13">
      <c r="B912" s="38"/>
      <c r="C912" s="38"/>
    </row>
    <row r="913" spans="2:3" ht="13">
      <c r="B913" s="38"/>
      <c r="C913" s="38"/>
    </row>
    <row r="914" spans="2:3" ht="13">
      <c r="B914" s="38"/>
      <c r="C914" s="38"/>
    </row>
    <row r="915" spans="2:3" ht="13">
      <c r="B915" s="38"/>
      <c r="C915" s="38"/>
    </row>
    <row r="916" spans="2:3" ht="13">
      <c r="B916" s="38"/>
      <c r="C916" s="38"/>
    </row>
    <row r="917" spans="2:3" ht="13">
      <c r="B917" s="38"/>
      <c r="C917" s="38"/>
    </row>
    <row r="918" spans="2:3" ht="13">
      <c r="B918" s="38"/>
      <c r="C918" s="38"/>
    </row>
    <row r="919" spans="2:3" ht="13">
      <c r="B919" s="38"/>
      <c r="C919" s="38"/>
    </row>
    <row r="920" spans="2:3" ht="13">
      <c r="B920" s="38"/>
      <c r="C920" s="38"/>
    </row>
    <row r="921" spans="2:3" ht="13">
      <c r="B921" s="38"/>
      <c r="C921" s="38"/>
    </row>
    <row r="922" spans="2:3" ht="13">
      <c r="B922" s="38"/>
      <c r="C922" s="38"/>
    </row>
    <row r="923" spans="2:3" ht="13">
      <c r="B923" s="38"/>
      <c r="C923" s="38"/>
    </row>
    <row r="924" spans="2:3" ht="13">
      <c r="B924" s="38"/>
      <c r="C924" s="38"/>
    </row>
    <row r="925" spans="2:3" ht="13">
      <c r="B925" s="38"/>
      <c r="C925" s="38"/>
    </row>
    <row r="926" spans="2:3" ht="13">
      <c r="B926" s="38"/>
      <c r="C926" s="38"/>
    </row>
    <row r="927" spans="2:3" ht="13">
      <c r="B927" s="38"/>
      <c r="C927" s="38"/>
    </row>
    <row r="928" spans="2:3" ht="13">
      <c r="B928" s="38"/>
      <c r="C928" s="38"/>
    </row>
    <row r="929" spans="2:3" ht="13">
      <c r="B929" s="38"/>
      <c r="C929" s="38"/>
    </row>
    <row r="930" spans="2:3" ht="13">
      <c r="B930" s="38"/>
      <c r="C930" s="38"/>
    </row>
    <row r="931" spans="2:3" ht="13">
      <c r="B931" s="38"/>
      <c r="C931" s="38"/>
    </row>
    <row r="932" spans="2:3" ht="13">
      <c r="B932" s="38"/>
      <c r="C932" s="38"/>
    </row>
    <row r="933" spans="2:3" ht="13">
      <c r="B933" s="38"/>
      <c r="C933" s="38"/>
    </row>
    <row r="934" spans="2:3" ht="13">
      <c r="B934" s="38"/>
      <c r="C934" s="38"/>
    </row>
    <row r="935" spans="2:3" ht="13">
      <c r="B935" s="38"/>
      <c r="C935" s="38"/>
    </row>
    <row r="936" spans="2:3" ht="13">
      <c r="B936" s="38"/>
      <c r="C936" s="38"/>
    </row>
    <row r="937" spans="2:3" ht="13">
      <c r="B937" s="38"/>
      <c r="C937" s="38"/>
    </row>
    <row r="938" spans="2:3" ht="13">
      <c r="B938" s="38"/>
      <c r="C938" s="38"/>
    </row>
    <row r="939" spans="2:3" ht="13">
      <c r="B939" s="38"/>
      <c r="C939" s="38"/>
    </row>
    <row r="940" spans="2:3" ht="13">
      <c r="B940" s="38"/>
      <c r="C940" s="38"/>
    </row>
    <row r="941" spans="2:3" ht="13">
      <c r="B941" s="38"/>
      <c r="C941" s="38"/>
    </row>
    <row r="942" spans="2:3" ht="13">
      <c r="B942" s="38"/>
      <c r="C942" s="38"/>
    </row>
    <row r="943" spans="2:3" ht="13">
      <c r="B943" s="38"/>
      <c r="C943" s="38"/>
    </row>
    <row r="944" spans="2:3" ht="13">
      <c r="B944" s="38"/>
      <c r="C944" s="38"/>
    </row>
    <row r="945" spans="2:3" ht="13">
      <c r="B945" s="38"/>
      <c r="C945" s="38"/>
    </row>
    <row r="946" spans="2:3" ht="13">
      <c r="B946" s="38"/>
      <c r="C946" s="38"/>
    </row>
    <row r="947" spans="2:3" ht="13">
      <c r="B947" s="38"/>
      <c r="C947" s="38"/>
    </row>
    <row r="948" spans="2:3" ht="13">
      <c r="B948" s="38"/>
      <c r="C948" s="38"/>
    </row>
    <row r="949" spans="2:3" ht="13">
      <c r="B949" s="38"/>
      <c r="C949" s="38"/>
    </row>
    <row r="950" spans="2:3" ht="13">
      <c r="B950" s="38"/>
      <c r="C950" s="38"/>
    </row>
    <row r="951" spans="2:3" ht="13">
      <c r="B951" s="38"/>
      <c r="C951" s="38"/>
    </row>
    <row r="952" spans="2:3" ht="13">
      <c r="B952" s="38"/>
      <c r="C952" s="38"/>
    </row>
    <row r="953" spans="2:3" ht="13">
      <c r="B953" s="38"/>
      <c r="C953" s="38"/>
    </row>
    <row r="954" spans="2:3" ht="13">
      <c r="B954" s="38"/>
      <c r="C954" s="38"/>
    </row>
    <row r="955" spans="2:3" ht="13">
      <c r="B955" s="38"/>
      <c r="C955" s="38"/>
    </row>
    <row r="956" spans="2:3" ht="13">
      <c r="B956" s="38"/>
      <c r="C956" s="38"/>
    </row>
    <row r="957" spans="2:3" ht="13">
      <c r="B957" s="38"/>
      <c r="C957" s="38"/>
    </row>
    <row r="958" spans="2:3" ht="13">
      <c r="B958" s="38"/>
      <c r="C958" s="38"/>
    </row>
    <row r="959" spans="2:3" ht="13">
      <c r="B959" s="38"/>
      <c r="C959" s="38"/>
    </row>
    <row r="960" spans="2:3" ht="13">
      <c r="B960" s="38"/>
      <c r="C960" s="38"/>
    </row>
    <row r="961" spans="2:3" ht="13">
      <c r="B961" s="38"/>
      <c r="C961" s="38"/>
    </row>
    <row r="962" spans="2:3" ht="13">
      <c r="B962" s="38"/>
      <c r="C962" s="38"/>
    </row>
    <row r="963" spans="2:3" ht="13">
      <c r="B963" s="38"/>
      <c r="C963" s="38"/>
    </row>
    <row r="964" spans="2:3" ht="13">
      <c r="B964" s="38"/>
      <c r="C964" s="38"/>
    </row>
    <row r="965" spans="2:3" ht="13">
      <c r="B965" s="38"/>
      <c r="C965" s="38"/>
    </row>
    <row r="966" spans="2:3" ht="13">
      <c r="B966" s="38"/>
      <c r="C966" s="38"/>
    </row>
    <row r="967" spans="2:3" ht="13">
      <c r="B967" s="38"/>
      <c r="C967" s="38"/>
    </row>
    <row r="968" spans="2:3" ht="13">
      <c r="B968" s="38"/>
      <c r="C968" s="38"/>
    </row>
    <row r="969" spans="2:3" ht="13">
      <c r="B969" s="38"/>
      <c r="C969" s="38"/>
    </row>
    <row r="970" spans="2:3" ht="13">
      <c r="B970" s="38"/>
      <c r="C970" s="38"/>
    </row>
    <row r="971" spans="2:3" ht="13">
      <c r="B971" s="38"/>
      <c r="C971" s="38"/>
    </row>
    <row r="972" spans="2:3" ht="13">
      <c r="B972" s="38"/>
      <c r="C972" s="38"/>
    </row>
    <row r="973" spans="2:3" ht="13">
      <c r="B973" s="38"/>
      <c r="C973" s="38"/>
    </row>
    <row r="974" spans="2:3" ht="13">
      <c r="B974" s="38"/>
      <c r="C974" s="38"/>
    </row>
    <row r="975" spans="2:3" ht="13">
      <c r="B975" s="38"/>
      <c r="C975" s="38"/>
    </row>
    <row r="976" spans="2:3" ht="13">
      <c r="B976" s="38"/>
      <c r="C976" s="38"/>
    </row>
    <row r="977" spans="2:3" ht="13">
      <c r="B977" s="38"/>
      <c r="C977" s="38"/>
    </row>
    <row r="978" spans="2:3" ht="13">
      <c r="B978" s="38"/>
      <c r="C978" s="38"/>
    </row>
    <row r="979" spans="2:3" ht="13">
      <c r="B979" s="38"/>
      <c r="C979" s="38"/>
    </row>
    <row r="980" spans="2:3" ht="13">
      <c r="B980" s="38"/>
      <c r="C980" s="38"/>
    </row>
    <row r="981" spans="2:3" ht="13">
      <c r="B981" s="38"/>
      <c r="C981" s="38"/>
    </row>
    <row r="982" spans="2:3" ht="13">
      <c r="B982" s="38"/>
      <c r="C982" s="38"/>
    </row>
    <row r="983" spans="2:3" ht="13">
      <c r="B983" s="38"/>
      <c r="C983" s="38"/>
    </row>
    <row r="984" spans="2:3" ht="13">
      <c r="B984" s="38"/>
      <c r="C984" s="38"/>
    </row>
    <row r="985" spans="2:3" ht="13">
      <c r="B985" s="38"/>
      <c r="C985" s="38"/>
    </row>
    <row r="986" spans="2:3" ht="13">
      <c r="B986" s="38"/>
      <c r="C986" s="38"/>
    </row>
    <row r="987" spans="2:3" ht="13">
      <c r="B987" s="38"/>
      <c r="C987" s="38"/>
    </row>
    <row r="988" spans="2:3" ht="13">
      <c r="B988" s="38"/>
      <c r="C988" s="38"/>
    </row>
    <row r="989" spans="2:3" ht="13">
      <c r="B989" s="38"/>
      <c r="C989" s="38"/>
    </row>
    <row r="990" spans="2:3" ht="13">
      <c r="B990" s="38"/>
      <c r="C990" s="38"/>
    </row>
    <row r="991" spans="2:3" ht="13">
      <c r="B991" s="38"/>
      <c r="C991" s="38"/>
    </row>
    <row r="992" spans="2:3" ht="13">
      <c r="B992" s="38"/>
      <c r="C992" s="38"/>
    </row>
    <row r="993" spans="2:3" ht="13">
      <c r="B993" s="38"/>
      <c r="C993" s="38"/>
    </row>
    <row r="994" spans="2:3" ht="13">
      <c r="B994" s="38"/>
      <c r="C994" s="38"/>
    </row>
    <row r="995" spans="2:3" ht="13">
      <c r="B995" s="38"/>
      <c r="C995" s="38"/>
    </row>
    <row r="996" spans="2:3" ht="13">
      <c r="B996" s="38"/>
      <c r="C996" s="38"/>
    </row>
    <row r="997" spans="2:3" ht="13">
      <c r="B997" s="38"/>
      <c r="C997" s="38"/>
    </row>
    <row r="998" spans="2:3" ht="13">
      <c r="B998" s="38"/>
      <c r="C998" s="38"/>
    </row>
    <row r="999" spans="2:3" ht="13">
      <c r="B999" s="38"/>
      <c r="C999" s="38"/>
    </row>
    <row r="1000" spans="2:3" ht="13">
      <c r="B1000" s="38"/>
      <c r="C1000" s="38"/>
    </row>
    <row r="1001" spans="2:3" ht="13">
      <c r="B1001" s="38"/>
      <c r="C1001" s="38"/>
    </row>
    <row r="1002" spans="2:3" ht="13">
      <c r="B1002" s="38"/>
      <c r="C1002" s="38"/>
    </row>
    <row r="1003" spans="2:3" ht="13">
      <c r="B1003" s="38"/>
      <c r="C1003" s="38"/>
    </row>
    <row r="1004" spans="2:3" ht="13">
      <c r="B1004" s="38"/>
      <c r="C1004" s="38"/>
    </row>
    <row r="1005" spans="2:3" ht="13">
      <c r="B1005" s="38"/>
      <c r="C1005" s="38"/>
    </row>
    <row r="1006" spans="2:3" ht="13">
      <c r="B1006" s="38"/>
      <c r="C1006" s="38"/>
    </row>
    <row r="1007" spans="2:3" ht="13">
      <c r="B1007" s="38"/>
      <c r="C1007" s="38"/>
    </row>
    <row r="1008" spans="2:3" ht="13">
      <c r="B1008" s="38"/>
      <c r="C1008" s="38"/>
    </row>
  </sheetData>
  <mergeCells count="9">
    <mergeCell ref="B21:C21"/>
    <mergeCell ref="B22:C22"/>
    <mergeCell ref="B5:C5"/>
    <mergeCell ref="B6:C6"/>
    <mergeCell ref="B7:C7"/>
    <mergeCell ref="B8:C8"/>
    <mergeCell ref="B11:C11"/>
    <mergeCell ref="B16:C16"/>
    <mergeCell ref="B19:C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W1007"/>
  <sheetViews>
    <sheetView showGridLines="0" topLeftCell="A49" workbookViewId="0">
      <selection activeCell="D77" sqref="D77"/>
    </sheetView>
  </sheetViews>
  <sheetFormatPr baseColWidth="10" defaultColWidth="14.5" defaultRowHeight="15.75" customHeight="1"/>
  <cols>
    <col min="1" max="1" width="3.5" customWidth="1"/>
    <col min="2" max="2" width="32.5" customWidth="1"/>
    <col min="3" max="3" width="34" customWidth="1"/>
    <col min="4" max="4" width="17.33203125" customWidth="1"/>
    <col min="5" max="5" width="34.83203125" customWidth="1"/>
    <col min="6" max="6" width="30" customWidth="1"/>
    <col min="7" max="7" width="32.83203125" customWidth="1"/>
    <col min="8" max="8" width="33" customWidth="1"/>
    <col min="9" max="9" width="38.5" customWidth="1"/>
    <col min="10" max="10" width="43.6640625" customWidth="1"/>
  </cols>
  <sheetData>
    <row r="1" spans="1:23" ht="15" customHeight="1">
      <c r="A1" s="12"/>
      <c r="B1" s="12"/>
      <c r="C1" s="12"/>
      <c r="D1" s="14"/>
      <c r="E1" s="3"/>
    </row>
    <row r="2" spans="1:23" ht="22">
      <c r="A2" s="12"/>
      <c r="B2" s="13" t="s">
        <v>0</v>
      </c>
      <c r="C2" s="12"/>
      <c r="E2" s="14"/>
    </row>
    <row r="3" spans="1:23" ht="18">
      <c r="A3" s="12"/>
      <c r="B3" s="53" t="s">
        <v>49</v>
      </c>
      <c r="C3" s="54"/>
      <c r="D3" s="55">
        <f>SUM(D9:D257)</f>
        <v>382273.35</v>
      </c>
      <c r="E3" s="34" t="s">
        <v>22</v>
      </c>
    </row>
    <row r="4" spans="1:23" ht="13">
      <c r="A4" s="12"/>
      <c r="B4" s="56" t="s">
        <v>50</v>
      </c>
      <c r="C4" s="54"/>
      <c r="D4" s="57"/>
      <c r="E4" s="54"/>
    </row>
    <row r="5" spans="1:23" ht="12" customHeight="1">
      <c r="A5" s="12"/>
      <c r="B5" s="58"/>
      <c r="C5" s="54"/>
      <c r="D5" s="57"/>
      <c r="E5" s="54"/>
    </row>
    <row r="6" spans="1:23" ht="12" customHeight="1">
      <c r="A6" s="12"/>
      <c r="B6" s="35" t="s">
        <v>51</v>
      </c>
      <c r="C6" s="54"/>
      <c r="D6" s="57"/>
      <c r="E6" s="54"/>
    </row>
    <row r="7" spans="1:23" ht="12" customHeight="1">
      <c r="A7" s="12"/>
      <c r="B7" s="58"/>
      <c r="C7" s="54"/>
      <c r="D7" s="57"/>
      <c r="E7" s="54"/>
    </row>
    <row r="8" spans="1:23" ht="31.5" customHeight="1">
      <c r="A8" s="59"/>
      <c r="B8" s="60" t="s">
        <v>52</v>
      </c>
      <c r="C8" s="61" t="s">
        <v>53</v>
      </c>
      <c r="D8" s="62" t="s">
        <v>54</v>
      </c>
      <c r="E8" s="63"/>
      <c r="F8" s="63"/>
      <c r="G8" s="63"/>
      <c r="H8" s="63"/>
      <c r="I8" s="63"/>
      <c r="J8" s="63"/>
      <c r="K8" s="64"/>
      <c r="L8" s="64"/>
      <c r="M8" s="64"/>
      <c r="N8" s="64"/>
      <c r="O8" s="64"/>
      <c r="P8" s="64"/>
      <c r="Q8" s="64"/>
      <c r="R8" s="64"/>
      <c r="S8" s="64"/>
      <c r="T8" s="64"/>
      <c r="U8" s="64"/>
      <c r="V8" s="64"/>
      <c r="W8" s="64"/>
    </row>
    <row r="9" spans="1:23" ht="13">
      <c r="A9" s="65"/>
      <c r="B9" s="66" t="s">
        <v>55</v>
      </c>
      <c r="C9" s="66" t="s">
        <v>56</v>
      </c>
      <c r="D9" s="67">
        <f>'Inventory '!E63+'Inventory '!E64+'Inventory '!E67+'Inventory '!E85+'Inventory '!E94+'Inventory '!E134+'Inventory '!E142+'Inventory '!E145+'Inventory '!E155+'Inventory '!E159+'Inventory '!E270+'Inventory '!E272+'Inventory '!E297+'Inventory '!E308+'Inventory '!E317+'Inventory '!E329+'Inventory '!E344+'Inventory '!E367+'Inventory '!E458+'Inventory '!E461+'Inventory '!E495+'Inventory '!E553+'Inventory '!E544+'Inventory '!E534+'Inventory '!E516+'Inventory '!E666+'Inventory '!E769+'Inventory '!E789+'Inventory '!E801+'Inventory '!E819+'Inventory '!E829+'Inventory '!E837+'Inventory '!E854+'Inventory '!E862+'Inventory '!E869+'Inventory '!E1013+'Inventory '!E1035+'Inventory '!E1053+'Inventory '!E1063+'Inventory '!E1079+'Inventory '!E1095+'Inventory '!E1203+'Inventory '!E1229+'Inventory '!E1248+'Inventory '!E1264+'Inventory '!E1424+'Inventory '!E1442+'Inventory '!E1453+'Inventory '!E1458+'Inventory '!E1479+'Inventory '!E1504+'Inventory '!E1700+'Inventory '!E1712+'Inventory '!E1729+'Inventory '!E1748+'Inventory '!E1766</f>
        <v>50568.859999999986</v>
      </c>
      <c r="E9" s="68"/>
      <c r="F9" s="69"/>
      <c r="G9" s="70"/>
      <c r="H9" s="71"/>
      <c r="I9" s="72"/>
      <c r="J9" s="73"/>
      <c r="K9" s="39"/>
      <c r="L9" s="39"/>
      <c r="M9" s="39"/>
      <c r="N9" s="39"/>
      <c r="O9" s="39"/>
      <c r="P9" s="39"/>
      <c r="Q9" s="39"/>
      <c r="R9" s="39"/>
      <c r="S9" s="39"/>
      <c r="T9" s="39"/>
      <c r="U9" s="39"/>
      <c r="V9" s="39"/>
      <c r="W9" s="39"/>
    </row>
    <row r="10" spans="1:23" ht="13">
      <c r="A10" s="65"/>
      <c r="B10" s="66" t="s">
        <v>55</v>
      </c>
      <c r="C10" s="66" t="s">
        <v>57</v>
      </c>
      <c r="D10" s="74">
        <f>'Inventory '!E81+'Inventory '!E77+'Inventory '!E83+'Inventory '!E72+'Inventory '!E73+'Inventory '!E66+'Inventory '!E89+'Inventory '!E91+'Inventory '!E93+'Inventory '!E129+'Inventory '!E132+'Inventory '!E139+'Inventory '!E143++'Inventory '!E149+'Inventory '!E151+'Inventory '!E154++'Inventory '!E158+'Inventory '!E162+'Inventory '!E177+'Inventory '!E274+'Inventory '!E275+'Inventory '!E280+'Inventory '!E281+'Inventory '!E291+'Inventory '!E300+'Inventory '!E315+'Inventory '!E320+'Inventory '!E340+'Inventory '!E342+'Inventory '!E354+'Inventory '!E362+'Inventory '!E378+SUM('Inventory '!E479:E480)+'Inventory '!E482+'Inventory '!E514+'Inventory '!E513+'Inventory '!E522+'Inventory '!E525+'Inventory '!E529+'Inventory '!E541+'Inventory '!E551+'Inventory '!E552+'Inventory '!E585+'Inventory '!E575+'Inventory '!E661+'Inventory '!E690+'Inventory '!E692+'Inventory '!E706+'Inventory '!E683+'Inventory '!E767+'Inventory '!E776+'Inventory '!E786+'Inventory '!E797+'Inventory '!E815+'Inventory '!E828+'Inventory '!E846+'Inventory '!E848+'Inventory '!E853+'Inventory '!E861+'Inventory '!E1011+'Inventory '!E1024+'Inventory '!E1028+'Inventory '!E1033+'Inventory '!E1045+'Inventory '!E1052+'Inventory '!E1073+'Inventory '!E1084+'Inventory '!E1091+'Inventory '!E1103+'Inventory '!E1111+'Inventory '!E1274+'Inventory '!E1280+'Inventory '!E1258+'Inventory '!E1239+'Inventory '!E1233+'Inventory '!E1224+'Inventory '!E1219+'Inventory '!E1213+'Inventory '!E1502+'Inventory '!E1495+'Inventory '!E1487+'Inventory '!E1478+'Inventory '!E1471+'Inventory '!E1451+'Inventory '!E1438+'Inventory '!E1433+'Inventory '!E1779+'Inventory '!E1774+'Inventory '!E1755+'Inventory '!E1745+'Inventory '!E1739+'Inventory '!E1726+'Inventory '!E1721+'Inventory '!E1710+'Inventory '!E1699+'Inventory '!E1687+'Inventory '!E1681</f>
        <v>44529.439999999988</v>
      </c>
      <c r="E10" s="68"/>
      <c r="F10" s="69"/>
      <c r="G10" s="70"/>
      <c r="H10" s="71"/>
      <c r="I10" s="72"/>
      <c r="J10" s="71"/>
      <c r="K10" s="39"/>
      <c r="L10" s="39"/>
      <c r="M10" s="39"/>
      <c r="N10" s="39"/>
      <c r="O10" s="39"/>
      <c r="P10" s="39"/>
      <c r="Q10" s="39"/>
      <c r="R10" s="39"/>
      <c r="S10" s="39"/>
      <c r="T10" s="39"/>
      <c r="U10" s="39"/>
      <c r="V10" s="39"/>
      <c r="W10" s="39"/>
    </row>
    <row r="11" spans="1:23" ht="13">
      <c r="A11" s="65"/>
      <c r="B11" s="66" t="s">
        <v>58</v>
      </c>
      <c r="C11" s="66" t="s">
        <v>59</v>
      </c>
      <c r="D11" s="67">
        <f>'Inventory '!E387+'Inventory '!E390+'Inventory '!E391+'Inventory '!E586+'Inventory '!E589+'Inventory '!E590+'Inventory '!E591+'Inventory '!E593+'Inventory '!E597+'Inventory '!E598+'Inventory '!E599+'Inventory '!E595+SUM('Inventory '!E881:E882)+'Inventory '!E1120+'Inventory '!E1290+'Inventory '!E1292+'Inventory '!E1526+'Inventory '!E1530+'Inventory '!E1789+'Inventory '!E1791</f>
        <v>30178.040000000008</v>
      </c>
      <c r="E11" s="68"/>
      <c r="F11" s="69"/>
      <c r="G11" s="70"/>
      <c r="H11" s="71"/>
      <c r="I11" s="75"/>
      <c r="J11" s="73"/>
      <c r="K11" s="39"/>
      <c r="L11" s="39"/>
      <c r="M11" s="39"/>
      <c r="N11" s="39"/>
      <c r="O11" s="39"/>
      <c r="P11" s="39"/>
      <c r="Q11" s="39"/>
      <c r="R11" s="39"/>
      <c r="S11" s="39"/>
      <c r="T11" s="39"/>
      <c r="U11" s="39"/>
      <c r="V11" s="39"/>
      <c r="W11" s="39"/>
    </row>
    <row r="12" spans="1:23" ht="13">
      <c r="A12" s="65"/>
      <c r="B12" s="66" t="s">
        <v>60</v>
      </c>
      <c r="C12" s="66" t="s">
        <v>59</v>
      </c>
      <c r="D12" s="67">
        <f>SUM('Inventory '!E403:E405)+SUM('Inventory '!E407:E408)+'Inventory '!E412+'Inventory '!E414+SUM('Inventory '!E901:E902)+'Inventory '!E913+SUM('Inventory '!E919:E920)+'Inventory '!E927+'Inventory '!E951+88.53+'Inventory '!E1549+'Inventory '!E1581+'Inventory '!E1582+'Inventory '!E1584+'Inventory '!E1588+'Inventory '!E1806+'Inventory '!E1809+'Inventory '!E1812+'Inventory '!E1816+'Inventory '!E1822+'Inventory '!E1823</f>
        <v>28050.13</v>
      </c>
      <c r="E12" s="68"/>
      <c r="F12" s="69"/>
      <c r="G12" s="70"/>
      <c r="H12" s="71"/>
      <c r="I12" s="75"/>
      <c r="J12" s="73"/>
      <c r="K12" s="39"/>
      <c r="L12" s="39"/>
      <c r="M12" s="39"/>
      <c r="N12" s="39"/>
      <c r="O12" s="39"/>
      <c r="P12" s="39"/>
      <c r="Q12" s="39"/>
      <c r="R12" s="39"/>
      <c r="S12" s="39"/>
      <c r="T12" s="39"/>
      <c r="U12" s="39"/>
      <c r="V12" s="39"/>
      <c r="W12" s="39"/>
    </row>
    <row r="13" spans="1:23" ht="13">
      <c r="A13" s="65"/>
      <c r="B13" s="66" t="s">
        <v>55</v>
      </c>
      <c r="C13" s="66" t="s">
        <v>59</v>
      </c>
      <c r="D13" s="67">
        <f>'Inventory '!E279+'Inventory '!E284+'Inventory '!E290+'Inventory '!E321+'Inventory '!E334+'Inventory '!E337+'Inventory '!E341+'Inventory '!E356+'Inventory '!E360+'Inventory '!E365+'Inventory '!E377+'Inventory '!E455+'Inventory '!E459+SUM('Inventory '!E483:E487)+SUM('Inventory '!E493:E494)+'Inventory '!E507+SUM('Inventory '!E510:E512)+'Inventory '!E521+'Inventory '!E524+'Inventory '!E528+'Inventory '!E530+'Inventory '!E532+'Inventory '!E556+SUM('Inventory '!E549:E550)+SUM('Inventory '!E539:E540)+'Inventory '!E576+'Inventory '!E578+'Inventory '!E580+'Inventory '!E582+'Inventory '!E583+'Inventory '!E689+'Inventory '!E766+'Inventory '!E768+'Inventory '!E785+'Inventory '!E788+'Inventory '!E796+'Inventory '!E808+'Inventory '!E812+'Inventory '!E827+'Inventory '!E833+'Inventory '!E835+'Inventory '!E845+'Inventory '!E860+'Inventory '!E868+'Inventory '!E971+'Inventory '!E1009+'Inventory '!E1021+'Inventory '!E1027+'Inventory '!E1044+'Inventory '!E1049+'Inventory '!E1061+'Inventory '!E1086+'Inventory '!E1089+'Inventory '!E1102+'Inventory '!E1109+SUM('Inventory '!E1190:E1192)+'Inventory '!E1197+SUM('Inventory '!E1199:E1200)+'Inventory '!E1212+'Inventory '!E1217+'Inventory '!E1223+'Inventory '!E1226+'Inventory '!E1236+'Inventory '!E1241+'Inventory '!E1257+'Inventory '!E1261+'Inventory '!E1271+'Inventory '!E1277+'Inventory '!E1282+'Inventory '!E1519+'Inventory '!E1518+'Inventory '!E1513+'Inventory '!E1500+'Inventory '!E1493+'Inventory '!E1486+'Inventory '!E1476+'Inventory '!E1467+'Inventory '!E1450+'Inventory '!E1432+'Inventory '!E1422+'Inventory '!E1630+'Inventory '!E1778+'Inventory '!E1775+'Inventory '!E1773+'Inventory '!E1763+'Inventory '!E1754+'Inventory '!E1744+'Inventory '!E1738+'Inventory '!E1718+'Inventory '!E1709+'Inventory '!E1697+'Inventory '!E1692+'Inventory '!E1684+'Inventory '!E1680</f>
        <v>23550.899999999994</v>
      </c>
      <c r="E13" s="68"/>
      <c r="F13" s="69"/>
      <c r="G13" s="70"/>
      <c r="H13" s="71"/>
      <c r="I13" s="75"/>
      <c r="J13" s="73"/>
      <c r="K13" s="39"/>
      <c r="L13" s="39"/>
      <c r="M13" s="39"/>
      <c r="N13" s="39"/>
      <c r="O13" s="39"/>
      <c r="P13" s="39"/>
      <c r="Q13" s="39"/>
      <c r="R13" s="39"/>
      <c r="S13" s="39"/>
      <c r="T13" s="39"/>
      <c r="U13" s="39"/>
      <c r="V13" s="39"/>
      <c r="W13" s="39"/>
    </row>
    <row r="14" spans="1:23" ht="13">
      <c r="A14" s="65"/>
      <c r="B14" s="66" t="s">
        <v>61</v>
      </c>
      <c r="C14" s="66" t="s">
        <v>62</v>
      </c>
      <c r="D14" s="76">
        <f>'Inventory '!E171+SUM('Inventory '!E183:E186)+SUM('Inventory '!E393:E396)+'Inventory '!E474+'Inventory '!E501+'Inventory '!E571+'Inventory '!E708+'Inventory '!E714+SUM('Inventory '!E887:E891)+SUM('Inventory '!E1295:E1299)+SUM('Inventory '!E1533:E1539)+SUM('Inventory '!E1793:E1796)</f>
        <v>19294.290000000005</v>
      </c>
      <c r="E14" s="68"/>
      <c r="F14" s="69"/>
      <c r="G14" s="70"/>
      <c r="H14" s="71"/>
      <c r="I14" s="75"/>
      <c r="J14" s="73"/>
      <c r="K14" s="39"/>
      <c r="L14" s="39"/>
      <c r="M14" s="39"/>
      <c r="N14" s="39"/>
      <c r="O14" s="39"/>
      <c r="P14" s="39"/>
      <c r="Q14" s="39"/>
      <c r="R14" s="39"/>
      <c r="S14" s="39"/>
      <c r="T14" s="39"/>
      <c r="U14" s="39"/>
      <c r="V14" s="39"/>
      <c r="W14" s="39"/>
    </row>
    <row r="15" spans="1:23" ht="13">
      <c r="A15" s="65"/>
      <c r="B15" s="66" t="s">
        <v>55</v>
      </c>
      <c r="C15" s="66" t="s">
        <v>63</v>
      </c>
      <c r="D15" s="67">
        <f>'Inventory '!E371+'Inventory '!E358+'Inventory '!E346+'Inventory '!E332+'Inventory '!E327+'Inventory '!E311+'Inventory '!E305+'Inventory '!E298+'Inventory '!E295+'Inventory '!E293+'Inventory '!E282+'Inventory '!E277+'Inventory '!E276+'Inventory '!E476+SUM('Inventory '!E488:E490)+'Inventory '!E496+'Inventory '!E508+'Inventory '!E518+'Inventory '!E519+'Inventory '!E526+'Inventory '!E533+SUM('Inventory '!E535:E538)+SUM('Inventory '!E546:E547)+'Inventory '!E573+'Inventory '!E581+'Inventory '!E864+'Inventory '!E840+'Inventory '!E822+'Inventory '!E810+'Inventory '!E791+'Inventory '!E779+'Inventory '!E1105+'Inventory '!E1097+'Inventory '!E1080+'Inventory '!E1077+'Inventory '!E1067+'Inventory '!E1056+'Inventory '!E1047+'Inventory '!E1038+'Inventory '!E1029+'Inventory '!E1016+'Inventory '!E1275+'Inventory '!E1266+'Inventory '!E1260+'Inventory '!E1252+'Inventory '!E1240+'Inventory '!E1234+'Inventory '!E1214+'Inventory '!E1205+'Inventory '!E1420+'Inventory '!E1426+'Inventory '!E1434+'Inventory '!E1445+'Inventory '!E1455+'Inventory '!E1461+'Inventory '!E1472+'Inventory '!E1474+'Inventory '!E1481+'Inventory '!E1489+'Inventory '!E1507+'Inventory '!E1516+'Inventory '!E1674+'Inventory '!E1689+'Inventory '!E1701+'Inventory '!E1732+'Inventory '!E1747+'Inventory '!E1767</f>
        <v>17350.269999999997</v>
      </c>
      <c r="E15" s="68"/>
      <c r="F15" s="69"/>
      <c r="G15" s="70"/>
      <c r="H15" s="71"/>
      <c r="I15" s="75"/>
      <c r="J15" s="73"/>
      <c r="K15" s="39"/>
      <c r="L15" s="39"/>
      <c r="M15" s="39"/>
      <c r="N15" s="39"/>
      <c r="O15" s="39"/>
      <c r="P15" s="39"/>
      <c r="Q15" s="39"/>
      <c r="R15" s="39"/>
      <c r="S15" s="39"/>
      <c r="T15" s="39"/>
      <c r="U15" s="39"/>
      <c r="V15" s="39"/>
      <c r="W15" s="39"/>
    </row>
    <row r="16" spans="1:23" ht="13">
      <c r="A16" s="65"/>
      <c r="B16" s="66" t="s">
        <v>64</v>
      </c>
      <c r="C16" s="66" t="s">
        <v>62</v>
      </c>
      <c r="D16" s="67">
        <f>SUM('Inventory '!E379:E381)+SUM('Inventory '!E874:E876)+SUM('Inventory '!E1112:E1118)+SUM('Inventory '!E1284:E1289)+SUM('Inventory '!E1284:E1289)+SUM('Inventory '!E1521:E1525)+SUM('Inventory '!E1781:E1787)</f>
        <v>15891.29</v>
      </c>
      <c r="E16" s="68"/>
      <c r="F16" s="69"/>
      <c r="G16" s="70"/>
      <c r="H16" s="71"/>
      <c r="I16" s="75"/>
      <c r="J16" s="73"/>
      <c r="K16" s="39"/>
      <c r="L16" s="39"/>
      <c r="M16" s="39"/>
      <c r="N16" s="39"/>
      <c r="O16" s="39"/>
      <c r="P16" s="39"/>
      <c r="Q16" s="39"/>
      <c r="R16" s="39"/>
      <c r="S16" s="39"/>
      <c r="T16" s="39"/>
      <c r="U16" s="39"/>
      <c r="V16" s="39"/>
      <c r="W16" s="39"/>
    </row>
    <row r="17" spans="1:23" ht="13">
      <c r="A17" s="65"/>
      <c r="B17" s="66" t="s">
        <v>60</v>
      </c>
      <c r="C17" s="66" t="s">
        <v>59</v>
      </c>
      <c r="D17" s="67">
        <f>SUM('Inventory '!E558:E563)+'Inventory '!E1315+'Inventory '!E1320+'Inventory '!E1345+'Inventory '!E1352+'Inventory '!E1358+'Inventory '!E1360+'Inventory '!E1362</f>
        <v>15145.8</v>
      </c>
      <c r="E17" s="68"/>
      <c r="F17" s="69"/>
      <c r="G17" s="70"/>
      <c r="H17" s="71"/>
      <c r="I17" s="75"/>
      <c r="J17" s="73"/>
      <c r="K17" s="39"/>
      <c r="L17" s="39"/>
      <c r="M17" s="39"/>
      <c r="N17" s="39"/>
      <c r="O17" s="39"/>
      <c r="P17" s="39"/>
      <c r="Q17" s="39"/>
      <c r="R17" s="39"/>
      <c r="S17" s="39"/>
      <c r="T17" s="39"/>
      <c r="U17" s="39"/>
      <c r="V17" s="39"/>
      <c r="W17" s="39"/>
    </row>
    <row r="18" spans="1:23" ht="13">
      <c r="A18" s="65"/>
      <c r="B18" s="66" t="s">
        <v>65</v>
      </c>
      <c r="C18" s="66" t="s">
        <v>66</v>
      </c>
      <c r="D18" s="67">
        <f>'Inventory '!E1379+'Inventory '!E1381+'Inventory '!E1384+SUM('Inventory '!E1386:E1388)+SUM('Inventory '!E1390:E1393)+SUM('Inventory '!E1613:E1614)+'Inventory '!E1617+'Inventory '!E1619+'Inventory '!E1623+'Inventory '!E1638+'Inventory '!E1857+'Inventory '!E1855+'Inventory '!E1861+'Inventory '!E1862+'Inventory '!E1866+'Inventory '!E1867</f>
        <v>8369.9</v>
      </c>
      <c r="E18" s="68"/>
      <c r="F18" s="69"/>
      <c r="G18" s="70"/>
      <c r="H18" s="71"/>
      <c r="I18" s="75"/>
      <c r="J18" s="73"/>
      <c r="K18" s="39"/>
      <c r="L18" s="39"/>
      <c r="M18" s="39"/>
      <c r="N18" s="39"/>
      <c r="O18" s="39"/>
      <c r="P18" s="39"/>
      <c r="Q18" s="39"/>
      <c r="R18" s="39"/>
      <c r="S18" s="39"/>
      <c r="T18" s="39"/>
      <c r="U18" s="39"/>
      <c r="V18" s="39"/>
      <c r="W18" s="39"/>
    </row>
    <row r="19" spans="1:23" ht="13">
      <c r="A19" s="65"/>
      <c r="B19" s="66" t="s">
        <v>67</v>
      </c>
      <c r="C19" s="66" t="s">
        <v>62</v>
      </c>
      <c r="D19" s="67">
        <f>SUM('Inventory '!E419:E421)+SUM('Inventory '!E567:E568)+'Inventory '!E735+SUM('Inventory '!E958:E960)+SUM('Inventory '!E1370:E1372)+SUM('Inventory '!E1605:E1606)+SUM('Inventory '!E1849:E1851)</f>
        <v>7920.5</v>
      </c>
      <c r="E19" s="68"/>
      <c r="F19" s="69"/>
      <c r="G19" s="70"/>
      <c r="H19" s="71"/>
      <c r="I19" s="75"/>
      <c r="J19" s="73"/>
      <c r="K19" s="39"/>
      <c r="L19" s="39"/>
      <c r="M19" s="39"/>
      <c r="N19" s="39"/>
      <c r="O19" s="39"/>
      <c r="P19" s="39"/>
      <c r="Q19" s="39"/>
      <c r="R19" s="39"/>
      <c r="S19" s="39"/>
      <c r="T19" s="39"/>
      <c r="U19" s="39"/>
      <c r="V19" s="39"/>
      <c r="W19" s="39"/>
    </row>
    <row r="20" spans="1:23" ht="13">
      <c r="A20" s="65"/>
      <c r="B20" s="66" t="s">
        <v>55</v>
      </c>
      <c r="C20" s="66" t="s">
        <v>62</v>
      </c>
      <c r="D20" s="67">
        <f>'Inventory '!E78+'Inventory '!E283+'Inventory '!E336+'Inventory '!E347+'Inventory '!E355+'Inventory '!E364+'Inventory '!E278+'Inventory '!E492+'Inventory '!E477+'Inventory '!E548+'Inventory '!E527+'Inventory '!E520+'Inventory '!E509+'Inventory '!E574+'Inventory '!E579+'Inventory '!E584+'Inventory '!E804+'Inventory '!E811+'Inventory '!E816+'Inventory '!E836+'Inventory '!E851+'Inventory '!E792+'Inventory '!E782+'Inventory '!E765+'Inventory '!E851+'Inventory '!E1017+'Inventory '!E1026+'Inventory '!E1030+'Inventory '!E1104+'Inventory '!E1421+'Inventory '!E1427+'Inventory '!E1439+'Inventory '!E1491+'Inventory '!E1498+'Inventory '!E1517+1013+'Inventory '!E1686+'Inventory '!E1690+'Inventory '!E1704+'Inventory '!E1713+'Inventory '!E1727+'Inventory '!E1743+'Inventory '!E1760</f>
        <v>7918.4099999999989</v>
      </c>
      <c r="E20" s="68"/>
      <c r="F20" s="69"/>
      <c r="G20" s="70"/>
      <c r="H20" s="71"/>
      <c r="I20" s="75"/>
      <c r="J20" s="73"/>
      <c r="K20" s="39"/>
      <c r="L20" s="39"/>
      <c r="M20" s="39"/>
      <c r="N20" s="39"/>
      <c r="O20" s="39"/>
      <c r="P20" s="39"/>
      <c r="Q20" s="39"/>
      <c r="R20" s="39"/>
      <c r="S20" s="39"/>
      <c r="T20" s="39"/>
      <c r="U20" s="39"/>
      <c r="V20" s="39"/>
      <c r="W20" s="39"/>
    </row>
    <row r="21" spans="1:23" ht="13">
      <c r="A21" s="65"/>
      <c r="B21" s="66" t="s">
        <v>61</v>
      </c>
      <c r="C21" s="66" t="s">
        <v>68</v>
      </c>
      <c r="D21" s="67">
        <f>'Inventory '!E169+SUM('Inventory '!E180:E182)+686.66</f>
        <v>5920.96</v>
      </c>
      <c r="E21" s="68"/>
      <c r="F21" s="69"/>
      <c r="G21" s="70"/>
      <c r="H21" s="71"/>
      <c r="I21" s="75"/>
      <c r="J21" s="73"/>
      <c r="K21" s="39"/>
      <c r="L21" s="39"/>
      <c r="M21" s="39"/>
      <c r="N21" s="39"/>
      <c r="O21" s="39"/>
      <c r="P21" s="39"/>
      <c r="Q21" s="39"/>
      <c r="R21" s="39"/>
      <c r="S21" s="39"/>
      <c r="T21" s="39"/>
      <c r="U21" s="39"/>
      <c r="V21" s="39"/>
      <c r="W21" s="39"/>
    </row>
    <row r="22" spans="1:23" ht="13">
      <c r="A22" s="65"/>
      <c r="B22" s="66" t="s">
        <v>69</v>
      </c>
      <c r="C22" s="66" t="s">
        <v>70</v>
      </c>
      <c r="D22" s="67">
        <f>SUM('Inventory '!E1607:E1608)+'Inventory '!E1852</f>
        <v>4724.75</v>
      </c>
      <c r="E22" s="68"/>
      <c r="F22" s="69"/>
      <c r="G22" s="70"/>
      <c r="H22" s="71"/>
      <c r="I22" s="75"/>
      <c r="J22" s="73"/>
      <c r="K22" s="39"/>
      <c r="L22" s="39"/>
      <c r="M22" s="39"/>
      <c r="N22" s="39"/>
      <c r="O22" s="39"/>
      <c r="P22" s="39"/>
      <c r="Q22" s="39"/>
      <c r="R22" s="39"/>
      <c r="S22" s="39"/>
      <c r="T22" s="39"/>
      <c r="U22" s="39"/>
      <c r="V22" s="39"/>
      <c r="W22" s="39"/>
    </row>
    <row r="23" spans="1:23" ht="13">
      <c r="A23" s="65"/>
      <c r="B23" s="66" t="s">
        <v>71</v>
      </c>
      <c r="C23" s="66" t="s">
        <v>62</v>
      </c>
      <c r="D23" s="67">
        <f>'Inventory '!E230+SUM('Inventory '!E429:E432)+'Inventory '!E497+SUM('Inventory '!E564:E565)+'Inventory '!E729+SUM('Inventory '!E952:E953)</f>
        <v>4613.3499999999995</v>
      </c>
      <c r="E23" s="68"/>
      <c r="F23" s="69"/>
      <c r="G23" s="70"/>
      <c r="H23" s="71"/>
      <c r="I23" s="75"/>
      <c r="J23" s="73"/>
      <c r="K23" s="39"/>
      <c r="L23" s="39"/>
      <c r="M23" s="39"/>
      <c r="N23" s="39"/>
      <c r="O23" s="39"/>
      <c r="P23" s="39"/>
      <c r="Q23" s="39"/>
      <c r="R23" s="39"/>
      <c r="S23" s="39"/>
      <c r="T23" s="39"/>
      <c r="U23" s="39"/>
      <c r="V23" s="39"/>
      <c r="W23" s="39"/>
    </row>
    <row r="24" spans="1:23" ht="13">
      <c r="A24" s="65"/>
      <c r="B24" s="66" t="s">
        <v>72</v>
      </c>
      <c r="C24" s="66" t="s">
        <v>73</v>
      </c>
      <c r="D24" s="67">
        <f>'Inventory '!E231+'Inventory '!E730</f>
        <v>4490.29</v>
      </c>
      <c r="E24" s="68"/>
      <c r="F24" s="69"/>
      <c r="G24" s="70"/>
      <c r="H24" s="71"/>
      <c r="I24" s="75"/>
      <c r="J24" s="73"/>
      <c r="K24" s="39"/>
      <c r="L24" s="39"/>
      <c r="M24" s="39"/>
      <c r="N24" s="39"/>
      <c r="O24" s="39"/>
      <c r="P24" s="39"/>
      <c r="Q24" s="39"/>
      <c r="R24" s="39"/>
      <c r="S24" s="39"/>
      <c r="T24" s="39"/>
      <c r="U24" s="39"/>
      <c r="V24" s="39"/>
      <c r="W24" s="39"/>
    </row>
    <row r="25" spans="1:23" ht="13">
      <c r="A25" s="65"/>
      <c r="B25" s="66" t="s">
        <v>55</v>
      </c>
      <c r="C25" s="66" t="s">
        <v>70</v>
      </c>
      <c r="D25" s="67">
        <f>'Inventory '!E273+'Inventory '!E369+'Inventory '!E457+'Inventory '!E554+'Inventory '!E1064+'Inventory '!E1204+'Inventory '!E1249+'Inventory '!E1443+'Inventory '!E1459+'Inventory '!E1749+'Inventory '!E1730+'Inventory '!E1683+'Inventory '!E1670</f>
        <v>4486.6899999999987</v>
      </c>
      <c r="E25" s="68"/>
      <c r="F25" s="69"/>
      <c r="G25" s="70"/>
      <c r="H25" s="71"/>
      <c r="I25" s="75"/>
      <c r="J25" s="73"/>
      <c r="K25" s="39"/>
      <c r="L25" s="39"/>
      <c r="M25" s="39"/>
      <c r="N25" s="39"/>
      <c r="O25" s="39"/>
      <c r="P25" s="39"/>
      <c r="Q25" s="39"/>
      <c r="R25" s="39"/>
      <c r="S25" s="39"/>
      <c r="T25" s="39"/>
      <c r="U25" s="39"/>
      <c r="V25" s="39"/>
      <c r="W25" s="39"/>
    </row>
    <row r="26" spans="1:23" ht="13">
      <c r="A26" s="65"/>
      <c r="B26" s="66" t="s">
        <v>74</v>
      </c>
      <c r="C26" s="66" t="s">
        <v>59</v>
      </c>
      <c r="D26" s="67">
        <f>'Inventory '!E415+'Inventory '!E566+SUM('Inventory '!E954:E955)+'Inventory '!E1364+'Inventory '!E1833+'Inventory '!E1834</f>
        <v>4361.96</v>
      </c>
      <c r="E26" s="68"/>
      <c r="F26" s="69"/>
      <c r="G26" s="70"/>
      <c r="H26" s="71"/>
      <c r="I26" s="75"/>
      <c r="J26" s="73"/>
      <c r="K26" s="39"/>
      <c r="L26" s="39"/>
      <c r="M26" s="39"/>
      <c r="N26" s="39"/>
      <c r="O26" s="39"/>
      <c r="P26" s="39"/>
      <c r="Q26" s="39"/>
      <c r="R26" s="39"/>
      <c r="S26" s="39"/>
      <c r="T26" s="39"/>
      <c r="U26" s="39"/>
      <c r="V26" s="39"/>
      <c r="W26" s="39"/>
    </row>
    <row r="27" spans="1:23" ht="13">
      <c r="A27" s="65"/>
      <c r="B27" s="66" t="s">
        <v>75</v>
      </c>
      <c r="C27" s="66" t="s">
        <v>76</v>
      </c>
      <c r="D27" s="67">
        <f>'Inventory '!E234+'Inventory '!E467+'Inventory '!E732+'Inventory '!E968</f>
        <v>3471.8</v>
      </c>
      <c r="E27" s="68"/>
      <c r="F27" s="69"/>
      <c r="G27" s="70"/>
      <c r="H27" s="71"/>
      <c r="I27" s="75"/>
      <c r="J27" s="73"/>
      <c r="K27" s="39"/>
      <c r="L27" s="39"/>
      <c r="M27" s="39"/>
      <c r="N27" s="39"/>
      <c r="O27" s="39"/>
      <c r="P27" s="39"/>
      <c r="Q27" s="39"/>
      <c r="R27" s="39"/>
      <c r="S27" s="39"/>
      <c r="T27" s="39"/>
      <c r="U27" s="39"/>
      <c r="V27" s="39"/>
      <c r="W27" s="39"/>
    </row>
    <row r="28" spans="1:23" ht="13">
      <c r="A28" s="65"/>
      <c r="B28" s="66" t="s">
        <v>77</v>
      </c>
      <c r="C28" s="66" t="s">
        <v>78</v>
      </c>
      <c r="D28" s="67">
        <f>'Inventory '!E232+'Inventory '!E731+'Inventory '!E1592+'Inventory '!E1594</f>
        <v>2970.0299999999997</v>
      </c>
      <c r="E28" s="68"/>
      <c r="F28" s="69"/>
      <c r="G28" s="70"/>
      <c r="H28" s="71"/>
      <c r="I28" s="75"/>
      <c r="J28" s="73"/>
      <c r="K28" s="39"/>
      <c r="L28" s="39"/>
      <c r="M28" s="39"/>
      <c r="N28" s="39"/>
      <c r="O28" s="39"/>
      <c r="P28" s="39"/>
      <c r="Q28" s="39"/>
      <c r="R28" s="39"/>
      <c r="S28" s="39"/>
      <c r="T28" s="39"/>
      <c r="U28" s="39"/>
      <c r="V28" s="39"/>
      <c r="W28" s="39"/>
    </row>
    <row r="29" spans="1:23" ht="13">
      <c r="A29" s="65"/>
      <c r="B29" s="66" t="s">
        <v>55</v>
      </c>
      <c r="C29" s="66" t="s">
        <v>79</v>
      </c>
      <c r="D29" s="74">
        <f>'Inventory '!E69+'Inventory '!E71+'Inventory '!E98+'Inventory '!E86+'Inventory '!E108+SUM('Inventory '!E118:E120)</f>
        <v>2726.37</v>
      </c>
      <c r="E29" s="68"/>
      <c r="F29" s="69"/>
      <c r="G29" s="70"/>
      <c r="H29" s="71"/>
      <c r="I29" s="75"/>
      <c r="J29" s="73"/>
      <c r="K29" s="39"/>
      <c r="L29" s="39"/>
      <c r="M29" s="39"/>
      <c r="N29" s="39"/>
      <c r="O29" s="39"/>
      <c r="P29" s="39"/>
      <c r="Q29" s="39"/>
      <c r="R29" s="39"/>
      <c r="S29" s="39"/>
      <c r="T29" s="39"/>
      <c r="U29" s="39"/>
      <c r="V29" s="39"/>
      <c r="W29" s="39"/>
    </row>
    <row r="30" spans="1:23" ht="13">
      <c r="A30" s="65"/>
      <c r="B30" s="66" t="s">
        <v>61</v>
      </c>
      <c r="C30" s="66" t="s">
        <v>80</v>
      </c>
      <c r="D30" s="67">
        <f>'Inventory '!E176+296.21+510.14+17.9</f>
        <v>1467.9900000000002</v>
      </c>
      <c r="E30" s="68"/>
      <c r="F30" s="69"/>
      <c r="G30" s="70"/>
      <c r="H30" s="71"/>
      <c r="I30" s="75"/>
      <c r="J30" s="73"/>
      <c r="K30" s="39"/>
      <c r="L30" s="39"/>
      <c r="M30" s="39"/>
      <c r="N30" s="39"/>
      <c r="O30" s="39"/>
      <c r="P30" s="39"/>
      <c r="Q30" s="39"/>
      <c r="R30" s="39"/>
      <c r="S30" s="39"/>
      <c r="T30" s="39"/>
      <c r="U30" s="39"/>
      <c r="V30" s="39"/>
      <c r="W30" s="39"/>
    </row>
    <row r="31" spans="1:23" ht="13">
      <c r="A31" s="65"/>
      <c r="B31" s="66" t="s">
        <v>55</v>
      </c>
      <c r="C31" s="66" t="s">
        <v>81</v>
      </c>
      <c r="D31" s="67">
        <f>'Inventory '!E84+'Inventory '!E95+'Inventory '!E131+'Inventory '!E136+'Inventory '!E156+'Inventory '!E704</f>
        <v>1410.9699999999998</v>
      </c>
      <c r="E31" s="68"/>
      <c r="F31" s="69"/>
      <c r="G31" s="70"/>
      <c r="H31" s="71"/>
      <c r="I31" s="75"/>
      <c r="J31" s="73"/>
      <c r="K31" s="39"/>
      <c r="L31" s="39"/>
      <c r="M31" s="39"/>
      <c r="N31" s="39"/>
      <c r="O31" s="39"/>
      <c r="P31" s="39"/>
      <c r="Q31" s="39"/>
      <c r="R31" s="39"/>
      <c r="S31" s="39"/>
      <c r="T31" s="39"/>
      <c r="U31" s="39"/>
      <c r="V31" s="39"/>
      <c r="W31" s="39"/>
    </row>
    <row r="32" spans="1:23" ht="13">
      <c r="A32" s="65"/>
      <c r="B32" s="66" t="s">
        <v>60</v>
      </c>
      <c r="C32" s="66" t="s">
        <v>62</v>
      </c>
      <c r="D32" s="67">
        <f>'Inventory '!E210+SUM('Inventory '!E400:E402)+SUM('Inventory '!E503:E504)</f>
        <v>1182.1400000000001</v>
      </c>
      <c r="E32" s="68"/>
      <c r="F32" s="69"/>
      <c r="G32" s="70"/>
      <c r="H32" s="71"/>
      <c r="I32" s="75"/>
      <c r="J32" s="73"/>
      <c r="K32" s="39"/>
      <c r="L32" s="39"/>
      <c r="M32" s="39"/>
      <c r="N32" s="39"/>
      <c r="O32" s="39"/>
      <c r="P32" s="39"/>
      <c r="Q32" s="39"/>
      <c r="R32" s="39"/>
      <c r="S32" s="39"/>
      <c r="T32" s="39"/>
      <c r="U32" s="39"/>
      <c r="V32" s="39"/>
      <c r="W32" s="39"/>
    </row>
    <row r="33" spans="1:23" ht="13">
      <c r="A33" s="65"/>
      <c r="B33" s="66" t="s">
        <v>65</v>
      </c>
      <c r="C33" s="66" t="s">
        <v>59</v>
      </c>
      <c r="D33" s="67">
        <f>'Inventory '!E1854+'Inventory '!E1858</f>
        <v>864.58</v>
      </c>
      <c r="E33" s="68"/>
      <c r="F33" s="69"/>
      <c r="G33" s="70"/>
      <c r="H33" s="71"/>
      <c r="I33" s="75"/>
      <c r="J33" s="73"/>
      <c r="K33" s="39"/>
      <c r="L33" s="39"/>
      <c r="M33" s="39"/>
      <c r="N33" s="39"/>
      <c r="O33" s="39"/>
      <c r="P33" s="39"/>
      <c r="Q33" s="39"/>
      <c r="R33" s="39"/>
      <c r="S33" s="39"/>
      <c r="T33" s="39"/>
      <c r="U33" s="39"/>
      <c r="V33" s="39"/>
      <c r="W33" s="39"/>
    </row>
    <row r="34" spans="1:23" ht="13">
      <c r="A34" s="65"/>
      <c r="B34" s="66" t="s">
        <v>60</v>
      </c>
      <c r="C34" s="66" t="s">
        <v>68</v>
      </c>
      <c r="D34" s="67">
        <f>'Inventory '!E220</f>
        <v>856.47</v>
      </c>
      <c r="E34" s="68"/>
      <c r="F34" s="69"/>
      <c r="G34" s="70"/>
      <c r="H34" s="71"/>
      <c r="I34" s="75"/>
      <c r="J34" s="73"/>
      <c r="K34" s="39"/>
      <c r="L34" s="39"/>
      <c r="M34" s="39"/>
      <c r="N34" s="39"/>
      <c r="O34" s="39"/>
      <c r="P34" s="39"/>
      <c r="Q34" s="39"/>
      <c r="R34" s="39"/>
      <c r="S34" s="39"/>
      <c r="T34" s="39"/>
      <c r="U34" s="39"/>
      <c r="V34" s="39"/>
      <c r="W34" s="39"/>
    </row>
    <row r="35" spans="1:23" ht="13">
      <c r="A35" s="65"/>
      <c r="B35" s="66" t="s">
        <v>82</v>
      </c>
      <c r="C35" s="66" t="s">
        <v>76</v>
      </c>
      <c r="D35" s="67">
        <f>'Inventory '!E753</f>
        <v>699</v>
      </c>
      <c r="E35" s="68"/>
      <c r="F35" s="69"/>
      <c r="G35" s="70"/>
      <c r="H35" s="71"/>
      <c r="I35" s="75"/>
      <c r="J35" s="73"/>
      <c r="K35" s="39"/>
      <c r="L35" s="39"/>
      <c r="M35" s="39"/>
      <c r="N35" s="39"/>
      <c r="O35" s="39"/>
      <c r="P35" s="39"/>
      <c r="Q35" s="39"/>
      <c r="R35" s="39"/>
      <c r="S35" s="39"/>
      <c r="T35" s="39"/>
      <c r="U35" s="39"/>
      <c r="V35" s="39"/>
      <c r="W35" s="39"/>
    </row>
    <row r="36" spans="1:23" ht="13">
      <c r="A36" s="65"/>
      <c r="B36" s="66" t="s">
        <v>83</v>
      </c>
      <c r="C36" s="66" t="s">
        <v>59</v>
      </c>
      <c r="D36" s="67">
        <f>'Inventory '!E763+'Inventory '!E1418</f>
        <v>663.42000000000007</v>
      </c>
      <c r="E36" s="68"/>
      <c r="F36" s="69"/>
      <c r="G36" s="70"/>
      <c r="H36" s="71"/>
      <c r="I36" s="75"/>
      <c r="J36" s="73"/>
      <c r="K36" s="39"/>
      <c r="L36" s="39"/>
      <c r="M36" s="39"/>
      <c r="N36" s="39"/>
      <c r="O36" s="39"/>
      <c r="P36" s="39"/>
      <c r="Q36" s="39"/>
      <c r="R36" s="39"/>
      <c r="S36" s="39"/>
      <c r="T36" s="39"/>
      <c r="U36" s="39"/>
      <c r="V36" s="39"/>
      <c r="W36" s="39"/>
    </row>
    <row r="37" spans="1:23" ht="13">
      <c r="A37" s="65"/>
      <c r="B37" s="66" t="s">
        <v>84</v>
      </c>
      <c r="C37" s="66" t="s">
        <v>62</v>
      </c>
      <c r="D37" s="67">
        <f>'Inventory '!E499+'Inventory '!E712+'Inventory '!E1532</f>
        <v>604.68000000000006</v>
      </c>
      <c r="E37" s="68"/>
      <c r="F37" s="69"/>
      <c r="G37" s="70"/>
      <c r="H37" s="71"/>
      <c r="I37" s="75"/>
      <c r="J37" s="73"/>
      <c r="K37" s="39"/>
      <c r="L37" s="39"/>
      <c r="M37" s="39"/>
      <c r="N37" s="39"/>
      <c r="O37" s="39"/>
      <c r="P37" s="39"/>
      <c r="Q37" s="39"/>
      <c r="R37" s="39"/>
      <c r="S37" s="39"/>
      <c r="T37" s="39"/>
      <c r="U37" s="39"/>
      <c r="V37" s="39"/>
      <c r="W37" s="39"/>
    </row>
    <row r="38" spans="1:23" ht="13">
      <c r="A38" s="65"/>
      <c r="B38" s="66" t="s">
        <v>55</v>
      </c>
      <c r="C38" s="66" t="s">
        <v>85</v>
      </c>
      <c r="D38" s="67">
        <f>'Inventory '!E76+'Inventory '!E151</f>
        <v>464.04999999999995</v>
      </c>
      <c r="E38" s="68"/>
      <c r="F38" s="69"/>
      <c r="G38" s="70"/>
      <c r="H38" s="71"/>
      <c r="I38" s="75"/>
      <c r="J38" s="73"/>
      <c r="K38" s="39"/>
      <c r="L38" s="39"/>
      <c r="M38" s="39"/>
      <c r="N38" s="39"/>
      <c r="O38" s="39"/>
      <c r="P38" s="39"/>
      <c r="Q38" s="39"/>
      <c r="R38" s="39"/>
      <c r="S38" s="39"/>
      <c r="T38" s="39"/>
      <c r="U38" s="39"/>
      <c r="V38" s="39"/>
      <c r="W38" s="39"/>
    </row>
    <row r="39" spans="1:23" ht="13">
      <c r="A39" s="65"/>
      <c r="B39" s="66" t="s">
        <v>60</v>
      </c>
      <c r="C39" s="66" t="s">
        <v>57</v>
      </c>
      <c r="D39" s="67">
        <f>SUM('Inventory '!E192:E194)+'Inventory '!E199+SUM('Inventory '!E214:E215)+'Inventory '!E229+45.8</f>
        <v>378.54</v>
      </c>
      <c r="E39" s="68"/>
      <c r="F39" s="69"/>
      <c r="G39" s="70"/>
      <c r="H39" s="71"/>
      <c r="I39" s="75"/>
      <c r="J39" s="73"/>
      <c r="K39" s="39"/>
      <c r="L39" s="39"/>
      <c r="M39" s="39"/>
      <c r="N39" s="39"/>
      <c r="O39" s="39"/>
      <c r="P39" s="39"/>
      <c r="Q39" s="39"/>
      <c r="R39" s="39"/>
      <c r="S39" s="39"/>
      <c r="T39" s="39"/>
      <c r="U39" s="39"/>
      <c r="V39" s="39"/>
      <c r="W39" s="39"/>
    </row>
    <row r="40" spans="1:23" ht="13">
      <c r="A40" s="65"/>
      <c r="B40" s="66" t="s">
        <v>86</v>
      </c>
      <c r="C40" s="66" t="s">
        <v>59</v>
      </c>
      <c r="D40" s="67">
        <f>'Inventory '!E398+'Inventory '!E1548+'Inventory '!E1805</f>
        <v>354.24</v>
      </c>
      <c r="E40" s="68"/>
      <c r="F40" s="69"/>
      <c r="G40" s="70"/>
      <c r="H40" s="71"/>
      <c r="I40" s="75"/>
      <c r="J40" s="73"/>
      <c r="K40" s="39"/>
      <c r="L40" s="39"/>
      <c r="M40" s="39"/>
      <c r="N40" s="39"/>
      <c r="O40" s="39"/>
      <c r="P40" s="39"/>
      <c r="Q40" s="39"/>
      <c r="R40" s="39"/>
      <c r="S40" s="39"/>
      <c r="T40" s="39"/>
      <c r="U40" s="39"/>
      <c r="V40" s="39"/>
      <c r="W40" s="39"/>
    </row>
    <row r="41" spans="1:23" ht="13">
      <c r="A41" s="65"/>
      <c r="B41" s="66" t="s">
        <v>87</v>
      </c>
      <c r="C41" s="66" t="s">
        <v>62</v>
      </c>
      <c r="D41" s="67">
        <f>'Inventory '!E416+'Inventory '!E733</f>
        <v>328</v>
      </c>
      <c r="E41" s="68"/>
      <c r="F41" s="69"/>
      <c r="G41" s="70"/>
      <c r="H41" s="71"/>
      <c r="I41" s="75"/>
      <c r="J41" s="73"/>
      <c r="K41" s="39"/>
      <c r="L41" s="39"/>
      <c r="M41" s="39"/>
      <c r="N41" s="39"/>
      <c r="O41" s="39"/>
      <c r="P41" s="39"/>
      <c r="Q41" s="39"/>
      <c r="R41" s="39"/>
      <c r="S41" s="39"/>
      <c r="T41" s="39"/>
      <c r="U41" s="39"/>
      <c r="V41" s="39"/>
      <c r="W41" s="39"/>
    </row>
    <row r="42" spans="1:23" ht="13">
      <c r="A42" s="65"/>
      <c r="B42" s="66" t="s">
        <v>55</v>
      </c>
      <c r="C42" s="66" t="s">
        <v>88</v>
      </c>
      <c r="D42" s="77">
        <f>'Inventory '!E157+'Inventory '!E700</f>
        <v>323.58</v>
      </c>
      <c r="E42" s="68"/>
      <c r="F42" s="69"/>
      <c r="G42" s="70"/>
      <c r="H42" s="71"/>
      <c r="I42" s="75"/>
      <c r="J42" s="73"/>
      <c r="K42" s="39"/>
      <c r="L42" s="39"/>
      <c r="M42" s="39"/>
      <c r="N42" s="39"/>
      <c r="O42" s="39"/>
      <c r="P42" s="39"/>
      <c r="Q42" s="39"/>
      <c r="R42" s="39"/>
      <c r="S42" s="39"/>
      <c r="T42" s="39"/>
      <c r="U42" s="39"/>
      <c r="V42" s="39"/>
      <c r="W42" s="39"/>
    </row>
    <row r="43" spans="1:23" ht="13">
      <c r="A43" s="65"/>
      <c r="B43" s="66" t="s">
        <v>89</v>
      </c>
      <c r="C43" s="66" t="s">
        <v>62</v>
      </c>
      <c r="D43" s="67">
        <f>'Inventory '!E572+20982.11</f>
        <v>21283.350000000002</v>
      </c>
      <c r="E43" s="68"/>
      <c r="F43" s="69"/>
      <c r="G43" s="70"/>
      <c r="H43" s="71"/>
      <c r="I43" s="75"/>
      <c r="J43" s="73"/>
      <c r="K43" s="39"/>
      <c r="L43" s="39"/>
      <c r="M43" s="39"/>
      <c r="N43" s="39"/>
      <c r="O43" s="39"/>
      <c r="P43" s="39"/>
      <c r="Q43" s="39"/>
      <c r="R43" s="39"/>
      <c r="S43" s="39"/>
      <c r="T43" s="39"/>
      <c r="U43" s="39"/>
      <c r="V43" s="39"/>
      <c r="W43" s="39"/>
    </row>
    <row r="44" spans="1:23" ht="13">
      <c r="A44" s="65"/>
      <c r="B44" s="66" t="s">
        <v>90</v>
      </c>
      <c r="C44" s="66" t="s">
        <v>76</v>
      </c>
      <c r="D44" s="67">
        <f>'Inventory '!E967</f>
        <v>275.39999999999998</v>
      </c>
      <c r="E44" s="68"/>
      <c r="F44" s="69"/>
      <c r="G44" s="70"/>
      <c r="H44" s="71"/>
      <c r="I44" s="75"/>
      <c r="J44" s="73"/>
      <c r="K44" s="39"/>
      <c r="L44" s="39"/>
      <c r="M44" s="39"/>
      <c r="N44" s="39"/>
      <c r="O44" s="39"/>
      <c r="P44" s="39"/>
      <c r="Q44" s="39"/>
      <c r="R44" s="39"/>
      <c r="S44" s="39"/>
      <c r="T44" s="39"/>
      <c r="U44" s="39"/>
      <c r="V44" s="39"/>
      <c r="W44" s="39"/>
    </row>
    <row r="45" spans="1:23" ht="13">
      <c r="A45" s="65"/>
      <c r="B45" s="66" t="s">
        <v>91</v>
      </c>
      <c r="C45" s="66" t="s">
        <v>76</v>
      </c>
      <c r="D45" s="67">
        <f>'Inventory '!E969</f>
        <v>262.10000000000002</v>
      </c>
      <c r="E45" s="68"/>
      <c r="F45" s="69"/>
      <c r="G45" s="70"/>
      <c r="H45" s="71"/>
      <c r="I45" s="75"/>
      <c r="J45" s="73"/>
      <c r="K45" s="39"/>
      <c r="L45" s="39"/>
      <c r="M45" s="39"/>
      <c r="N45" s="39"/>
      <c r="O45" s="39"/>
      <c r="P45" s="39"/>
      <c r="Q45" s="39"/>
      <c r="R45" s="39"/>
      <c r="S45" s="39"/>
      <c r="T45" s="39"/>
      <c r="U45" s="39"/>
      <c r="V45" s="39"/>
      <c r="W45" s="39"/>
    </row>
    <row r="46" spans="1:23" ht="13">
      <c r="A46" s="65"/>
      <c r="B46" s="66" t="s">
        <v>92</v>
      </c>
      <c r="C46" s="66" t="s">
        <v>76</v>
      </c>
      <c r="D46" s="67">
        <f>'Inventory '!E233</f>
        <v>232.86</v>
      </c>
      <c r="E46" s="68"/>
      <c r="F46" s="69"/>
      <c r="G46" s="70"/>
      <c r="H46" s="71"/>
      <c r="I46" s="75"/>
      <c r="J46" s="73"/>
      <c r="K46" s="39"/>
      <c r="L46" s="39"/>
      <c r="M46" s="39"/>
      <c r="N46" s="39"/>
      <c r="O46" s="39"/>
      <c r="P46" s="39"/>
      <c r="Q46" s="39"/>
      <c r="R46" s="39"/>
      <c r="S46" s="39"/>
      <c r="T46" s="39"/>
      <c r="U46" s="39"/>
      <c r="V46" s="39"/>
      <c r="W46" s="39"/>
    </row>
    <row r="47" spans="1:23" ht="13">
      <c r="A47" s="65"/>
      <c r="B47" s="66" t="s">
        <v>55</v>
      </c>
      <c r="C47" s="66" t="s">
        <v>93</v>
      </c>
      <c r="D47" s="67">
        <f>'Inventory '!E545+'Inventory '!E830+'Inventory '!E1505+'Inventory '!E1671</f>
        <v>200.46</v>
      </c>
      <c r="E47" s="68"/>
      <c r="F47" s="69"/>
      <c r="G47" s="70"/>
      <c r="H47" s="71"/>
      <c r="I47" s="75"/>
      <c r="J47" s="73"/>
      <c r="K47" s="39"/>
      <c r="L47" s="39"/>
      <c r="M47" s="39"/>
      <c r="N47" s="39"/>
      <c r="O47" s="39"/>
      <c r="P47" s="39"/>
      <c r="Q47" s="39"/>
      <c r="R47" s="39"/>
      <c r="S47" s="39"/>
      <c r="T47" s="39"/>
      <c r="U47" s="39"/>
      <c r="V47" s="39"/>
      <c r="W47" s="39"/>
    </row>
    <row r="48" spans="1:23" ht="13">
      <c r="A48" s="65"/>
      <c r="B48" s="66" t="s">
        <v>86</v>
      </c>
      <c r="C48" s="66" t="s">
        <v>57</v>
      </c>
      <c r="D48" s="67">
        <f>'Inventory '!E397+'Inventory '!E1304</f>
        <v>193.70999999999998</v>
      </c>
      <c r="E48" s="68"/>
      <c r="F48" s="69"/>
      <c r="G48" s="70"/>
      <c r="H48" s="71"/>
      <c r="I48" s="75"/>
      <c r="J48" s="73"/>
      <c r="K48" s="39"/>
      <c r="L48" s="39"/>
      <c r="M48" s="39"/>
      <c r="N48" s="39"/>
      <c r="O48" s="39"/>
      <c r="P48" s="39"/>
      <c r="Q48" s="39"/>
      <c r="R48" s="39"/>
      <c r="S48" s="39"/>
      <c r="T48" s="39"/>
      <c r="U48" s="39"/>
      <c r="V48" s="39"/>
      <c r="W48" s="39"/>
    </row>
    <row r="49" spans="1:23" ht="13">
      <c r="A49" s="65"/>
      <c r="B49" s="66" t="s">
        <v>94</v>
      </c>
      <c r="C49" s="66" t="s">
        <v>59</v>
      </c>
      <c r="D49" s="67">
        <f>'Inventory '!E1294</f>
        <v>192</v>
      </c>
      <c r="E49" s="68"/>
      <c r="F49" s="69"/>
      <c r="G49" s="70"/>
      <c r="H49" s="71"/>
      <c r="I49" s="75"/>
      <c r="J49" s="73"/>
      <c r="K49" s="39"/>
      <c r="L49" s="39"/>
      <c r="M49" s="39"/>
      <c r="N49" s="39"/>
      <c r="O49" s="39"/>
      <c r="P49" s="39"/>
      <c r="Q49" s="39"/>
      <c r="R49" s="39"/>
      <c r="S49" s="39"/>
      <c r="T49" s="39"/>
      <c r="U49" s="39"/>
      <c r="V49" s="39"/>
      <c r="W49" s="39"/>
    </row>
    <row r="50" spans="1:23" ht="13">
      <c r="A50" s="65"/>
      <c r="B50" s="66" t="s">
        <v>95</v>
      </c>
      <c r="C50" s="66" t="s">
        <v>81</v>
      </c>
      <c r="D50" s="67">
        <f>'Inventory '!E728</f>
        <v>136.34</v>
      </c>
      <c r="E50" s="68"/>
      <c r="F50" s="69"/>
      <c r="G50" s="70"/>
      <c r="H50" s="71"/>
      <c r="I50" s="75"/>
      <c r="J50" s="73"/>
      <c r="K50" s="39"/>
      <c r="L50" s="39"/>
      <c r="M50" s="39"/>
      <c r="N50" s="39"/>
      <c r="O50" s="39"/>
      <c r="P50" s="39"/>
      <c r="Q50" s="39"/>
      <c r="R50" s="39"/>
      <c r="S50" s="39"/>
      <c r="T50" s="39"/>
      <c r="U50" s="39"/>
      <c r="V50" s="39"/>
      <c r="W50" s="39"/>
    </row>
    <row r="51" spans="1:23" ht="13">
      <c r="A51" s="65"/>
      <c r="B51" s="66" t="s">
        <v>86</v>
      </c>
      <c r="C51" s="66" t="s">
        <v>96</v>
      </c>
      <c r="D51" s="67">
        <f>'Inventory '!E716</f>
        <v>127.37</v>
      </c>
      <c r="E51" s="68"/>
      <c r="F51" s="69"/>
      <c r="G51" s="70"/>
      <c r="H51" s="71"/>
      <c r="I51" s="75"/>
      <c r="J51" s="73"/>
      <c r="K51" s="39"/>
      <c r="L51" s="39"/>
      <c r="M51" s="39"/>
      <c r="N51" s="39"/>
      <c r="O51" s="39"/>
      <c r="P51" s="39"/>
      <c r="Q51" s="39"/>
      <c r="R51" s="39"/>
      <c r="S51" s="39"/>
      <c r="T51" s="39"/>
      <c r="U51" s="39"/>
      <c r="V51" s="39"/>
      <c r="W51" s="39"/>
    </row>
    <row r="52" spans="1:23" ht="13">
      <c r="A52" s="65"/>
      <c r="B52" s="66" t="s">
        <v>65</v>
      </c>
      <c r="C52" s="66" t="s">
        <v>73</v>
      </c>
      <c r="D52" s="67">
        <f>'Inventory '!E1637</f>
        <v>83.4</v>
      </c>
      <c r="E52" s="68"/>
      <c r="F52" s="69"/>
      <c r="G52" s="70"/>
      <c r="H52" s="71"/>
      <c r="I52" s="75"/>
      <c r="J52" s="73"/>
      <c r="K52" s="39"/>
      <c r="L52" s="39"/>
      <c r="M52" s="39"/>
      <c r="N52" s="39"/>
      <c r="O52" s="39"/>
      <c r="P52" s="39"/>
      <c r="Q52" s="39"/>
      <c r="R52" s="39"/>
      <c r="S52" s="39"/>
      <c r="T52" s="39"/>
      <c r="U52" s="39"/>
      <c r="V52" s="39"/>
      <c r="W52" s="39"/>
    </row>
    <row r="53" spans="1:23" ht="13">
      <c r="A53" s="65"/>
      <c r="B53" s="66" t="s">
        <v>86</v>
      </c>
      <c r="C53" s="66" t="s">
        <v>63</v>
      </c>
      <c r="D53" s="67">
        <f>'Inventory '!E1305</f>
        <v>73.53</v>
      </c>
      <c r="E53" s="68"/>
      <c r="F53" s="69"/>
      <c r="G53" s="70"/>
      <c r="H53" s="71"/>
      <c r="I53" s="75"/>
      <c r="J53" s="73"/>
      <c r="K53" s="39"/>
      <c r="L53" s="39"/>
      <c r="M53" s="39"/>
      <c r="N53" s="39"/>
      <c r="O53" s="39"/>
      <c r="P53" s="39"/>
      <c r="Q53" s="39"/>
      <c r="R53" s="39"/>
      <c r="S53" s="39"/>
      <c r="T53" s="39"/>
      <c r="U53" s="39"/>
      <c r="V53" s="39"/>
      <c r="W53" s="39"/>
    </row>
    <row r="54" spans="1:23" ht="13">
      <c r="A54" s="65"/>
      <c r="B54" s="66" t="s">
        <v>65</v>
      </c>
      <c r="C54" s="66" t="s">
        <v>63</v>
      </c>
      <c r="D54" s="67">
        <f>'Inventory '!E1625</f>
        <v>61.88</v>
      </c>
      <c r="E54" s="68"/>
      <c r="F54" s="69"/>
      <c r="G54" s="70"/>
      <c r="H54" s="71"/>
      <c r="I54" s="75"/>
      <c r="J54" s="73"/>
      <c r="K54" s="39"/>
      <c r="L54" s="39"/>
      <c r="M54" s="39"/>
      <c r="N54" s="39"/>
      <c r="O54" s="39"/>
      <c r="P54" s="39"/>
      <c r="Q54" s="39"/>
      <c r="R54" s="39"/>
      <c r="S54" s="39"/>
      <c r="T54" s="39"/>
      <c r="U54" s="39"/>
      <c r="V54" s="39"/>
      <c r="W54" s="39"/>
    </row>
    <row r="55" spans="1:23" ht="13">
      <c r="A55" s="65"/>
      <c r="B55" s="66" t="s">
        <v>58</v>
      </c>
      <c r="C55" s="66" t="s">
        <v>62</v>
      </c>
      <c r="D55" s="67">
        <f>'Inventory '!E594+'Inventory '!E588</f>
        <v>61.07</v>
      </c>
      <c r="E55" s="68"/>
      <c r="F55" s="69"/>
      <c r="G55" s="70"/>
      <c r="H55" s="71"/>
      <c r="I55" s="75"/>
      <c r="J55" s="73"/>
      <c r="K55" s="39"/>
      <c r="L55" s="39"/>
      <c r="M55" s="39"/>
      <c r="N55" s="39"/>
      <c r="O55" s="39"/>
      <c r="P55" s="39"/>
      <c r="Q55" s="39"/>
      <c r="R55" s="39"/>
      <c r="S55" s="39"/>
      <c r="T55" s="39"/>
      <c r="U55" s="39"/>
      <c r="V55" s="39"/>
      <c r="W55" s="39"/>
    </row>
    <row r="56" spans="1:23" ht="13">
      <c r="A56" s="65"/>
      <c r="B56" s="66" t="s">
        <v>58</v>
      </c>
      <c r="C56" s="66" t="s">
        <v>57</v>
      </c>
      <c r="D56" s="67">
        <f>'Inventory '!E388+'Inventory '!E385</f>
        <v>54.72</v>
      </c>
      <c r="E56" s="68"/>
      <c r="F56" s="69"/>
      <c r="G56" s="70"/>
      <c r="H56" s="71"/>
      <c r="I56" s="75"/>
      <c r="J56" s="73"/>
      <c r="K56" s="39"/>
      <c r="L56" s="39"/>
      <c r="M56" s="39"/>
      <c r="N56" s="39"/>
      <c r="O56" s="39"/>
      <c r="P56" s="39"/>
      <c r="Q56" s="39"/>
      <c r="R56" s="39"/>
      <c r="S56" s="39"/>
      <c r="T56" s="39"/>
      <c r="U56" s="39"/>
      <c r="V56" s="39"/>
      <c r="W56" s="39"/>
    </row>
    <row r="57" spans="1:23" ht="13">
      <c r="A57" s="65"/>
      <c r="B57" s="66" t="s">
        <v>65</v>
      </c>
      <c r="C57" s="66" t="s">
        <v>57</v>
      </c>
      <c r="D57" s="67">
        <f>'Inventory '!E1635</f>
        <v>53.99</v>
      </c>
      <c r="E57" s="68"/>
      <c r="F57" s="69"/>
      <c r="G57" s="70"/>
      <c r="H57" s="71"/>
      <c r="I57" s="75"/>
      <c r="J57" s="73"/>
      <c r="K57" s="39"/>
      <c r="L57" s="39"/>
      <c r="M57" s="39"/>
      <c r="N57" s="39"/>
      <c r="O57" s="39"/>
      <c r="P57" s="39"/>
      <c r="Q57" s="39"/>
      <c r="R57" s="39"/>
      <c r="S57" s="39"/>
      <c r="T57" s="39"/>
      <c r="U57" s="39"/>
      <c r="V57" s="39"/>
      <c r="W57" s="39"/>
    </row>
    <row r="58" spans="1:23" ht="13">
      <c r="A58" s="65"/>
      <c r="B58" s="66" t="s">
        <v>58</v>
      </c>
      <c r="C58" s="66" t="s">
        <v>97</v>
      </c>
      <c r="D58" s="67">
        <f>'Inventory '!E596</f>
        <v>21.01</v>
      </c>
      <c r="E58" s="68"/>
      <c r="F58" s="69"/>
      <c r="G58" s="70"/>
      <c r="H58" s="71"/>
      <c r="I58" s="75"/>
      <c r="J58" s="73"/>
      <c r="K58" s="39"/>
      <c r="L58" s="39"/>
      <c r="M58" s="39"/>
      <c r="N58" s="39"/>
      <c r="O58" s="39"/>
      <c r="P58" s="39"/>
      <c r="Q58" s="39"/>
      <c r="R58" s="39"/>
      <c r="S58" s="39"/>
      <c r="T58" s="39"/>
      <c r="U58" s="39"/>
      <c r="V58" s="39"/>
      <c r="W58" s="39"/>
    </row>
    <row r="59" spans="1:23" ht="13">
      <c r="A59" s="65"/>
      <c r="B59" s="169" t="s">
        <v>879</v>
      </c>
      <c r="C59" s="169" t="s">
        <v>56</v>
      </c>
      <c r="D59" s="67">
        <v>8409.52</v>
      </c>
      <c r="E59" s="68"/>
      <c r="F59" s="69"/>
      <c r="G59" s="70"/>
      <c r="H59" s="71"/>
      <c r="I59" s="75"/>
      <c r="J59" s="73"/>
      <c r="K59" s="39"/>
      <c r="L59" s="39"/>
      <c r="M59" s="39"/>
      <c r="N59" s="39"/>
      <c r="O59" s="39"/>
      <c r="P59" s="39"/>
      <c r="Q59" s="39"/>
      <c r="R59" s="39"/>
      <c r="S59" s="39"/>
      <c r="T59" s="39"/>
      <c r="U59" s="39"/>
      <c r="V59" s="39"/>
      <c r="W59" s="39"/>
    </row>
    <row r="60" spans="1:23" ht="13">
      <c r="A60" s="65"/>
      <c r="B60" s="169" t="s">
        <v>880</v>
      </c>
      <c r="C60" s="169" t="s">
        <v>81</v>
      </c>
      <c r="D60" s="67">
        <f>5572.91</f>
        <v>5572.91</v>
      </c>
      <c r="E60" s="68"/>
      <c r="F60" s="69"/>
      <c r="G60" s="70"/>
      <c r="H60" s="71"/>
      <c r="I60" s="75"/>
      <c r="J60" s="73"/>
      <c r="K60" s="39"/>
      <c r="L60" s="39"/>
      <c r="M60" s="39"/>
      <c r="N60" s="39"/>
      <c r="O60" s="39"/>
      <c r="P60" s="39"/>
      <c r="Q60" s="39"/>
      <c r="R60" s="39"/>
      <c r="S60" s="39"/>
      <c r="T60" s="39"/>
      <c r="U60" s="39"/>
      <c r="V60" s="39"/>
      <c r="W60" s="39"/>
    </row>
    <row r="61" spans="1:23" ht="13">
      <c r="A61" s="65"/>
      <c r="B61" s="169" t="s">
        <v>882</v>
      </c>
      <c r="C61" s="169" t="s">
        <v>81</v>
      </c>
      <c r="D61" s="67">
        <f>280.6</f>
        <v>280.60000000000002</v>
      </c>
      <c r="E61" s="68"/>
      <c r="F61" s="69"/>
      <c r="G61" s="70"/>
      <c r="H61" s="71"/>
      <c r="I61" s="75"/>
      <c r="J61" s="73"/>
      <c r="K61" s="39"/>
      <c r="L61" s="39"/>
      <c r="M61" s="39"/>
      <c r="N61" s="39"/>
      <c r="O61" s="39"/>
      <c r="P61" s="39"/>
      <c r="Q61" s="39"/>
      <c r="R61" s="39"/>
      <c r="S61" s="39"/>
      <c r="T61" s="39"/>
      <c r="U61" s="39"/>
      <c r="V61" s="39"/>
      <c r="W61" s="39"/>
    </row>
    <row r="62" spans="1:23" ht="13">
      <c r="A62" s="65"/>
      <c r="B62" s="169" t="s">
        <v>883</v>
      </c>
      <c r="C62" s="169" t="s">
        <v>56</v>
      </c>
      <c r="D62" s="67">
        <f>133.4</f>
        <v>133.4</v>
      </c>
      <c r="E62" s="68"/>
      <c r="F62" s="69"/>
      <c r="G62" s="70"/>
      <c r="H62" s="71"/>
      <c r="I62" s="75"/>
      <c r="J62" s="73"/>
      <c r="K62" s="39"/>
      <c r="L62" s="39"/>
      <c r="M62" s="39"/>
      <c r="N62" s="39"/>
      <c r="O62" s="39"/>
      <c r="P62" s="39"/>
      <c r="Q62" s="39"/>
      <c r="R62" s="39"/>
      <c r="S62" s="39"/>
      <c r="T62" s="39"/>
      <c r="U62" s="39"/>
      <c r="V62" s="39"/>
      <c r="W62" s="39"/>
    </row>
    <row r="63" spans="1:23" ht="13">
      <c r="A63" s="65"/>
      <c r="B63" s="169" t="s">
        <v>884</v>
      </c>
      <c r="C63" s="169" t="s">
        <v>81</v>
      </c>
      <c r="D63" s="67">
        <f>81.03</f>
        <v>81.03</v>
      </c>
      <c r="E63" s="68"/>
      <c r="F63" s="69"/>
      <c r="G63" s="70"/>
      <c r="H63" s="71"/>
      <c r="I63" s="75"/>
      <c r="J63" s="73"/>
      <c r="K63" s="39"/>
      <c r="L63" s="39"/>
      <c r="M63" s="39"/>
      <c r="N63" s="39"/>
      <c r="O63" s="39"/>
      <c r="P63" s="39"/>
      <c r="Q63" s="39"/>
      <c r="R63" s="39"/>
      <c r="S63" s="39"/>
      <c r="T63" s="39"/>
      <c r="U63" s="39"/>
      <c r="V63" s="39"/>
      <c r="W63" s="39"/>
    </row>
    <row r="64" spans="1:23" ht="13">
      <c r="A64" s="65"/>
      <c r="B64" s="169" t="s">
        <v>168</v>
      </c>
      <c r="C64" s="169" t="s">
        <v>169</v>
      </c>
      <c r="D64" s="67">
        <f>78.25</f>
        <v>78.25</v>
      </c>
      <c r="E64" s="68"/>
      <c r="F64" s="69"/>
      <c r="G64" s="70"/>
      <c r="H64" s="71"/>
      <c r="I64" s="75"/>
      <c r="J64" s="73"/>
      <c r="K64" s="39"/>
      <c r="L64" s="39"/>
      <c r="M64" s="39"/>
      <c r="N64" s="39"/>
      <c r="O64" s="39"/>
      <c r="P64" s="39"/>
      <c r="Q64" s="39"/>
      <c r="R64" s="39"/>
      <c r="S64" s="39"/>
      <c r="T64" s="39"/>
      <c r="U64" s="39"/>
      <c r="V64" s="39"/>
      <c r="W64" s="39"/>
    </row>
    <row r="65" spans="1:23" ht="13">
      <c r="A65" s="65"/>
      <c r="B65" s="169" t="s">
        <v>170</v>
      </c>
      <c r="C65" s="169" t="s">
        <v>402</v>
      </c>
      <c r="D65" s="67">
        <f>76.56</f>
        <v>76.56</v>
      </c>
      <c r="E65" s="68"/>
      <c r="F65" s="69"/>
      <c r="G65" s="70"/>
      <c r="H65" s="71"/>
      <c r="I65" s="75"/>
      <c r="J65" s="73"/>
      <c r="K65" s="39"/>
      <c r="L65" s="39"/>
      <c r="M65" s="39"/>
      <c r="N65" s="39"/>
      <c r="O65" s="39"/>
      <c r="P65" s="39"/>
      <c r="Q65" s="39"/>
      <c r="R65" s="39"/>
      <c r="S65" s="39"/>
      <c r="T65" s="39"/>
      <c r="U65" s="39"/>
      <c r="V65" s="39"/>
      <c r="W65" s="39"/>
    </row>
    <row r="66" spans="1:23" ht="13">
      <c r="A66" s="65"/>
      <c r="B66" s="169" t="s">
        <v>205</v>
      </c>
      <c r="C66" s="169" t="s">
        <v>402</v>
      </c>
      <c r="D66" s="67">
        <f>34.22</f>
        <v>34.22</v>
      </c>
      <c r="E66" s="68"/>
      <c r="F66" s="69"/>
      <c r="G66" s="70"/>
      <c r="H66" s="71"/>
      <c r="I66" s="75"/>
      <c r="J66" s="73"/>
      <c r="K66" s="39"/>
      <c r="L66" s="39"/>
      <c r="M66" s="39"/>
      <c r="N66" s="39"/>
      <c r="O66" s="39"/>
      <c r="P66" s="39"/>
      <c r="Q66" s="39"/>
      <c r="R66" s="39"/>
      <c r="S66" s="39"/>
      <c r="T66" s="39"/>
      <c r="U66" s="39"/>
      <c r="V66" s="39"/>
      <c r="W66" s="39"/>
    </row>
    <row r="67" spans="1:23" ht="13">
      <c r="A67" s="65"/>
      <c r="B67" s="169" t="s">
        <v>888</v>
      </c>
      <c r="C67" s="169" t="s">
        <v>889</v>
      </c>
      <c r="D67" s="67">
        <f>68.76</f>
        <v>68.760000000000005</v>
      </c>
      <c r="E67" s="68"/>
      <c r="F67" s="69"/>
      <c r="G67" s="70"/>
      <c r="H67" s="71"/>
      <c r="I67" s="75"/>
      <c r="J67" s="73"/>
      <c r="K67" s="39"/>
      <c r="L67" s="39"/>
      <c r="M67" s="39"/>
      <c r="N67" s="39"/>
      <c r="O67" s="39"/>
      <c r="P67" s="39"/>
      <c r="Q67" s="39"/>
      <c r="R67" s="39"/>
      <c r="S67" s="39"/>
      <c r="T67" s="39"/>
      <c r="U67" s="39"/>
      <c r="V67" s="39"/>
      <c r="W67" s="39"/>
    </row>
    <row r="68" spans="1:23" ht="13">
      <c r="A68" s="65"/>
      <c r="B68" s="169" t="s">
        <v>181</v>
      </c>
      <c r="C68" s="169" t="s">
        <v>192</v>
      </c>
      <c r="D68" s="67">
        <f>68.76</f>
        <v>68.760000000000005</v>
      </c>
      <c r="E68" s="68"/>
      <c r="F68" s="69"/>
      <c r="G68" s="70"/>
      <c r="H68" s="71"/>
      <c r="I68" s="75"/>
      <c r="J68" s="73"/>
      <c r="K68" s="39"/>
      <c r="L68" s="39"/>
      <c r="M68" s="39"/>
      <c r="N68" s="39"/>
      <c r="O68" s="39"/>
      <c r="P68" s="39"/>
      <c r="Q68" s="39"/>
      <c r="R68" s="39"/>
      <c r="S68" s="39"/>
      <c r="T68" s="39"/>
      <c r="U68" s="39"/>
      <c r="V68" s="39"/>
      <c r="W68" s="39"/>
    </row>
    <row r="69" spans="1:23" ht="13">
      <c r="A69" s="65"/>
      <c r="B69" s="169" t="s">
        <v>110</v>
      </c>
      <c r="C69" s="169" t="s">
        <v>81</v>
      </c>
      <c r="D69" s="67">
        <f>4626.42</f>
        <v>4626.42</v>
      </c>
      <c r="E69" s="68"/>
      <c r="F69" s="69"/>
      <c r="G69" s="70"/>
      <c r="H69" s="71"/>
      <c r="I69" s="75"/>
      <c r="J69" s="73"/>
      <c r="K69" s="39"/>
      <c r="L69" s="39"/>
      <c r="M69" s="39"/>
      <c r="N69" s="39"/>
      <c r="O69" s="39"/>
      <c r="P69" s="39"/>
      <c r="Q69" s="39"/>
      <c r="R69" s="39"/>
      <c r="S69" s="39"/>
      <c r="T69" s="39"/>
      <c r="U69" s="39"/>
      <c r="V69" s="39"/>
      <c r="W69" s="39"/>
    </row>
    <row r="70" spans="1:23" ht="13">
      <c r="A70" s="65"/>
      <c r="B70" s="169" t="s">
        <v>890</v>
      </c>
      <c r="C70" s="169" t="s">
        <v>192</v>
      </c>
      <c r="D70" s="67">
        <f>2550.15+1777.02+4263.85</f>
        <v>8591.02</v>
      </c>
      <c r="E70" s="68"/>
      <c r="F70" s="69"/>
      <c r="G70" s="70"/>
      <c r="H70" s="71"/>
      <c r="I70" s="75"/>
      <c r="J70" s="73"/>
      <c r="K70" s="39"/>
      <c r="L70" s="39"/>
      <c r="M70" s="39"/>
      <c r="N70" s="39"/>
      <c r="O70" s="39"/>
      <c r="P70" s="39"/>
      <c r="Q70" s="39"/>
      <c r="R70" s="39"/>
      <c r="S70" s="39"/>
      <c r="T70" s="39"/>
      <c r="U70" s="39"/>
      <c r="V70" s="39"/>
      <c r="W70" s="39"/>
    </row>
    <row r="71" spans="1:23" ht="13">
      <c r="A71" s="65"/>
      <c r="B71" s="169" t="s">
        <v>115</v>
      </c>
      <c r="C71" s="169" t="s">
        <v>116</v>
      </c>
      <c r="D71" s="67">
        <f>980.7</f>
        <v>980.7</v>
      </c>
      <c r="E71" s="68"/>
      <c r="F71" s="69"/>
      <c r="G71" s="70"/>
      <c r="H71" s="71"/>
      <c r="I71" s="75"/>
      <c r="J71" s="73"/>
      <c r="K71" s="39"/>
      <c r="L71" s="39"/>
      <c r="M71" s="39"/>
      <c r="N71" s="39"/>
      <c r="O71" s="39"/>
      <c r="P71" s="39"/>
      <c r="Q71" s="39"/>
      <c r="R71" s="39"/>
      <c r="S71" s="39"/>
      <c r="T71" s="39"/>
      <c r="U71" s="39"/>
      <c r="V71" s="39"/>
      <c r="W71" s="39"/>
    </row>
    <row r="72" spans="1:23" ht="13">
      <c r="A72" s="65"/>
      <c r="B72" s="169" t="s">
        <v>891</v>
      </c>
      <c r="C72" s="169" t="s">
        <v>117</v>
      </c>
      <c r="D72" s="67">
        <f>962</f>
        <v>962</v>
      </c>
      <c r="E72" s="68"/>
      <c r="F72" s="69"/>
      <c r="G72" s="70"/>
      <c r="H72" s="71"/>
      <c r="I72" s="75"/>
      <c r="J72" s="73"/>
      <c r="K72" s="39"/>
      <c r="L72" s="39"/>
      <c r="M72" s="39"/>
      <c r="N72" s="39"/>
      <c r="O72" s="39"/>
      <c r="P72" s="39"/>
      <c r="Q72" s="39"/>
      <c r="R72" s="39"/>
      <c r="S72" s="39"/>
      <c r="T72" s="39"/>
      <c r="U72" s="39"/>
      <c r="V72" s="39"/>
      <c r="W72" s="39"/>
    </row>
    <row r="73" spans="1:23" ht="13">
      <c r="A73" s="65"/>
      <c r="B73" s="169" t="s">
        <v>110</v>
      </c>
      <c r="C73" s="169" t="s">
        <v>892</v>
      </c>
      <c r="D73" s="67">
        <f>715.8</f>
        <v>715.8</v>
      </c>
      <c r="E73" s="68"/>
      <c r="F73" s="69"/>
      <c r="G73" s="70"/>
      <c r="H73" s="71"/>
      <c r="I73" s="75"/>
      <c r="J73" s="73"/>
      <c r="K73" s="39"/>
      <c r="L73" s="39"/>
      <c r="M73" s="39"/>
      <c r="N73" s="39"/>
      <c r="O73" s="39"/>
      <c r="P73" s="39"/>
      <c r="Q73" s="39"/>
      <c r="R73" s="39"/>
      <c r="S73" s="39"/>
      <c r="T73" s="39"/>
      <c r="U73" s="39"/>
      <c r="V73" s="39"/>
      <c r="W73" s="39"/>
    </row>
    <row r="74" spans="1:23" ht="13">
      <c r="A74" s="65"/>
      <c r="B74" s="169" t="s">
        <v>893</v>
      </c>
      <c r="C74" s="169" t="s">
        <v>894</v>
      </c>
      <c r="D74" s="67">
        <f>647.25</f>
        <v>647.25</v>
      </c>
      <c r="E74" s="68"/>
      <c r="F74" s="69"/>
      <c r="G74" s="70"/>
      <c r="H74" s="71"/>
      <c r="I74" s="75"/>
      <c r="J74" s="73"/>
      <c r="K74" s="39"/>
      <c r="L74" s="39"/>
      <c r="M74" s="39"/>
      <c r="N74" s="39"/>
      <c r="O74" s="39"/>
      <c r="P74" s="39"/>
      <c r="Q74" s="39"/>
      <c r="R74" s="39"/>
      <c r="S74" s="39"/>
      <c r="T74" s="39"/>
      <c r="U74" s="39"/>
      <c r="V74" s="39"/>
      <c r="W74" s="39"/>
    </row>
    <row r="75" spans="1:23" ht="13">
      <c r="A75" s="65"/>
      <c r="B75" s="169" t="s">
        <v>895</v>
      </c>
      <c r="C75" s="169" t="s">
        <v>896</v>
      </c>
      <c r="D75" s="67">
        <f>3375.68+2337.76</f>
        <v>5713.4400000000005</v>
      </c>
      <c r="E75" s="68"/>
      <c r="F75" s="69"/>
      <c r="G75" s="70"/>
      <c r="H75" s="71"/>
      <c r="I75" s="75"/>
      <c r="J75" s="73"/>
      <c r="K75" s="39"/>
      <c r="L75" s="39"/>
      <c r="M75" s="39"/>
      <c r="N75" s="39"/>
      <c r="O75" s="39"/>
      <c r="P75" s="39"/>
      <c r="Q75" s="39"/>
      <c r="R75" s="39"/>
      <c r="S75" s="39"/>
      <c r="T75" s="39"/>
      <c r="U75" s="39"/>
      <c r="V75" s="39"/>
      <c r="W75" s="39"/>
    </row>
    <row r="76" spans="1:23" ht="13">
      <c r="A76" s="65"/>
      <c r="B76" s="169" t="s">
        <v>897</v>
      </c>
      <c r="C76" s="169" t="s">
        <v>81</v>
      </c>
      <c r="D76" s="67">
        <f>3765.01+1508.42</f>
        <v>5273.43</v>
      </c>
      <c r="E76" s="68"/>
      <c r="F76" s="69"/>
      <c r="G76" s="70"/>
      <c r="H76" s="71"/>
      <c r="I76" s="75"/>
      <c r="J76" s="73"/>
      <c r="K76" s="39"/>
      <c r="L76" s="39"/>
      <c r="M76" s="39"/>
      <c r="N76" s="39"/>
      <c r="O76" s="39"/>
      <c r="P76" s="39"/>
      <c r="Q76" s="39"/>
      <c r="R76" s="39"/>
      <c r="S76" s="39"/>
      <c r="T76" s="39"/>
      <c r="U76" s="39"/>
      <c r="V76" s="39"/>
      <c r="W76" s="39"/>
    </row>
    <row r="77" spans="1:23" ht="13">
      <c r="A77" s="65"/>
      <c r="B77" s="169" t="s">
        <v>909</v>
      </c>
      <c r="C77" s="169" t="s">
        <v>881</v>
      </c>
      <c r="D77" s="67">
        <v>514.4</v>
      </c>
      <c r="E77" s="68"/>
      <c r="F77" s="69"/>
      <c r="G77" s="70"/>
      <c r="H77" s="71"/>
      <c r="I77" s="75"/>
      <c r="J77" s="73"/>
      <c r="K77" s="39"/>
      <c r="L77" s="39"/>
      <c r="M77" s="39"/>
      <c r="N77" s="39"/>
      <c r="O77" s="39"/>
      <c r="P77" s="39"/>
      <c r="Q77" s="39"/>
      <c r="R77" s="39"/>
      <c r="S77" s="39"/>
      <c r="T77" s="39"/>
      <c r="U77" s="39"/>
      <c r="V77" s="39"/>
      <c r="W77" s="39"/>
    </row>
    <row r="78" spans="1:23" ht="13">
      <c r="A78" s="65"/>
      <c r="B78" s="78"/>
      <c r="C78" s="78"/>
      <c r="D78" s="67"/>
      <c r="E78" s="68"/>
      <c r="F78" s="69"/>
      <c r="G78" s="70"/>
      <c r="H78" s="71"/>
      <c r="I78" s="75"/>
      <c r="J78" s="73"/>
      <c r="K78" s="39"/>
      <c r="L78" s="39"/>
      <c r="M78" s="39"/>
      <c r="N78" s="39"/>
      <c r="O78" s="39"/>
      <c r="P78" s="39"/>
      <c r="Q78" s="39"/>
      <c r="R78" s="39"/>
      <c r="S78" s="39"/>
      <c r="T78" s="39"/>
      <c r="U78" s="39"/>
      <c r="V78" s="39"/>
      <c r="W78" s="39"/>
    </row>
    <row r="79" spans="1:23" ht="13">
      <c r="A79" s="65"/>
      <c r="B79" s="78"/>
      <c r="C79" s="78"/>
      <c r="D79" s="67"/>
      <c r="E79" s="68"/>
      <c r="F79" s="69"/>
      <c r="G79" s="70"/>
      <c r="H79" s="71"/>
      <c r="I79" s="75"/>
      <c r="J79" s="73"/>
      <c r="K79" s="39"/>
      <c r="L79" s="39"/>
      <c r="M79" s="39"/>
      <c r="N79" s="39"/>
      <c r="O79" s="39"/>
      <c r="P79" s="39"/>
      <c r="Q79" s="39"/>
      <c r="R79" s="39"/>
      <c r="S79" s="39"/>
      <c r="T79" s="39"/>
      <c r="U79" s="39"/>
      <c r="V79" s="39"/>
      <c r="W79" s="39"/>
    </row>
    <row r="80" spans="1:23" ht="13">
      <c r="A80" s="65"/>
      <c r="B80" s="78"/>
      <c r="C80" s="78"/>
      <c r="D80" s="67"/>
      <c r="E80" s="68"/>
      <c r="F80" s="69"/>
      <c r="G80" s="70"/>
      <c r="H80" s="71"/>
      <c r="I80" s="75"/>
      <c r="J80" s="73"/>
      <c r="K80" s="39"/>
      <c r="L80" s="39"/>
      <c r="M80" s="39"/>
      <c r="N80" s="39"/>
      <c r="O80" s="39"/>
      <c r="P80" s="39"/>
      <c r="Q80" s="39"/>
      <c r="R80" s="39"/>
      <c r="S80" s="39"/>
      <c r="T80" s="39"/>
      <c r="U80" s="39"/>
      <c r="V80" s="39"/>
      <c r="W80" s="39"/>
    </row>
    <row r="81" spans="1:23" ht="13">
      <c r="A81" s="65"/>
      <c r="B81" s="78"/>
      <c r="C81" s="78"/>
      <c r="D81" s="67"/>
      <c r="E81" s="68"/>
      <c r="F81" s="69"/>
      <c r="G81" s="70"/>
      <c r="H81" s="71"/>
      <c r="I81" s="75"/>
      <c r="J81" s="73"/>
      <c r="K81" s="39"/>
      <c r="L81" s="39"/>
      <c r="M81" s="39"/>
      <c r="N81" s="39"/>
      <c r="O81" s="39"/>
      <c r="P81" s="39"/>
      <c r="Q81" s="39"/>
      <c r="R81" s="39"/>
      <c r="S81" s="39"/>
      <c r="T81" s="39"/>
      <c r="U81" s="39"/>
      <c r="V81" s="39"/>
      <c r="W81" s="39"/>
    </row>
    <row r="82" spans="1:23" ht="13">
      <c r="A82" s="65"/>
      <c r="B82" s="78"/>
      <c r="C82" s="78"/>
      <c r="D82" s="67"/>
      <c r="E82" s="68"/>
      <c r="F82" s="69"/>
      <c r="G82" s="70"/>
      <c r="H82" s="71"/>
      <c r="I82" s="75"/>
      <c r="J82" s="73"/>
      <c r="K82" s="39"/>
      <c r="L82" s="39"/>
      <c r="M82" s="39"/>
      <c r="N82" s="39"/>
      <c r="O82" s="39"/>
      <c r="P82" s="39"/>
      <c r="Q82" s="39"/>
      <c r="R82" s="39"/>
      <c r="S82" s="39"/>
      <c r="T82" s="39"/>
      <c r="U82" s="39"/>
      <c r="V82" s="39"/>
      <c r="W82" s="39"/>
    </row>
    <row r="83" spans="1:23" ht="13">
      <c r="A83" s="65"/>
      <c r="B83" s="78"/>
      <c r="C83" s="78"/>
      <c r="D83" s="67"/>
      <c r="E83" s="68"/>
      <c r="F83" s="69"/>
      <c r="G83" s="70"/>
      <c r="H83" s="71"/>
      <c r="I83" s="75"/>
      <c r="J83" s="73"/>
      <c r="K83" s="39"/>
      <c r="L83" s="39"/>
      <c r="M83" s="39"/>
      <c r="N83" s="39"/>
      <c r="O83" s="39"/>
      <c r="P83" s="39"/>
      <c r="Q83" s="39"/>
      <c r="R83" s="39"/>
      <c r="S83" s="39"/>
      <c r="T83" s="39"/>
      <c r="U83" s="39"/>
      <c r="V83" s="39"/>
      <c r="W83" s="39"/>
    </row>
    <row r="84" spans="1:23" ht="13">
      <c r="A84" s="65"/>
      <c r="B84" s="78"/>
      <c r="C84" s="78"/>
      <c r="D84" s="67"/>
      <c r="E84" s="68"/>
      <c r="F84" s="69"/>
      <c r="G84" s="70"/>
      <c r="H84" s="71"/>
      <c r="I84" s="75"/>
      <c r="J84" s="73"/>
      <c r="K84" s="39"/>
      <c r="L84" s="39"/>
      <c r="M84" s="39"/>
      <c r="N84" s="39"/>
      <c r="O84" s="39"/>
      <c r="P84" s="39"/>
      <c r="Q84" s="39"/>
      <c r="R84" s="39"/>
      <c r="S84" s="39"/>
      <c r="T84" s="39"/>
      <c r="U84" s="39"/>
      <c r="V84" s="39"/>
      <c r="W84" s="39"/>
    </row>
    <row r="85" spans="1:23" ht="13">
      <c r="A85" s="65"/>
      <c r="B85" s="78"/>
      <c r="C85" s="78"/>
      <c r="D85" s="67"/>
      <c r="E85" s="68"/>
      <c r="F85" s="69"/>
      <c r="G85" s="70"/>
      <c r="H85" s="71"/>
      <c r="I85" s="75"/>
      <c r="J85" s="73"/>
      <c r="K85" s="39"/>
      <c r="L85" s="39"/>
      <c r="M85" s="39"/>
      <c r="N85" s="39"/>
      <c r="O85" s="39"/>
      <c r="P85" s="39"/>
      <c r="Q85" s="39"/>
      <c r="R85" s="39"/>
      <c r="S85" s="39"/>
      <c r="T85" s="39"/>
      <c r="U85" s="39"/>
      <c r="V85" s="39"/>
      <c r="W85" s="39"/>
    </row>
    <row r="86" spans="1:23" ht="13">
      <c r="A86" s="65"/>
      <c r="B86" s="78"/>
      <c r="C86" s="78"/>
      <c r="D86" s="67"/>
      <c r="E86" s="68"/>
      <c r="F86" s="69"/>
      <c r="G86" s="70"/>
      <c r="H86" s="71"/>
      <c r="I86" s="75"/>
      <c r="J86" s="73"/>
      <c r="K86" s="39"/>
      <c r="L86" s="39"/>
      <c r="M86" s="39"/>
      <c r="N86" s="39"/>
      <c r="O86" s="39"/>
      <c r="P86" s="39"/>
      <c r="Q86" s="39"/>
      <c r="R86" s="39"/>
      <c r="S86" s="39"/>
      <c r="T86" s="39"/>
      <c r="U86" s="39"/>
      <c r="V86" s="39"/>
      <c r="W86" s="39"/>
    </row>
    <row r="87" spans="1:23" ht="13">
      <c r="A87" s="65"/>
      <c r="B87" s="78"/>
      <c r="C87" s="78"/>
      <c r="D87" s="67"/>
      <c r="E87" s="68"/>
      <c r="F87" s="69"/>
      <c r="G87" s="70"/>
      <c r="H87" s="71"/>
      <c r="I87" s="75"/>
      <c r="J87" s="73"/>
      <c r="K87" s="39"/>
      <c r="L87" s="39"/>
      <c r="M87" s="39"/>
      <c r="N87" s="39"/>
      <c r="O87" s="39"/>
      <c r="P87" s="39"/>
      <c r="Q87" s="39"/>
      <c r="R87" s="39"/>
      <c r="S87" s="39"/>
      <c r="T87" s="39"/>
      <c r="U87" s="39"/>
      <c r="V87" s="39"/>
      <c r="W87" s="39"/>
    </row>
    <row r="88" spans="1:23" ht="13">
      <c r="A88" s="65"/>
      <c r="B88" s="78"/>
      <c r="C88" s="78"/>
      <c r="D88" s="67"/>
      <c r="E88" s="68"/>
      <c r="F88" s="69"/>
      <c r="G88" s="70"/>
      <c r="H88" s="71"/>
      <c r="I88" s="75"/>
      <c r="J88" s="73"/>
      <c r="K88" s="39"/>
      <c r="L88" s="39"/>
      <c r="M88" s="39"/>
      <c r="N88" s="39"/>
      <c r="O88" s="39"/>
      <c r="P88" s="39"/>
      <c r="Q88" s="39"/>
      <c r="R88" s="39"/>
      <c r="S88" s="39"/>
      <c r="T88" s="39"/>
      <c r="U88" s="39"/>
      <c r="V88" s="39"/>
      <c r="W88" s="39"/>
    </row>
    <row r="89" spans="1:23" ht="13">
      <c r="A89" s="65"/>
      <c r="B89" s="78"/>
      <c r="C89" s="78"/>
      <c r="D89" s="67"/>
      <c r="E89" s="68"/>
      <c r="F89" s="69"/>
      <c r="G89" s="70"/>
      <c r="H89" s="71"/>
      <c r="I89" s="75"/>
      <c r="J89" s="73"/>
      <c r="K89" s="39"/>
      <c r="L89" s="39"/>
      <c r="M89" s="39"/>
      <c r="N89" s="39"/>
      <c r="O89" s="39"/>
      <c r="P89" s="39"/>
      <c r="Q89" s="39"/>
      <c r="R89" s="39"/>
      <c r="S89" s="39"/>
      <c r="T89" s="39"/>
      <c r="U89" s="39"/>
      <c r="V89" s="39"/>
      <c r="W89" s="39"/>
    </row>
    <row r="90" spans="1:23" ht="13">
      <c r="A90" s="65"/>
      <c r="B90" s="78"/>
      <c r="C90" s="78"/>
      <c r="D90" s="67"/>
      <c r="E90" s="68"/>
      <c r="F90" s="69"/>
      <c r="G90" s="70"/>
      <c r="H90" s="71"/>
      <c r="I90" s="75"/>
      <c r="J90" s="73"/>
      <c r="K90" s="39"/>
      <c r="L90" s="39"/>
      <c r="M90" s="39"/>
      <c r="N90" s="39"/>
      <c r="O90" s="39"/>
      <c r="P90" s="39"/>
      <c r="Q90" s="39"/>
      <c r="R90" s="39"/>
      <c r="S90" s="39"/>
      <c r="T90" s="39"/>
      <c r="U90" s="39"/>
      <c r="V90" s="39"/>
      <c r="W90" s="39"/>
    </row>
    <row r="91" spans="1:23" ht="13">
      <c r="A91" s="65"/>
      <c r="B91" s="78"/>
      <c r="C91" s="78"/>
      <c r="D91" s="67"/>
      <c r="E91" s="68"/>
      <c r="F91" s="69"/>
      <c r="G91" s="70"/>
      <c r="H91" s="71"/>
      <c r="I91" s="75"/>
      <c r="J91" s="73"/>
      <c r="K91" s="39"/>
      <c r="L91" s="39"/>
      <c r="M91" s="39"/>
      <c r="N91" s="39"/>
      <c r="O91" s="39"/>
      <c r="P91" s="39"/>
      <c r="Q91" s="39"/>
      <c r="R91" s="39"/>
      <c r="S91" s="39"/>
      <c r="T91" s="39"/>
      <c r="U91" s="39"/>
      <c r="V91" s="39"/>
      <c r="W91" s="39"/>
    </row>
    <row r="92" spans="1:23" ht="13">
      <c r="A92" s="65"/>
      <c r="B92" s="78"/>
      <c r="C92" s="78"/>
      <c r="D92" s="67"/>
      <c r="E92" s="68"/>
      <c r="F92" s="69"/>
      <c r="G92" s="70"/>
      <c r="H92" s="71"/>
      <c r="I92" s="75"/>
      <c r="J92" s="73"/>
      <c r="K92" s="39"/>
      <c r="L92" s="39"/>
      <c r="M92" s="39"/>
      <c r="N92" s="39"/>
      <c r="O92" s="39"/>
      <c r="P92" s="39"/>
      <c r="Q92" s="39"/>
      <c r="R92" s="39"/>
      <c r="S92" s="39"/>
      <c r="T92" s="39"/>
      <c r="U92" s="39"/>
      <c r="V92" s="39"/>
      <c r="W92" s="39"/>
    </row>
    <row r="93" spans="1:23" ht="13">
      <c r="A93" s="65"/>
      <c r="B93" s="78"/>
      <c r="C93" s="78"/>
      <c r="D93" s="67"/>
      <c r="E93" s="68"/>
      <c r="F93" s="69"/>
      <c r="G93" s="70"/>
      <c r="H93" s="71"/>
      <c r="I93" s="75"/>
      <c r="J93" s="73"/>
      <c r="K93" s="39"/>
      <c r="L93" s="39"/>
      <c r="M93" s="39"/>
      <c r="N93" s="39"/>
      <c r="O93" s="39"/>
      <c r="P93" s="39"/>
      <c r="Q93" s="39"/>
      <c r="R93" s="39"/>
      <c r="S93" s="39"/>
      <c r="T93" s="39"/>
      <c r="U93" s="39"/>
      <c r="V93" s="39"/>
      <c r="W93" s="39"/>
    </row>
    <row r="94" spans="1:23" ht="13">
      <c r="A94" s="65"/>
      <c r="B94" s="78"/>
      <c r="C94" s="78"/>
      <c r="D94" s="67"/>
      <c r="E94" s="68"/>
      <c r="F94" s="69"/>
      <c r="G94" s="70"/>
      <c r="H94" s="71"/>
      <c r="I94" s="75"/>
      <c r="J94" s="73"/>
      <c r="K94" s="39"/>
      <c r="L94" s="39"/>
      <c r="M94" s="39"/>
      <c r="N94" s="39"/>
      <c r="O94" s="39"/>
      <c r="P94" s="39"/>
      <c r="Q94" s="39"/>
      <c r="R94" s="39"/>
      <c r="S94" s="39"/>
      <c r="T94" s="39"/>
      <c r="U94" s="39"/>
      <c r="V94" s="39"/>
      <c r="W94" s="39"/>
    </row>
    <row r="95" spans="1:23" ht="13">
      <c r="A95" s="65"/>
      <c r="B95" s="78"/>
      <c r="C95" s="78"/>
      <c r="D95" s="67"/>
      <c r="E95" s="68"/>
      <c r="F95" s="69"/>
      <c r="G95" s="70"/>
      <c r="H95" s="71"/>
      <c r="I95" s="75"/>
      <c r="J95" s="73"/>
      <c r="K95" s="39"/>
      <c r="L95" s="39"/>
      <c r="M95" s="39"/>
      <c r="N95" s="39"/>
      <c r="O95" s="39"/>
      <c r="P95" s="39"/>
      <c r="Q95" s="39"/>
      <c r="R95" s="39"/>
      <c r="S95" s="39"/>
      <c r="T95" s="39"/>
      <c r="U95" s="39"/>
      <c r="V95" s="39"/>
      <c r="W95" s="39"/>
    </row>
    <row r="96" spans="1:23" ht="13">
      <c r="A96" s="65"/>
      <c r="B96" s="78"/>
      <c r="C96" s="78"/>
      <c r="D96" s="67"/>
      <c r="E96" s="68"/>
      <c r="F96" s="69"/>
      <c r="G96" s="70"/>
      <c r="H96" s="71"/>
      <c r="I96" s="75"/>
      <c r="J96" s="73"/>
      <c r="K96" s="39"/>
      <c r="L96" s="39"/>
      <c r="M96" s="39"/>
      <c r="N96" s="39"/>
      <c r="O96" s="39"/>
      <c r="P96" s="39"/>
      <c r="Q96" s="39"/>
      <c r="R96" s="39"/>
      <c r="S96" s="39"/>
      <c r="T96" s="39"/>
      <c r="U96" s="39"/>
      <c r="V96" s="39"/>
      <c r="W96" s="39"/>
    </row>
    <row r="97" spans="1:23" ht="13">
      <c r="A97" s="65"/>
      <c r="B97" s="78"/>
      <c r="C97" s="78"/>
      <c r="D97" s="67"/>
      <c r="E97" s="68"/>
      <c r="F97" s="69"/>
      <c r="G97" s="70"/>
      <c r="H97" s="71"/>
      <c r="I97" s="75"/>
      <c r="J97" s="73"/>
      <c r="K97" s="39"/>
      <c r="L97" s="39"/>
      <c r="M97" s="39"/>
      <c r="N97" s="39"/>
      <c r="O97" s="39"/>
      <c r="P97" s="39"/>
      <c r="Q97" s="39"/>
      <c r="R97" s="39"/>
      <c r="S97" s="39"/>
      <c r="T97" s="39"/>
      <c r="U97" s="39"/>
      <c r="V97" s="39"/>
      <c r="W97" s="39"/>
    </row>
    <row r="98" spans="1:23" ht="13">
      <c r="A98" s="65"/>
      <c r="B98" s="78"/>
      <c r="C98" s="78"/>
      <c r="D98" s="67"/>
      <c r="E98" s="68"/>
      <c r="F98" s="69"/>
      <c r="G98" s="70"/>
      <c r="H98" s="71"/>
      <c r="I98" s="75"/>
      <c r="J98" s="73"/>
      <c r="K98" s="39"/>
      <c r="L98" s="39"/>
      <c r="M98" s="39"/>
      <c r="N98" s="39"/>
      <c r="O98" s="39"/>
      <c r="P98" s="39"/>
      <c r="Q98" s="39"/>
      <c r="R98" s="39"/>
      <c r="S98" s="39"/>
      <c r="T98" s="39"/>
      <c r="U98" s="39"/>
      <c r="V98" s="39"/>
      <c r="W98" s="39"/>
    </row>
    <row r="99" spans="1:23" ht="13">
      <c r="A99" s="65"/>
      <c r="B99" s="78"/>
      <c r="C99" s="78"/>
      <c r="D99" s="67"/>
      <c r="E99" s="68"/>
      <c r="F99" s="69"/>
      <c r="G99" s="70"/>
      <c r="H99" s="71"/>
      <c r="I99" s="75"/>
      <c r="J99" s="73"/>
      <c r="K99" s="39"/>
      <c r="L99" s="39"/>
      <c r="M99" s="39"/>
      <c r="N99" s="39"/>
      <c r="O99" s="39"/>
      <c r="P99" s="39"/>
      <c r="Q99" s="39"/>
      <c r="R99" s="39"/>
      <c r="S99" s="39"/>
      <c r="T99" s="39"/>
      <c r="U99" s="39"/>
      <c r="V99" s="39"/>
      <c r="W99" s="39"/>
    </row>
    <row r="100" spans="1:23" ht="13">
      <c r="A100" s="65"/>
      <c r="B100" s="78"/>
      <c r="C100" s="78"/>
      <c r="D100" s="67"/>
      <c r="E100" s="68"/>
      <c r="F100" s="69"/>
      <c r="G100" s="70"/>
      <c r="H100" s="71"/>
      <c r="I100" s="75"/>
      <c r="J100" s="73"/>
      <c r="K100" s="39"/>
      <c r="L100" s="39"/>
      <c r="M100" s="39"/>
      <c r="N100" s="39"/>
      <c r="O100" s="39"/>
      <c r="P100" s="39"/>
      <c r="Q100" s="39"/>
      <c r="R100" s="39"/>
      <c r="S100" s="39"/>
      <c r="T100" s="39"/>
      <c r="U100" s="39"/>
      <c r="V100" s="39"/>
      <c r="W100" s="39"/>
    </row>
    <row r="101" spans="1:23" ht="13">
      <c r="A101" s="65"/>
      <c r="B101" s="78"/>
      <c r="C101" s="78"/>
      <c r="D101" s="67"/>
      <c r="E101" s="68"/>
      <c r="F101" s="69"/>
      <c r="G101" s="70"/>
      <c r="H101" s="71"/>
      <c r="I101" s="75"/>
      <c r="J101" s="73"/>
      <c r="K101" s="39"/>
      <c r="L101" s="39"/>
      <c r="M101" s="39"/>
      <c r="N101" s="39"/>
      <c r="O101" s="39"/>
      <c r="P101" s="39"/>
      <c r="Q101" s="39"/>
      <c r="R101" s="39"/>
      <c r="S101" s="39"/>
      <c r="T101" s="39"/>
      <c r="U101" s="39"/>
      <c r="V101" s="39"/>
      <c r="W101" s="39"/>
    </row>
    <row r="102" spans="1:23" ht="13">
      <c r="A102" s="65"/>
      <c r="B102" s="78"/>
      <c r="C102" s="78"/>
      <c r="D102" s="67"/>
      <c r="E102" s="68"/>
      <c r="F102" s="69"/>
      <c r="G102" s="70"/>
      <c r="H102" s="71"/>
      <c r="I102" s="75"/>
      <c r="J102" s="73"/>
      <c r="K102" s="39"/>
      <c r="L102" s="39"/>
      <c r="M102" s="39"/>
      <c r="N102" s="39"/>
      <c r="O102" s="39"/>
      <c r="P102" s="39"/>
      <c r="Q102" s="39"/>
      <c r="R102" s="39"/>
      <c r="S102" s="39"/>
      <c r="T102" s="39"/>
      <c r="U102" s="39"/>
      <c r="V102" s="39"/>
      <c r="W102" s="39"/>
    </row>
    <row r="103" spans="1:23" ht="13">
      <c r="A103" s="65"/>
      <c r="B103" s="78"/>
      <c r="C103" s="78"/>
      <c r="D103" s="67"/>
      <c r="E103" s="68"/>
      <c r="F103" s="69"/>
      <c r="G103" s="70"/>
      <c r="H103" s="71"/>
      <c r="I103" s="75"/>
      <c r="J103" s="73"/>
      <c r="K103" s="39"/>
      <c r="L103" s="39"/>
      <c r="M103" s="39"/>
      <c r="N103" s="39"/>
      <c r="O103" s="39"/>
      <c r="P103" s="39"/>
      <c r="Q103" s="39"/>
      <c r="R103" s="39"/>
      <c r="S103" s="39"/>
      <c r="T103" s="39"/>
      <c r="U103" s="39"/>
      <c r="V103" s="39"/>
      <c r="W103" s="39"/>
    </row>
    <row r="104" spans="1:23" ht="13">
      <c r="A104" s="65"/>
      <c r="B104" s="78"/>
      <c r="C104" s="78"/>
      <c r="D104" s="67"/>
      <c r="E104" s="68"/>
      <c r="F104" s="69"/>
      <c r="G104" s="70"/>
      <c r="H104" s="71"/>
      <c r="I104" s="75"/>
      <c r="J104" s="73"/>
      <c r="K104" s="39"/>
      <c r="L104" s="39"/>
      <c r="M104" s="39"/>
      <c r="N104" s="39"/>
      <c r="O104" s="39"/>
      <c r="P104" s="39"/>
      <c r="Q104" s="39"/>
      <c r="R104" s="39"/>
      <c r="S104" s="39"/>
      <c r="T104" s="39"/>
      <c r="U104" s="39"/>
      <c r="V104" s="39"/>
      <c r="W104" s="39"/>
    </row>
    <row r="105" spans="1:23" ht="13">
      <c r="A105" s="65"/>
      <c r="B105" s="78"/>
      <c r="C105" s="78"/>
      <c r="D105" s="67"/>
      <c r="E105" s="68"/>
      <c r="F105" s="69"/>
      <c r="G105" s="70"/>
      <c r="H105" s="71"/>
      <c r="I105" s="75"/>
      <c r="J105" s="73"/>
      <c r="K105" s="39"/>
      <c r="L105" s="39"/>
      <c r="M105" s="39"/>
      <c r="N105" s="39"/>
      <c r="O105" s="39"/>
      <c r="P105" s="39"/>
      <c r="Q105" s="39"/>
      <c r="R105" s="39"/>
      <c r="S105" s="39"/>
      <c r="T105" s="39"/>
      <c r="U105" s="39"/>
      <c r="V105" s="39"/>
      <c r="W105" s="39"/>
    </row>
    <row r="106" spans="1:23" ht="13">
      <c r="A106" s="65"/>
      <c r="B106" s="78"/>
      <c r="C106" s="78"/>
      <c r="D106" s="67"/>
      <c r="E106" s="68"/>
      <c r="F106" s="69"/>
      <c r="G106" s="70"/>
      <c r="H106" s="71"/>
      <c r="I106" s="75"/>
      <c r="J106" s="73"/>
      <c r="K106" s="39"/>
      <c r="L106" s="39"/>
      <c r="M106" s="39"/>
      <c r="N106" s="39"/>
      <c r="O106" s="39"/>
      <c r="P106" s="39"/>
      <c r="Q106" s="39"/>
      <c r="R106" s="39"/>
      <c r="S106" s="39"/>
      <c r="T106" s="39"/>
      <c r="U106" s="39"/>
      <c r="V106" s="39"/>
      <c r="W106" s="39"/>
    </row>
    <row r="107" spans="1:23" ht="13">
      <c r="A107" s="65"/>
      <c r="B107" s="78"/>
      <c r="C107" s="78"/>
      <c r="D107" s="67"/>
      <c r="E107" s="68"/>
      <c r="F107" s="69"/>
      <c r="G107" s="70"/>
      <c r="H107" s="71"/>
      <c r="I107" s="75"/>
      <c r="J107" s="73"/>
      <c r="K107" s="39"/>
      <c r="L107" s="39"/>
      <c r="M107" s="39"/>
      <c r="N107" s="39"/>
      <c r="O107" s="39"/>
      <c r="P107" s="39"/>
      <c r="Q107" s="39"/>
      <c r="R107" s="39"/>
      <c r="S107" s="39"/>
      <c r="T107" s="39"/>
      <c r="U107" s="39"/>
      <c r="V107" s="39"/>
      <c r="W107" s="39"/>
    </row>
    <row r="108" spans="1:23" ht="13">
      <c r="A108" s="65"/>
      <c r="B108" s="78"/>
      <c r="C108" s="78"/>
      <c r="D108" s="67"/>
      <c r="E108" s="68"/>
      <c r="F108" s="69"/>
      <c r="G108" s="70"/>
      <c r="H108" s="71"/>
      <c r="I108" s="75"/>
      <c r="J108" s="73"/>
      <c r="K108" s="39"/>
      <c r="L108" s="39"/>
      <c r="M108" s="39"/>
      <c r="N108" s="39"/>
      <c r="O108" s="39"/>
      <c r="P108" s="39"/>
      <c r="Q108" s="39"/>
      <c r="R108" s="39"/>
      <c r="S108" s="39"/>
      <c r="T108" s="39"/>
      <c r="U108" s="39"/>
      <c r="V108" s="39"/>
      <c r="W108" s="39"/>
    </row>
    <row r="109" spans="1:23" ht="13">
      <c r="A109" s="65"/>
      <c r="B109" s="78"/>
      <c r="C109" s="78"/>
      <c r="D109" s="67"/>
      <c r="E109" s="68"/>
      <c r="F109" s="69"/>
      <c r="G109" s="70"/>
      <c r="H109" s="71"/>
      <c r="I109" s="75"/>
      <c r="J109" s="73"/>
      <c r="K109" s="39"/>
      <c r="L109" s="39"/>
      <c r="M109" s="39"/>
      <c r="N109" s="39"/>
      <c r="O109" s="39"/>
      <c r="P109" s="39"/>
      <c r="Q109" s="39"/>
      <c r="R109" s="39"/>
      <c r="S109" s="39"/>
      <c r="T109" s="39"/>
      <c r="U109" s="39"/>
      <c r="V109" s="39"/>
      <c r="W109" s="39"/>
    </row>
    <row r="110" spans="1:23" ht="13">
      <c r="A110" s="65"/>
      <c r="B110" s="78"/>
      <c r="C110" s="78"/>
      <c r="D110" s="67"/>
      <c r="E110" s="68"/>
      <c r="F110" s="69"/>
      <c r="G110" s="70"/>
      <c r="H110" s="71"/>
      <c r="I110" s="75"/>
      <c r="J110" s="73"/>
      <c r="K110" s="39"/>
      <c r="L110" s="39"/>
      <c r="M110" s="39"/>
      <c r="N110" s="39"/>
      <c r="O110" s="39"/>
      <c r="P110" s="39"/>
      <c r="Q110" s="39"/>
      <c r="R110" s="39"/>
      <c r="S110" s="39"/>
      <c r="T110" s="39"/>
      <c r="U110" s="39"/>
      <c r="V110" s="39"/>
      <c r="W110" s="39"/>
    </row>
    <row r="111" spans="1:23" ht="13">
      <c r="A111" s="65"/>
      <c r="B111" s="78"/>
      <c r="C111" s="78"/>
      <c r="D111" s="67"/>
      <c r="E111" s="68"/>
      <c r="F111" s="69"/>
      <c r="G111" s="70"/>
      <c r="H111" s="71"/>
      <c r="I111" s="75"/>
      <c r="J111" s="73"/>
      <c r="K111" s="39"/>
      <c r="L111" s="39"/>
      <c r="M111" s="39"/>
      <c r="N111" s="39"/>
      <c r="O111" s="39"/>
      <c r="P111" s="39"/>
      <c r="Q111" s="39"/>
      <c r="R111" s="39"/>
      <c r="S111" s="39"/>
      <c r="T111" s="39"/>
      <c r="U111" s="39"/>
      <c r="V111" s="39"/>
      <c r="W111" s="39"/>
    </row>
    <row r="112" spans="1:23" ht="13">
      <c r="A112" s="65"/>
      <c r="B112" s="78"/>
      <c r="C112" s="78"/>
      <c r="D112" s="67"/>
      <c r="E112" s="68"/>
      <c r="F112" s="69"/>
      <c r="G112" s="70"/>
      <c r="H112" s="71"/>
      <c r="I112" s="75"/>
      <c r="J112" s="73"/>
      <c r="K112" s="39"/>
      <c r="L112" s="39"/>
      <c r="M112" s="39"/>
      <c r="N112" s="39"/>
      <c r="O112" s="39"/>
      <c r="P112" s="39"/>
      <c r="Q112" s="39"/>
      <c r="R112" s="39"/>
      <c r="S112" s="39"/>
      <c r="T112" s="39"/>
      <c r="U112" s="39"/>
      <c r="V112" s="39"/>
      <c r="W112" s="39"/>
    </row>
    <row r="113" spans="1:23" ht="13">
      <c r="A113" s="65"/>
      <c r="B113" s="78"/>
      <c r="C113" s="78"/>
      <c r="D113" s="67"/>
      <c r="E113" s="68"/>
      <c r="F113" s="69"/>
      <c r="G113" s="70"/>
      <c r="H113" s="71"/>
      <c r="I113" s="75"/>
      <c r="J113" s="73"/>
      <c r="K113" s="39"/>
      <c r="L113" s="39"/>
      <c r="M113" s="39"/>
      <c r="N113" s="39"/>
      <c r="O113" s="39"/>
      <c r="P113" s="39"/>
      <c r="Q113" s="39"/>
      <c r="R113" s="39"/>
      <c r="S113" s="39"/>
      <c r="T113" s="39"/>
      <c r="U113" s="39"/>
      <c r="V113" s="39"/>
      <c r="W113" s="39"/>
    </row>
    <row r="114" spans="1:23" ht="13">
      <c r="A114" s="3"/>
      <c r="B114" s="3"/>
      <c r="C114" s="3"/>
      <c r="D114" s="14"/>
      <c r="E114" s="3"/>
    </row>
    <row r="115" spans="1:23" ht="13">
      <c r="A115" s="3"/>
      <c r="B115" s="3"/>
      <c r="C115" s="3"/>
      <c r="D115" s="14"/>
      <c r="E115" s="3"/>
    </row>
    <row r="116" spans="1:23" ht="13">
      <c r="A116" s="3"/>
      <c r="B116" s="3"/>
      <c r="C116" s="3"/>
      <c r="D116" s="14"/>
      <c r="E116" s="3"/>
    </row>
    <row r="117" spans="1:23" ht="13">
      <c r="A117" s="3"/>
      <c r="B117" s="3"/>
      <c r="C117" s="3"/>
      <c r="D117" s="14"/>
      <c r="E117" s="3"/>
    </row>
    <row r="118" spans="1:23" ht="13">
      <c r="A118" s="3"/>
      <c r="B118" s="3"/>
      <c r="C118" s="3"/>
      <c r="D118" s="14"/>
      <c r="E118" s="3"/>
    </row>
    <row r="119" spans="1:23" ht="13">
      <c r="A119" s="3"/>
      <c r="B119" s="3"/>
      <c r="C119" s="3"/>
      <c r="D119" s="14"/>
      <c r="E119" s="3"/>
    </row>
    <row r="120" spans="1:23" ht="13">
      <c r="A120" s="3"/>
      <c r="B120" s="3"/>
      <c r="C120" s="3"/>
      <c r="D120" s="14"/>
      <c r="E120" s="3"/>
    </row>
    <row r="121" spans="1:23" ht="13">
      <c r="A121" s="3"/>
      <c r="B121" s="3"/>
      <c r="C121" s="3"/>
      <c r="D121" s="14"/>
      <c r="E121" s="3"/>
    </row>
    <row r="122" spans="1:23" ht="13">
      <c r="A122" s="3"/>
      <c r="B122" s="3"/>
      <c r="C122" s="3"/>
      <c r="D122" s="14"/>
      <c r="E122" s="3"/>
    </row>
    <row r="123" spans="1:23" ht="13">
      <c r="A123" s="3"/>
      <c r="B123" s="3"/>
      <c r="C123" s="3"/>
      <c r="D123" s="14"/>
      <c r="E123" s="3"/>
    </row>
    <row r="124" spans="1:23" ht="13">
      <c r="A124" s="3"/>
      <c r="B124" s="3"/>
      <c r="C124" s="3"/>
      <c r="D124" s="14"/>
      <c r="E124" s="3"/>
    </row>
    <row r="125" spans="1:23" ht="13">
      <c r="A125" s="3"/>
      <c r="B125" s="3"/>
      <c r="C125" s="3"/>
      <c r="D125" s="14"/>
      <c r="E125" s="3"/>
    </row>
    <row r="126" spans="1:23" ht="13">
      <c r="A126" s="3"/>
      <c r="B126" s="3"/>
      <c r="C126" s="3"/>
      <c r="D126" s="14"/>
      <c r="E126" s="3"/>
    </row>
    <row r="127" spans="1:23" ht="13">
      <c r="A127" s="3"/>
      <c r="B127" s="3"/>
      <c r="C127" s="3"/>
      <c r="D127" s="14"/>
      <c r="E127" s="3"/>
    </row>
    <row r="128" spans="1:23" ht="13">
      <c r="A128" s="3"/>
      <c r="B128" s="3"/>
      <c r="C128" s="3"/>
      <c r="D128" s="14"/>
      <c r="E128" s="3"/>
    </row>
    <row r="129" spans="1:5" ht="13">
      <c r="A129" s="3"/>
      <c r="B129" s="3"/>
      <c r="C129" s="3"/>
      <c r="D129" s="14"/>
      <c r="E129" s="3"/>
    </row>
    <row r="130" spans="1:5" ht="13">
      <c r="A130" s="3"/>
      <c r="B130" s="3"/>
      <c r="C130" s="3"/>
      <c r="D130" s="14"/>
      <c r="E130" s="3"/>
    </row>
    <row r="131" spans="1:5" ht="13">
      <c r="A131" s="3"/>
      <c r="B131" s="3"/>
      <c r="C131" s="3"/>
      <c r="D131" s="14"/>
      <c r="E131" s="3"/>
    </row>
    <row r="132" spans="1:5" ht="13">
      <c r="A132" s="3"/>
      <c r="B132" s="3"/>
      <c r="C132" s="3"/>
      <c r="D132" s="14"/>
      <c r="E132" s="3"/>
    </row>
    <row r="133" spans="1:5" ht="13">
      <c r="A133" s="3"/>
      <c r="B133" s="3"/>
      <c r="C133" s="3"/>
      <c r="D133" s="14"/>
      <c r="E133" s="3"/>
    </row>
    <row r="134" spans="1:5" ht="13">
      <c r="A134" s="3"/>
      <c r="B134" s="3"/>
      <c r="C134" s="3"/>
      <c r="D134" s="14"/>
      <c r="E134" s="3"/>
    </row>
    <row r="135" spans="1:5" ht="13">
      <c r="A135" s="3"/>
      <c r="B135" s="3"/>
      <c r="C135" s="3"/>
      <c r="D135" s="14"/>
      <c r="E135" s="3"/>
    </row>
    <row r="136" spans="1:5" ht="13">
      <c r="A136" s="3"/>
      <c r="B136" s="3"/>
      <c r="C136" s="3"/>
      <c r="D136" s="14"/>
      <c r="E136" s="3"/>
    </row>
    <row r="137" spans="1:5" ht="13">
      <c r="A137" s="3"/>
      <c r="B137" s="3"/>
      <c r="C137" s="3"/>
      <c r="D137" s="14"/>
      <c r="E137" s="3"/>
    </row>
    <row r="138" spans="1:5" ht="13">
      <c r="A138" s="3"/>
      <c r="B138" s="3"/>
      <c r="C138" s="3"/>
      <c r="D138" s="14"/>
      <c r="E138" s="3"/>
    </row>
    <row r="139" spans="1:5" ht="13">
      <c r="A139" s="3"/>
      <c r="B139" s="3"/>
      <c r="C139" s="3"/>
      <c r="D139" s="14"/>
      <c r="E139" s="3"/>
    </row>
    <row r="140" spans="1:5" ht="13">
      <c r="A140" s="3"/>
      <c r="B140" s="3"/>
      <c r="C140" s="3"/>
      <c r="D140" s="14"/>
      <c r="E140" s="3"/>
    </row>
    <row r="141" spans="1:5" ht="13">
      <c r="A141" s="3"/>
      <c r="B141" s="3"/>
      <c r="C141" s="3"/>
      <c r="D141" s="14"/>
      <c r="E141" s="3"/>
    </row>
    <row r="142" spans="1:5" ht="13">
      <c r="A142" s="3"/>
      <c r="B142" s="3"/>
      <c r="C142" s="3"/>
      <c r="D142" s="14"/>
      <c r="E142" s="3"/>
    </row>
    <row r="143" spans="1:5" ht="13">
      <c r="A143" s="3"/>
      <c r="B143" s="3"/>
      <c r="C143" s="3"/>
      <c r="D143" s="14"/>
      <c r="E143" s="3"/>
    </row>
    <row r="144" spans="1:5" ht="13">
      <c r="A144" s="3"/>
      <c r="B144" s="3"/>
      <c r="C144" s="3"/>
      <c r="D144" s="14"/>
      <c r="E144" s="3"/>
    </row>
    <row r="145" spans="1:5" ht="13">
      <c r="A145" s="3"/>
      <c r="B145" s="3"/>
      <c r="C145" s="3"/>
      <c r="D145" s="14"/>
      <c r="E145" s="3"/>
    </row>
    <row r="146" spans="1:5" ht="13">
      <c r="A146" s="3"/>
      <c r="B146" s="3"/>
      <c r="C146" s="3"/>
      <c r="D146" s="14"/>
      <c r="E146" s="3"/>
    </row>
    <row r="147" spans="1:5" ht="13">
      <c r="A147" s="3"/>
      <c r="B147" s="3"/>
      <c r="C147" s="3"/>
      <c r="D147" s="14"/>
      <c r="E147" s="3"/>
    </row>
    <row r="148" spans="1:5" ht="13">
      <c r="A148" s="3"/>
      <c r="B148" s="3"/>
      <c r="C148" s="3"/>
      <c r="D148" s="14"/>
      <c r="E148" s="3"/>
    </row>
    <row r="149" spans="1:5" ht="13">
      <c r="A149" s="3"/>
      <c r="B149" s="3"/>
      <c r="C149" s="3"/>
      <c r="D149" s="14"/>
      <c r="E149" s="3"/>
    </row>
    <row r="150" spans="1:5" ht="13">
      <c r="A150" s="3"/>
      <c r="B150" s="3"/>
      <c r="C150" s="3"/>
      <c r="D150" s="14"/>
      <c r="E150" s="3"/>
    </row>
    <row r="151" spans="1:5" ht="13">
      <c r="A151" s="3"/>
      <c r="B151" s="3"/>
      <c r="C151" s="3"/>
      <c r="D151" s="14"/>
      <c r="E151" s="3"/>
    </row>
    <row r="152" spans="1:5" ht="13">
      <c r="A152" s="3"/>
      <c r="B152" s="3"/>
      <c r="C152" s="3"/>
      <c r="D152" s="14"/>
      <c r="E152" s="3"/>
    </row>
    <row r="153" spans="1:5" ht="13">
      <c r="A153" s="3"/>
      <c r="B153" s="3"/>
      <c r="C153" s="3"/>
      <c r="D153" s="14"/>
      <c r="E153" s="3"/>
    </row>
    <row r="154" spans="1:5" ht="13">
      <c r="A154" s="3"/>
      <c r="B154" s="3"/>
      <c r="C154" s="3"/>
      <c r="D154" s="14"/>
      <c r="E154" s="3"/>
    </row>
    <row r="155" spans="1:5" ht="13">
      <c r="A155" s="3"/>
      <c r="B155" s="3"/>
      <c r="C155" s="3"/>
      <c r="D155" s="14"/>
      <c r="E155" s="3"/>
    </row>
    <row r="156" spans="1:5" ht="13">
      <c r="A156" s="3"/>
      <c r="B156" s="3"/>
      <c r="C156" s="3"/>
      <c r="D156" s="14"/>
      <c r="E156" s="3"/>
    </row>
    <row r="157" spans="1:5" ht="13">
      <c r="A157" s="3"/>
      <c r="B157" s="3"/>
      <c r="C157" s="3"/>
      <c r="D157" s="14"/>
      <c r="E157" s="3"/>
    </row>
    <row r="158" spans="1:5" ht="13">
      <c r="A158" s="3"/>
      <c r="B158" s="3"/>
      <c r="C158" s="3"/>
      <c r="D158" s="14"/>
      <c r="E158" s="3"/>
    </row>
    <row r="159" spans="1:5" ht="13">
      <c r="A159" s="3"/>
      <c r="B159" s="3"/>
      <c r="C159" s="3"/>
      <c r="D159" s="14"/>
      <c r="E159" s="3"/>
    </row>
    <row r="160" spans="1:5" ht="13">
      <c r="A160" s="3"/>
      <c r="B160" s="3"/>
      <c r="C160" s="3"/>
      <c r="D160" s="14"/>
      <c r="E160" s="3"/>
    </row>
    <row r="161" spans="1:5" ht="13">
      <c r="A161" s="3"/>
      <c r="B161" s="3"/>
      <c r="C161" s="3"/>
      <c r="D161" s="14"/>
      <c r="E161" s="3"/>
    </row>
    <row r="162" spans="1:5" ht="13">
      <c r="A162" s="3"/>
      <c r="B162" s="3"/>
      <c r="C162" s="3"/>
      <c r="D162" s="14"/>
      <c r="E162" s="3"/>
    </row>
    <row r="163" spans="1:5" ht="13">
      <c r="A163" s="3"/>
      <c r="B163" s="3"/>
      <c r="C163" s="3"/>
      <c r="D163" s="14"/>
      <c r="E163" s="3"/>
    </row>
    <row r="164" spans="1:5" ht="13">
      <c r="A164" s="3"/>
      <c r="B164" s="3"/>
      <c r="C164" s="3"/>
      <c r="D164" s="14"/>
      <c r="E164" s="3"/>
    </row>
    <row r="165" spans="1:5" ht="13">
      <c r="A165" s="3"/>
      <c r="B165" s="3"/>
      <c r="C165" s="3"/>
      <c r="D165" s="14"/>
      <c r="E165" s="3"/>
    </row>
    <row r="166" spans="1:5" ht="13">
      <c r="A166" s="3"/>
      <c r="B166" s="3"/>
      <c r="C166" s="3"/>
      <c r="D166" s="14"/>
      <c r="E166" s="3"/>
    </row>
    <row r="167" spans="1:5" ht="13">
      <c r="A167" s="3"/>
      <c r="B167" s="3"/>
      <c r="C167" s="3"/>
      <c r="D167" s="14"/>
      <c r="E167" s="3"/>
    </row>
    <row r="168" spans="1:5" ht="13">
      <c r="A168" s="3"/>
      <c r="B168" s="3"/>
      <c r="C168" s="3"/>
      <c r="D168" s="14"/>
      <c r="E168" s="3"/>
    </row>
    <row r="169" spans="1:5" ht="13">
      <c r="A169" s="3"/>
      <c r="B169" s="3"/>
      <c r="C169" s="3"/>
      <c r="D169" s="14"/>
      <c r="E169" s="3"/>
    </row>
    <row r="170" spans="1:5" ht="13">
      <c r="A170" s="3"/>
      <c r="B170" s="3"/>
      <c r="C170" s="3"/>
      <c r="D170" s="14"/>
      <c r="E170" s="3"/>
    </row>
    <row r="171" spans="1:5" ht="13">
      <c r="A171" s="3"/>
      <c r="B171" s="3"/>
      <c r="C171" s="3"/>
      <c r="D171" s="14"/>
      <c r="E171" s="3"/>
    </row>
    <row r="172" spans="1:5" ht="13">
      <c r="A172" s="3"/>
      <c r="B172" s="3"/>
      <c r="C172" s="3"/>
      <c r="D172" s="14"/>
      <c r="E172" s="3"/>
    </row>
    <row r="173" spans="1:5" ht="13">
      <c r="A173" s="3"/>
      <c r="B173" s="3"/>
      <c r="C173" s="3"/>
      <c r="D173" s="14"/>
      <c r="E173" s="3"/>
    </row>
    <row r="174" spans="1:5" ht="13">
      <c r="A174" s="3"/>
      <c r="B174" s="3"/>
      <c r="C174" s="3"/>
      <c r="D174" s="14"/>
      <c r="E174" s="3"/>
    </row>
    <row r="175" spans="1:5" ht="13">
      <c r="A175" s="3"/>
      <c r="B175" s="3"/>
      <c r="C175" s="3"/>
      <c r="D175" s="14"/>
      <c r="E175" s="3"/>
    </row>
    <row r="176" spans="1:5" ht="13">
      <c r="A176" s="3"/>
      <c r="B176" s="3"/>
      <c r="C176" s="3"/>
      <c r="D176" s="14"/>
      <c r="E176" s="3"/>
    </row>
    <row r="177" spans="1:5" ht="13">
      <c r="A177" s="3"/>
      <c r="B177" s="3"/>
      <c r="C177" s="3"/>
      <c r="D177" s="14"/>
      <c r="E177" s="3"/>
    </row>
    <row r="178" spans="1:5" ht="13">
      <c r="A178" s="3"/>
      <c r="B178" s="3"/>
      <c r="C178" s="3"/>
      <c r="D178" s="14"/>
      <c r="E178" s="3"/>
    </row>
    <row r="179" spans="1:5" ht="13">
      <c r="A179" s="3"/>
      <c r="B179" s="3"/>
      <c r="C179" s="3"/>
      <c r="D179" s="14"/>
      <c r="E179" s="3"/>
    </row>
    <row r="180" spans="1:5" ht="13">
      <c r="A180" s="3"/>
      <c r="B180" s="3"/>
      <c r="C180" s="3"/>
      <c r="D180" s="14"/>
      <c r="E180" s="3"/>
    </row>
    <row r="181" spans="1:5" ht="13">
      <c r="A181" s="3"/>
      <c r="B181" s="3"/>
      <c r="C181" s="3"/>
      <c r="D181" s="14"/>
      <c r="E181" s="3"/>
    </row>
    <row r="182" spans="1:5" ht="13">
      <c r="A182" s="3"/>
      <c r="B182" s="3"/>
      <c r="C182" s="3"/>
      <c r="D182" s="14"/>
      <c r="E182" s="3"/>
    </row>
    <row r="183" spans="1:5" ht="13">
      <c r="A183" s="3"/>
      <c r="B183" s="3"/>
      <c r="C183" s="3"/>
      <c r="D183" s="14"/>
      <c r="E183" s="3"/>
    </row>
    <row r="184" spans="1:5" ht="13">
      <c r="A184" s="3"/>
      <c r="B184" s="3"/>
      <c r="C184" s="3"/>
      <c r="D184" s="14"/>
      <c r="E184" s="3"/>
    </row>
    <row r="185" spans="1:5" ht="13">
      <c r="A185" s="3"/>
      <c r="B185" s="3"/>
      <c r="C185" s="3"/>
      <c r="D185" s="14"/>
      <c r="E185" s="3"/>
    </row>
    <row r="186" spans="1:5" ht="13">
      <c r="A186" s="3"/>
      <c r="B186" s="3"/>
      <c r="C186" s="3"/>
      <c r="D186" s="14"/>
      <c r="E186" s="3"/>
    </row>
    <row r="187" spans="1:5" ht="13">
      <c r="A187" s="3"/>
      <c r="B187" s="3"/>
      <c r="C187" s="3"/>
      <c r="D187" s="14"/>
      <c r="E187" s="3"/>
    </row>
    <row r="188" spans="1:5" ht="13">
      <c r="A188" s="3"/>
      <c r="B188" s="3"/>
      <c r="C188" s="3"/>
      <c r="D188" s="14"/>
      <c r="E188" s="3"/>
    </row>
    <row r="189" spans="1:5" ht="13">
      <c r="A189" s="3"/>
      <c r="B189" s="3"/>
      <c r="C189" s="3"/>
      <c r="D189" s="14"/>
      <c r="E189" s="3"/>
    </row>
    <row r="190" spans="1:5" ht="13">
      <c r="A190" s="3"/>
      <c r="B190" s="3"/>
      <c r="C190" s="3"/>
      <c r="D190" s="14"/>
      <c r="E190" s="3"/>
    </row>
    <row r="191" spans="1:5" ht="13">
      <c r="A191" s="3"/>
      <c r="B191" s="3"/>
      <c r="C191" s="3"/>
      <c r="D191" s="14"/>
      <c r="E191" s="3"/>
    </row>
    <row r="192" spans="1:5" ht="13">
      <c r="A192" s="3"/>
      <c r="B192" s="3"/>
      <c r="C192" s="3"/>
      <c r="D192" s="14"/>
      <c r="E192" s="3"/>
    </row>
    <row r="193" spans="1:5" ht="13">
      <c r="A193" s="3"/>
      <c r="B193" s="3"/>
      <c r="C193" s="3"/>
      <c r="D193" s="14"/>
      <c r="E193" s="3"/>
    </row>
    <row r="194" spans="1:5" ht="13">
      <c r="A194" s="3"/>
      <c r="B194" s="3"/>
      <c r="C194" s="3"/>
      <c r="D194" s="14"/>
      <c r="E194" s="3"/>
    </row>
    <row r="195" spans="1:5" ht="13">
      <c r="A195" s="3"/>
      <c r="B195" s="3"/>
      <c r="C195" s="3"/>
      <c r="D195" s="14"/>
      <c r="E195" s="3"/>
    </row>
    <row r="196" spans="1:5" ht="13">
      <c r="A196" s="3"/>
      <c r="B196" s="3"/>
      <c r="C196" s="3"/>
      <c r="D196" s="14"/>
      <c r="E196" s="3"/>
    </row>
    <row r="197" spans="1:5" ht="13">
      <c r="A197" s="3"/>
      <c r="B197" s="3"/>
      <c r="C197" s="3"/>
      <c r="D197" s="14"/>
      <c r="E197" s="3"/>
    </row>
    <row r="198" spans="1:5" ht="13">
      <c r="A198" s="3"/>
      <c r="B198" s="3"/>
      <c r="C198" s="3"/>
      <c r="D198" s="14"/>
      <c r="E198" s="3"/>
    </row>
    <row r="199" spans="1:5" ht="13">
      <c r="A199" s="3"/>
      <c r="B199" s="3"/>
      <c r="C199" s="3"/>
      <c r="D199" s="14"/>
      <c r="E199" s="3"/>
    </row>
    <row r="200" spans="1:5" ht="13">
      <c r="A200" s="3"/>
      <c r="B200" s="3"/>
      <c r="C200" s="3"/>
      <c r="D200" s="14"/>
      <c r="E200" s="3"/>
    </row>
    <row r="201" spans="1:5" ht="13">
      <c r="A201" s="3"/>
      <c r="B201" s="3"/>
      <c r="C201" s="3"/>
      <c r="D201" s="14"/>
      <c r="E201" s="3"/>
    </row>
    <row r="202" spans="1:5" ht="13">
      <c r="A202" s="3"/>
      <c r="B202" s="3"/>
      <c r="C202" s="3"/>
      <c r="D202" s="14"/>
      <c r="E202" s="3"/>
    </row>
    <row r="203" spans="1:5" ht="13">
      <c r="A203" s="3"/>
      <c r="B203" s="3"/>
      <c r="C203" s="3"/>
      <c r="D203" s="14"/>
      <c r="E203" s="3"/>
    </row>
    <row r="204" spans="1:5" ht="13">
      <c r="A204" s="3"/>
      <c r="B204" s="3"/>
      <c r="C204" s="3"/>
      <c r="D204" s="14"/>
      <c r="E204" s="3"/>
    </row>
    <row r="205" spans="1:5" ht="13">
      <c r="A205" s="3"/>
      <c r="B205" s="3"/>
      <c r="C205" s="3"/>
      <c r="D205" s="14"/>
      <c r="E205" s="3"/>
    </row>
    <row r="206" spans="1:5" ht="13">
      <c r="A206" s="3"/>
      <c r="B206" s="3"/>
      <c r="C206" s="3"/>
      <c r="D206" s="14"/>
      <c r="E206" s="3"/>
    </row>
    <row r="207" spans="1:5" ht="13">
      <c r="A207" s="3"/>
      <c r="B207" s="3"/>
      <c r="C207" s="3"/>
      <c r="D207" s="14"/>
      <c r="E207" s="3"/>
    </row>
    <row r="208" spans="1:5" ht="13">
      <c r="A208" s="3"/>
      <c r="B208" s="3"/>
      <c r="C208" s="3"/>
      <c r="D208" s="14"/>
      <c r="E208" s="3"/>
    </row>
    <row r="209" spans="1:5" ht="13">
      <c r="A209" s="3"/>
      <c r="B209" s="3"/>
      <c r="C209" s="3"/>
      <c r="D209" s="14"/>
      <c r="E209" s="3"/>
    </row>
    <row r="210" spans="1:5" ht="13">
      <c r="A210" s="3"/>
      <c r="B210" s="3"/>
      <c r="C210" s="3"/>
      <c r="D210" s="14"/>
      <c r="E210" s="3"/>
    </row>
    <row r="211" spans="1:5" ht="13">
      <c r="A211" s="3"/>
      <c r="B211" s="3"/>
      <c r="C211" s="3"/>
      <c r="D211" s="14"/>
      <c r="E211" s="3"/>
    </row>
    <row r="212" spans="1:5" ht="13">
      <c r="A212" s="3"/>
      <c r="B212" s="3"/>
      <c r="C212" s="3"/>
      <c r="D212" s="14"/>
      <c r="E212" s="3"/>
    </row>
    <row r="213" spans="1:5" ht="13">
      <c r="A213" s="3"/>
      <c r="B213" s="3"/>
      <c r="C213" s="3"/>
      <c r="D213" s="14"/>
      <c r="E213" s="3"/>
    </row>
    <row r="214" spans="1:5" ht="13">
      <c r="A214" s="3"/>
      <c r="B214" s="3"/>
      <c r="C214" s="3"/>
      <c r="D214" s="14"/>
      <c r="E214" s="3"/>
    </row>
    <row r="215" spans="1:5" ht="13">
      <c r="A215" s="3"/>
      <c r="B215" s="3"/>
      <c r="C215" s="3"/>
      <c r="D215" s="14"/>
      <c r="E215" s="3"/>
    </row>
    <row r="216" spans="1:5" ht="13">
      <c r="A216" s="3"/>
      <c r="B216" s="3"/>
      <c r="C216" s="3"/>
      <c r="D216" s="14"/>
      <c r="E216" s="3"/>
    </row>
    <row r="217" spans="1:5" ht="13">
      <c r="A217" s="3"/>
      <c r="B217" s="3"/>
      <c r="C217" s="3"/>
      <c r="D217" s="14"/>
      <c r="E217" s="3"/>
    </row>
    <row r="218" spans="1:5" ht="13">
      <c r="A218" s="3"/>
      <c r="B218" s="3"/>
      <c r="C218" s="3"/>
      <c r="D218" s="14"/>
      <c r="E218" s="3"/>
    </row>
    <row r="219" spans="1:5" ht="13">
      <c r="A219" s="3"/>
      <c r="B219" s="3"/>
      <c r="C219" s="3"/>
      <c r="D219" s="14"/>
      <c r="E219" s="3"/>
    </row>
    <row r="220" spans="1:5" ht="13">
      <c r="A220" s="3"/>
      <c r="B220" s="3"/>
      <c r="C220" s="3"/>
      <c r="D220" s="14"/>
      <c r="E220" s="3"/>
    </row>
    <row r="221" spans="1:5" ht="13">
      <c r="A221" s="3"/>
      <c r="B221" s="3"/>
      <c r="C221" s="3"/>
      <c r="D221" s="14"/>
      <c r="E221" s="3"/>
    </row>
    <row r="222" spans="1:5" ht="13">
      <c r="A222" s="3"/>
      <c r="B222" s="3"/>
      <c r="C222" s="3"/>
      <c r="D222" s="14"/>
      <c r="E222" s="3"/>
    </row>
    <row r="223" spans="1:5" ht="13">
      <c r="A223" s="3"/>
      <c r="B223" s="3"/>
      <c r="C223" s="3"/>
      <c r="D223" s="14"/>
      <c r="E223" s="3"/>
    </row>
    <row r="224" spans="1:5" ht="13">
      <c r="A224" s="3"/>
      <c r="B224" s="3"/>
      <c r="C224" s="3"/>
      <c r="D224" s="14"/>
      <c r="E224" s="3"/>
    </row>
    <row r="225" spans="1:5" ht="13">
      <c r="A225" s="3"/>
      <c r="B225" s="3"/>
      <c r="C225" s="3"/>
      <c r="D225" s="14"/>
      <c r="E225" s="3"/>
    </row>
    <row r="226" spans="1:5" ht="13">
      <c r="A226" s="3"/>
      <c r="B226" s="3"/>
      <c r="C226" s="3"/>
      <c r="D226" s="14"/>
      <c r="E226" s="3"/>
    </row>
    <row r="227" spans="1:5" ht="13">
      <c r="A227" s="3"/>
      <c r="B227" s="3"/>
      <c r="C227" s="3"/>
      <c r="D227" s="14"/>
      <c r="E227" s="3"/>
    </row>
    <row r="228" spans="1:5" ht="13">
      <c r="A228" s="3"/>
      <c r="B228" s="3"/>
      <c r="C228" s="3"/>
      <c r="D228" s="14"/>
      <c r="E228" s="3"/>
    </row>
    <row r="229" spans="1:5" ht="13">
      <c r="A229" s="3"/>
      <c r="B229" s="3"/>
      <c r="C229" s="3"/>
      <c r="D229" s="14"/>
      <c r="E229" s="3"/>
    </row>
    <row r="230" spans="1:5" ht="13">
      <c r="A230" s="3"/>
      <c r="B230" s="3"/>
      <c r="C230" s="3"/>
      <c r="D230" s="14"/>
      <c r="E230" s="3"/>
    </row>
    <row r="231" spans="1:5" ht="13">
      <c r="A231" s="3"/>
      <c r="B231" s="3"/>
      <c r="C231" s="3"/>
      <c r="D231" s="14"/>
      <c r="E231" s="3"/>
    </row>
    <row r="232" spans="1:5" ht="13">
      <c r="A232" s="3"/>
      <c r="B232" s="3"/>
      <c r="C232" s="3"/>
      <c r="D232" s="14"/>
      <c r="E232" s="3"/>
    </row>
    <row r="233" spans="1:5" ht="13">
      <c r="A233" s="3"/>
      <c r="B233" s="3"/>
      <c r="C233" s="3"/>
      <c r="D233" s="14"/>
      <c r="E233" s="3"/>
    </row>
    <row r="234" spans="1:5" ht="13">
      <c r="A234" s="3"/>
      <c r="B234" s="3"/>
      <c r="C234" s="3"/>
      <c r="D234" s="14"/>
      <c r="E234" s="3"/>
    </row>
    <row r="235" spans="1:5" ht="13">
      <c r="A235" s="3"/>
      <c r="B235" s="3"/>
      <c r="C235" s="3"/>
      <c r="D235" s="14"/>
      <c r="E235" s="3"/>
    </row>
    <row r="236" spans="1:5" ht="13">
      <c r="A236" s="3"/>
      <c r="B236" s="3"/>
      <c r="C236" s="3"/>
      <c r="D236" s="14"/>
      <c r="E236" s="3"/>
    </row>
    <row r="237" spans="1:5" ht="13">
      <c r="A237" s="3"/>
      <c r="B237" s="3"/>
      <c r="C237" s="3"/>
      <c r="D237" s="14"/>
      <c r="E237" s="3"/>
    </row>
    <row r="238" spans="1:5" ht="13">
      <c r="A238" s="3"/>
      <c r="B238" s="3"/>
      <c r="C238" s="3"/>
      <c r="D238" s="14"/>
      <c r="E238" s="3"/>
    </row>
    <row r="239" spans="1:5" ht="13">
      <c r="A239" s="3"/>
      <c r="B239" s="3"/>
      <c r="C239" s="3"/>
      <c r="D239" s="14"/>
      <c r="E239" s="3"/>
    </row>
    <row r="240" spans="1:5" ht="13">
      <c r="A240" s="3"/>
      <c r="B240" s="3"/>
      <c r="C240" s="3"/>
      <c r="D240" s="14"/>
      <c r="E240" s="3"/>
    </row>
    <row r="241" spans="1:5" ht="13">
      <c r="A241" s="3"/>
      <c r="B241" s="3"/>
      <c r="C241" s="3"/>
      <c r="D241" s="14"/>
      <c r="E241" s="3"/>
    </row>
    <row r="242" spans="1:5" ht="13">
      <c r="A242" s="3"/>
      <c r="B242" s="3"/>
      <c r="C242" s="3"/>
      <c r="D242" s="14"/>
      <c r="E242" s="3"/>
    </row>
    <row r="243" spans="1:5" ht="13">
      <c r="A243" s="3"/>
      <c r="B243" s="3"/>
      <c r="C243" s="3"/>
      <c r="D243" s="14"/>
      <c r="E243" s="3"/>
    </row>
    <row r="244" spans="1:5" ht="13">
      <c r="A244" s="3"/>
      <c r="B244" s="3"/>
      <c r="C244" s="3"/>
      <c r="D244" s="14"/>
      <c r="E244" s="3"/>
    </row>
    <row r="245" spans="1:5" ht="13">
      <c r="A245" s="3"/>
      <c r="B245" s="3"/>
      <c r="C245" s="3"/>
      <c r="D245" s="14"/>
      <c r="E245" s="3"/>
    </row>
    <row r="246" spans="1:5" ht="13">
      <c r="A246" s="3"/>
      <c r="B246" s="3"/>
      <c r="C246" s="3"/>
      <c r="D246" s="14"/>
      <c r="E246" s="3"/>
    </row>
    <row r="247" spans="1:5" ht="13">
      <c r="A247" s="3"/>
      <c r="B247" s="3"/>
      <c r="C247" s="3"/>
      <c r="D247" s="14"/>
      <c r="E247" s="3"/>
    </row>
    <row r="248" spans="1:5" ht="13">
      <c r="A248" s="3"/>
      <c r="B248" s="3"/>
      <c r="C248" s="3"/>
      <c r="D248" s="14"/>
      <c r="E248" s="3"/>
    </row>
    <row r="249" spans="1:5" ht="13">
      <c r="A249" s="3"/>
      <c r="B249" s="3"/>
      <c r="C249" s="3"/>
      <c r="D249" s="14"/>
      <c r="E249" s="3"/>
    </row>
    <row r="250" spans="1:5" ht="13">
      <c r="A250" s="3"/>
      <c r="B250" s="3"/>
      <c r="C250" s="3"/>
      <c r="D250" s="14"/>
      <c r="E250" s="3"/>
    </row>
    <row r="251" spans="1:5" ht="13">
      <c r="A251" s="3"/>
      <c r="B251" s="3"/>
      <c r="C251" s="3"/>
      <c r="D251" s="14"/>
      <c r="E251" s="3"/>
    </row>
    <row r="252" spans="1:5" ht="13">
      <c r="A252" s="3"/>
      <c r="B252" s="3"/>
      <c r="C252" s="3"/>
      <c r="D252" s="14"/>
      <c r="E252" s="3"/>
    </row>
    <row r="253" spans="1:5" ht="13">
      <c r="A253" s="3"/>
      <c r="B253" s="3"/>
      <c r="C253" s="3"/>
      <c r="D253" s="14"/>
      <c r="E253" s="3"/>
    </row>
    <row r="254" spans="1:5" ht="13">
      <c r="A254" s="3"/>
      <c r="B254" s="3"/>
      <c r="C254" s="3"/>
      <c r="D254" s="14"/>
      <c r="E254" s="3"/>
    </row>
    <row r="255" spans="1:5" ht="13">
      <c r="A255" s="3"/>
      <c r="B255" s="3"/>
      <c r="C255" s="3"/>
      <c r="D255" s="14"/>
      <c r="E255" s="3"/>
    </row>
    <row r="256" spans="1:5" ht="13">
      <c r="A256" s="3"/>
      <c r="B256" s="3"/>
      <c r="C256" s="3"/>
      <c r="D256" s="14"/>
      <c r="E256" s="3"/>
    </row>
    <row r="257" spans="1:5" ht="13">
      <c r="A257" s="3"/>
      <c r="B257" s="3"/>
      <c r="C257" s="3"/>
      <c r="D257" s="14"/>
      <c r="E257" s="3"/>
    </row>
    <row r="258" spans="1:5" ht="13">
      <c r="A258" s="3"/>
      <c r="B258" s="3"/>
      <c r="C258" s="3"/>
      <c r="D258" s="14"/>
      <c r="E258" s="3"/>
    </row>
    <row r="259" spans="1:5" ht="13">
      <c r="A259" s="3"/>
      <c r="B259" s="3"/>
      <c r="C259" s="3"/>
      <c r="D259" s="14"/>
      <c r="E259" s="3"/>
    </row>
    <row r="260" spans="1:5" ht="13">
      <c r="A260" s="3"/>
      <c r="B260" s="3"/>
      <c r="C260" s="3"/>
      <c r="D260" s="14"/>
      <c r="E260" s="3"/>
    </row>
    <row r="261" spans="1:5" ht="13">
      <c r="A261" s="3"/>
      <c r="B261" s="3"/>
      <c r="C261" s="3"/>
      <c r="D261" s="14"/>
      <c r="E261" s="3"/>
    </row>
    <row r="262" spans="1:5" ht="13">
      <c r="A262" s="3"/>
      <c r="B262" s="3"/>
      <c r="C262" s="3"/>
      <c r="D262" s="14"/>
      <c r="E262" s="3"/>
    </row>
    <row r="263" spans="1:5" ht="13">
      <c r="A263" s="3"/>
      <c r="B263" s="3"/>
      <c r="C263" s="3"/>
      <c r="D263" s="14"/>
      <c r="E263" s="3"/>
    </row>
    <row r="264" spans="1:5" ht="13">
      <c r="A264" s="3"/>
      <c r="B264" s="3"/>
      <c r="C264" s="3"/>
      <c r="D264" s="14"/>
      <c r="E264" s="3"/>
    </row>
    <row r="265" spans="1:5" ht="13">
      <c r="A265" s="3"/>
      <c r="B265" s="3"/>
      <c r="C265" s="3"/>
      <c r="D265" s="14"/>
      <c r="E265" s="3"/>
    </row>
    <row r="266" spans="1:5" ht="13">
      <c r="A266" s="3"/>
      <c r="B266" s="3"/>
      <c r="C266" s="3"/>
      <c r="D266" s="14"/>
      <c r="E266" s="3"/>
    </row>
    <row r="267" spans="1:5" ht="13">
      <c r="A267" s="3"/>
      <c r="B267" s="3"/>
      <c r="C267" s="3"/>
      <c r="D267" s="14"/>
      <c r="E267" s="3"/>
    </row>
    <row r="268" spans="1:5" ht="13">
      <c r="A268" s="3"/>
      <c r="B268" s="3"/>
      <c r="C268" s="3"/>
      <c r="D268" s="14"/>
      <c r="E268" s="3"/>
    </row>
    <row r="269" spans="1:5" ht="13">
      <c r="A269" s="3"/>
      <c r="B269" s="3"/>
      <c r="C269" s="3"/>
      <c r="D269" s="14"/>
      <c r="E269" s="3"/>
    </row>
    <row r="270" spans="1:5" ht="13">
      <c r="A270" s="3"/>
      <c r="B270" s="3"/>
      <c r="C270" s="3"/>
      <c r="D270" s="14"/>
      <c r="E270" s="3"/>
    </row>
    <row r="271" spans="1:5" ht="13">
      <c r="A271" s="3"/>
      <c r="B271" s="3"/>
      <c r="C271" s="3"/>
      <c r="D271" s="14"/>
      <c r="E271" s="3"/>
    </row>
    <row r="272" spans="1:5" ht="13">
      <c r="A272" s="3"/>
      <c r="B272" s="3"/>
      <c r="C272" s="3"/>
      <c r="D272" s="14"/>
      <c r="E272" s="3"/>
    </row>
    <row r="273" spans="1:5" ht="13">
      <c r="A273" s="3"/>
      <c r="B273" s="3"/>
      <c r="C273" s="3"/>
      <c r="D273" s="14"/>
      <c r="E273" s="3"/>
    </row>
    <row r="274" spans="1:5" ht="13">
      <c r="A274" s="3"/>
      <c r="B274" s="3"/>
      <c r="C274" s="3"/>
      <c r="D274" s="14"/>
      <c r="E274" s="3"/>
    </row>
    <row r="275" spans="1:5" ht="13">
      <c r="A275" s="3"/>
      <c r="B275" s="3"/>
      <c r="C275" s="3"/>
      <c r="D275" s="14"/>
      <c r="E275" s="3"/>
    </row>
    <row r="276" spans="1:5" ht="13">
      <c r="A276" s="3"/>
      <c r="B276" s="3"/>
      <c r="C276" s="3"/>
      <c r="D276" s="14"/>
      <c r="E276" s="3"/>
    </row>
    <row r="277" spans="1:5" ht="13">
      <c r="A277" s="3"/>
      <c r="B277" s="3"/>
      <c r="C277" s="3"/>
      <c r="D277" s="14"/>
      <c r="E277" s="3"/>
    </row>
    <row r="278" spans="1:5" ht="13">
      <c r="A278" s="3"/>
      <c r="B278" s="3"/>
      <c r="C278" s="3"/>
      <c r="D278" s="14"/>
      <c r="E278" s="3"/>
    </row>
    <row r="279" spans="1:5" ht="13">
      <c r="A279" s="3"/>
      <c r="B279" s="3"/>
      <c r="C279" s="3"/>
      <c r="D279" s="14"/>
      <c r="E279" s="3"/>
    </row>
    <row r="280" spans="1:5" ht="13">
      <c r="A280" s="3"/>
      <c r="B280" s="3"/>
      <c r="C280" s="3"/>
      <c r="D280" s="14"/>
      <c r="E280" s="3"/>
    </row>
    <row r="281" spans="1:5" ht="13">
      <c r="A281" s="3"/>
      <c r="B281" s="3"/>
      <c r="C281" s="3"/>
      <c r="D281" s="14"/>
      <c r="E281" s="3"/>
    </row>
    <row r="282" spans="1:5" ht="13">
      <c r="A282" s="3"/>
      <c r="B282" s="3"/>
      <c r="C282" s="3"/>
      <c r="D282" s="14"/>
      <c r="E282" s="3"/>
    </row>
    <row r="283" spans="1:5" ht="13">
      <c r="A283" s="3"/>
      <c r="B283" s="3"/>
      <c r="C283" s="3"/>
      <c r="D283" s="14"/>
      <c r="E283" s="3"/>
    </row>
    <row r="284" spans="1:5" ht="13">
      <c r="A284" s="3"/>
      <c r="B284" s="3"/>
      <c r="C284" s="3"/>
      <c r="D284" s="14"/>
      <c r="E284" s="3"/>
    </row>
    <row r="285" spans="1:5" ht="13">
      <c r="A285" s="3"/>
      <c r="B285" s="3"/>
      <c r="C285" s="3"/>
      <c r="D285" s="14"/>
      <c r="E285" s="3"/>
    </row>
    <row r="286" spans="1:5" ht="13">
      <c r="A286" s="3"/>
      <c r="B286" s="3"/>
      <c r="C286" s="3"/>
      <c r="D286" s="14"/>
      <c r="E286" s="3"/>
    </row>
    <row r="287" spans="1:5" ht="13">
      <c r="A287" s="3"/>
      <c r="B287" s="3"/>
      <c r="C287" s="3"/>
      <c r="D287" s="14"/>
      <c r="E287" s="3"/>
    </row>
    <row r="288" spans="1:5" ht="13">
      <c r="A288" s="3"/>
      <c r="B288" s="3"/>
      <c r="C288" s="3"/>
      <c r="D288" s="14"/>
      <c r="E288" s="3"/>
    </row>
    <row r="289" spans="1:5" ht="13">
      <c r="A289" s="3"/>
      <c r="B289" s="3"/>
      <c r="C289" s="3"/>
      <c r="D289" s="14"/>
      <c r="E289" s="3"/>
    </row>
    <row r="290" spans="1:5" ht="13">
      <c r="A290" s="3"/>
      <c r="B290" s="3"/>
      <c r="C290" s="3"/>
      <c r="D290" s="14"/>
      <c r="E290" s="3"/>
    </row>
    <row r="291" spans="1:5" ht="13">
      <c r="A291" s="3"/>
      <c r="B291" s="3"/>
      <c r="C291" s="3"/>
      <c r="D291" s="14"/>
      <c r="E291" s="3"/>
    </row>
    <row r="292" spans="1:5" ht="13">
      <c r="A292" s="3"/>
      <c r="B292" s="3"/>
      <c r="C292" s="3"/>
      <c r="D292" s="14"/>
      <c r="E292" s="3"/>
    </row>
    <row r="293" spans="1:5" ht="13">
      <c r="A293" s="3"/>
      <c r="B293" s="3"/>
      <c r="C293" s="3"/>
      <c r="D293" s="14"/>
      <c r="E293" s="3"/>
    </row>
    <row r="294" spans="1:5" ht="13">
      <c r="A294" s="3"/>
      <c r="B294" s="3"/>
      <c r="C294" s="3"/>
      <c r="D294" s="14"/>
      <c r="E294" s="3"/>
    </row>
    <row r="295" spans="1:5" ht="13">
      <c r="A295" s="3"/>
      <c r="B295" s="3"/>
      <c r="C295" s="3"/>
      <c r="D295" s="14"/>
      <c r="E295" s="3"/>
    </row>
    <row r="296" spans="1:5" ht="13">
      <c r="A296" s="3"/>
      <c r="B296" s="3"/>
      <c r="C296" s="3"/>
      <c r="D296" s="14"/>
      <c r="E296" s="3"/>
    </row>
    <row r="297" spans="1:5" ht="13">
      <c r="A297" s="3"/>
      <c r="B297" s="3"/>
      <c r="C297" s="3"/>
      <c r="D297" s="14"/>
      <c r="E297" s="3"/>
    </row>
    <row r="298" spans="1:5" ht="13">
      <c r="A298" s="3"/>
      <c r="B298" s="3"/>
      <c r="C298" s="3"/>
      <c r="D298" s="14"/>
      <c r="E298" s="3"/>
    </row>
    <row r="299" spans="1:5" ht="13">
      <c r="A299" s="3"/>
      <c r="B299" s="3"/>
      <c r="C299" s="3"/>
      <c r="D299" s="14"/>
      <c r="E299" s="3"/>
    </row>
    <row r="300" spans="1:5" ht="13">
      <c r="A300" s="3"/>
      <c r="B300" s="3"/>
      <c r="C300" s="3"/>
      <c r="D300" s="14"/>
      <c r="E300" s="3"/>
    </row>
    <row r="301" spans="1:5" ht="13">
      <c r="A301" s="3"/>
      <c r="B301" s="3"/>
      <c r="C301" s="3"/>
      <c r="D301" s="14"/>
      <c r="E301" s="3"/>
    </row>
    <row r="302" spans="1:5" ht="13">
      <c r="A302" s="3"/>
      <c r="B302" s="3"/>
      <c r="C302" s="3"/>
      <c r="D302" s="14"/>
      <c r="E302" s="3"/>
    </row>
    <row r="303" spans="1:5" ht="13">
      <c r="A303" s="3"/>
      <c r="B303" s="3"/>
      <c r="C303" s="3"/>
      <c r="D303" s="14"/>
      <c r="E303" s="3"/>
    </row>
    <row r="304" spans="1:5" ht="13">
      <c r="A304" s="3"/>
      <c r="B304" s="3"/>
      <c r="C304" s="3"/>
      <c r="D304" s="14"/>
      <c r="E304" s="3"/>
    </row>
    <row r="305" spans="1:5" ht="13">
      <c r="A305" s="3"/>
      <c r="B305" s="3"/>
      <c r="C305" s="3"/>
      <c r="D305" s="14"/>
      <c r="E305" s="3"/>
    </row>
    <row r="306" spans="1:5" ht="13">
      <c r="A306" s="3"/>
      <c r="B306" s="3"/>
      <c r="C306" s="3"/>
      <c r="D306" s="14"/>
      <c r="E306" s="3"/>
    </row>
    <row r="307" spans="1:5" ht="13">
      <c r="A307" s="3"/>
      <c r="B307" s="3"/>
      <c r="C307" s="3"/>
      <c r="D307" s="14"/>
      <c r="E307" s="3"/>
    </row>
    <row r="308" spans="1:5" ht="13">
      <c r="A308" s="3"/>
      <c r="B308" s="3"/>
      <c r="C308" s="3"/>
      <c r="D308" s="14"/>
      <c r="E308" s="3"/>
    </row>
    <row r="309" spans="1:5" ht="13">
      <c r="A309" s="3"/>
      <c r="B309" s="3"/>
      <c r="C309" s="3"/>
      <c r="D309" s="14"/>
      <c r="E309" s="3"/>
    </row>
    <row r="310" spans="1:5" ht="13">
      <c r="A310" s="3"/>
      <c r="B310" s="3"/>
      <c r="C310" s="3"/>
      <c r="D310" s="14"/>
      <c r="E310" s="3"/>
    </row>
    <row r="311" spans="1:5" ht="13">
      <c r="A311" s="3"/>
      <c r="B311" s="3"/>
      <c r="C311" s="3"/>
      <c r="D311" s="14"/>
      <c r="E311" s="3"/>
    </row>
    <row r="312" spans="1:5" ht="13">
      <c r="A312" s="3"/>
      <c r="B312" s="3"/>
      <c r="C312" s="3"/>
      <c r="D312" s="14"/>
      <c r="E312" s="3"/>
    </row>
    <row r="313" spans="1:5" ht="13">
      <c r="A313" s="3"/>
      <c r="B313" s="3"/>
      <c r="C313" s="3"/>
      <c r="D313" s="14"/>
      <c r="E313" s="3"/>
    </row>
    <row r="314" spans="1:5" ht="13">
      <c r="A314" s="3"/>
      <c r="B314" s="3"/>
      <c r="C314" s="3"/>
      <c r="D314" s="14"/>
      <c r="E314" s="3"/>
    </row>
    <row r="315" spans="1:5" ht="13">
      <c r="A315" s="3"/>
      <c r="B315" s="3"/>
      <c r="C315" s="3"/>
      <c r="D315" s="14"/>
      <c r="E315" s="3"/>
    </row>
    <row r="316" spans="1:5" ht="13">
      <c r="A316" s="3"/>
      <c r="B316" s="3"/>
      <c r="C316" s="3"/>
      <c r="D316" s="14"/>
      <c r="E316" s="3"/>
    </row>
    <row r="317" spans="1:5" ht="13">
      <c r="A317" s="3"/>
      <c r="B317" s="3"/>
      <c r="C317" s="3"/>
      <c r="D317" s="14"/>
      <c r="E317" s="3"/>
    </row>
    <row r="318" spans="1:5" ht="13">
      <c r="A318" s="3"/>
      <c r="B318" s="3"/>
      <c r="C318" s="3"/>
      <c r="D318" s="14"/>
      <c r="E318" s="3"/>
    </row>
    <row r="319" spans="1:5" ht="13">
      <c r="A319" s="3"/>
      <c r="B319" s="3"/>
      <c r="C319" s="3"/>
      <c r="D319" s="14"/>
      <c r="E319" s="3"/>
    </row>
    <row r="320" spans="1:5" ht="13">
      <c r="A320" s="3"/>
      <c r="B320" s="3"/>
      <c r="C320" s="3"/>
      <c r="D320" s="14"/>
      <c r="E320" s="3"/>
    </row>
    <row r="321" spans="1:5" ht="13">
      <c r="A321" s="3"/>
      <c r="B321" s="3"/>
      <c r="C321" s="3"/>
      <c r="D321" s="14"/>
      <c r="E321" s="3"/>
    </row>
    <row r="322" spans="1:5" ht="13">
      <c r="A322" s="3"/>
      <c r="B322" s="3"/>
      <c r="C322" s="3"/>
      <c r="D322" s="14"/>
      <c r="E322" s="3"/>
    </row>
    <row r="323" spans="1:5" ht="13">
      <c r="A323" s="3"/>
      <c r="B323" s="3"/>
      <c r="C323" s="3"/>
      <c r="D323" s="14"/>
      <c r="E323" s="3"/>
    </row>
    <row r="324" spans="1:5" ht="13">
      <c r="A324" s="3"/>
      <c r="B324" s="3"/>
      <c r="C324" s="3"/>
      <c r="D324" s="14"/>
      <c r="E324" s="3"/>
    </row>
    <row r="325" spans="1:5" ht="13">
      <c r="A325" s="3"/>
      <c r="B325" s="3"/>
      <c r="C325" s="3"/>
      <c r="D325" s="14"/>
      <c r="E325" s="3"/>
    </row>
    <row r="326" spans="1:5" ht="13">
      <c r="A326" s="3"/>
      <c r="B326" s="3"/>
      <c r="C326" s="3"/>
      <c r="D326" s="14"/>
      <c r="E326" s="3"/>
    </row>
    <row r="327" spans="1:5" ht="13">
      <c r="A327" s="3"/>
      <c r="B327" s="3"/>
      <c r="C327" s="3"/>
      <c r="D327" s="14"/>
      <c r="E327" s="3"/>
    </row>
    <row r="328" spans="1:5" ht="13">
      <c r="A328" s="3"/>
      <c r="B328" s="3"/>
      <c r="C328" s="3"/>
      <c r="D328" s="14"/>
      <c r="E328" s="3"/>
    </row>
    <row r="329" spans="1:5" ht="13">
      <c r="A329" s="3"/>
      <c r="B329" s="3"/>
      <c r="C329" s="3"/>
      <c r="D329" s="14"/>
      <c r="E329" s="3"/>
    </row>
    <row r="330" spans="1:5" ht="13">
      <c r="A330" s="3"/>
      <c r="B330" s="3"/>
      <c r="C330" s="3"/>
      <c r="D330" s="14"/>
      <c r="E330" s="3"/>
    </row>
    <row r="331" spans="1:5" ht="13">
      <c r="A331" s="3"/>
      <c r="B331" s="3"/>
      <c r="C331" s="3"/>
      <c r="D331" s="14"/>
      <c r="E331" s="3"/>
    </row>
    <row r="332" spans="1:5" ht="13">
      <c r="A332" s="3"/>
      <c r="B332" s="3"/>
      <c r="C332" s="3"/>
      <c r="D332" s="14"/>
      <c r="E332" s="3"/>
    </row>
    <row r="333" spans="1:5" ht="13">
      <c r="A333" s="3"/>
      <c r="B333" s="3"/>
      <c r="C333" s="3"/>
      <c r="D333" s="14"/>
      <c r="E333" s="3"/>
    </row>
    <row r="334" spans="1:5" ht="13">
      <c r="A334" s="3"/>
      <c r="B334" s="3"/>
      <c r="C334" s="3"/>
      <c r="D334" s="14"/>
      <c r="E334" s="3"/>
    </row>
    <row r="335" spans="1:5" ht="13">
      <c r="A335" s="3"/>
      <c r="B335" s="3"/>
      <c r="C335" s="3"/>
      <c r="D335" s="14"/>
      <c r="E335" s="3"/>
    </row>
    <row r="336" spans="1:5" ht="13">
      <c r="A336" s="3"/>
      <c r="B336" s="3"/>
      <c r="C336" s="3"/>
      <c r="D336" s="14"/>
      <c r="E336" s="3"/>
    </row>
    <row r="337" spans="1:5" ht="13">
      <c r="A337" s="3"/>
      <c r="B337" s="3"/>
      <c r="C337" s="3"/>
      <c r="D337" s="14"/>
      <c r="E337" s="3"/>
    </row>
    <row r="338" spans="1:5" ht="13">
      <c r="A338" s="3"/>
      <c r="B338" s="3"/>
      <c r="C338" s="3"/>
      <c r="D338" s="14"/>
      <c r="E338" s="3"/>
    </row>
    <row r="339" spans="1:5" ht="13">
      <c r="A339" s="3"/>
      <c r="B339" s="3"/>
      <c r="C339" s="3"/>
      <c r="D339" s="14"/>
      <c r="E339" s="3"/>
    </row>
    <row r="340" spans="1:5" ht="13">
      <c r="A340" s="3"/>
      <c r="B340" s="3"/>
      <c r="C340" s="3"/>
      <c r="D340" s="14"/>
      <c r="E340" s="3"/>
    </row>
    <row r="341" spans="1:5" ht="13">
      <c r="A341" s="3"/>
      <c r="B341" s="3"/>
      <c r="C341" s="3"/>
      <c r="D341" s="14"/>
      <c r="E341" s="3"/>
    </row>
    <row r="342" spans="1:5" ht="13">
      <c r="A342" s="3"/>
      <c r="B342" s="3"/>
      <c r="C342" s="3"/>
      <c r="D342" s="14"/>
      <c r="E342" s="3"/>
    </row>
    <row r="343" spans="1:5" ht="13">
      <c r="A343" s="3"/>
      <c r="B343" s="3"/>
      <c r="C343" s="3"/>
      <c r="D343" s="14"/>
      <c r="E343" s="3"/>
    </row>
    <row r="344" spans="1:5" ht="13">
      <c r="A344" s="3"/>
      <c r="B344" s="3"/>
      <c r="C344" s="3"/>
      <c r="D344" s="14"/>
      <c r="E344" s="3"/>
    </row>
    <row r="345" spans="1:5" ht="13">
      <c r="A345" s="3"/>
      <c r="B345" s="3"/>
      <c r="C345" s="3"/>
      <c r="D345" s="14"/>
      <c r="E345" s="3"/>
    </row>
    <row r="346" spans="1:5" ht="13">
      <c r="A346" s="3"/>
      <c r="B346" s="3"/>
      <c r="C346" s="3"/>
      <c r="D346" s="14"/>
      <c r="E346" s="3"/>
    </row>
    <row r="347" spans="1:5" ht="13">
      <c r="A347" s="3"/>
      <c r="B347" s="3"/>
      <c r="C347" s="3"/>
      <c r="D347" s="14"/>
      <c r="E347" s="3"/>
    </row>
    <row r="348" spans="1:5" ht="13">
      <c r="A348" s="3"/>
      <c r="B348" s="3"/>
      <c r="C348" s="3"/>
      <c r="D348" s="14"/>
      <c r="E348" s="3"/>
    </row>
    <row r="349" spans="1:5" ht="13">
      <c r="A349" s="3"/>
      <c r="B349" s="3"/>
      <c r="C349" s="3"/>
      <c r="D349" s="14"/>
      <c r="E349" s="3"/>
    </row>
    <row r="350" spans="1:5" ht="13">
      <c r="A350" s="3"/>
      <c r="B350" s="3"/>
      <c r="C350" s="3"/>
      <c r="D350" s="14"/>
      <c r="E350" s="3"/>
    </row>
    <row r="351" spans="1:5" ht="13">
      <c r="A351" s="3"/>
      <c r="B351" s="3"/>
      <c r="C351" s="3"/>
      <c r="D351" s="14"/>
      <c r="E351" s="3"/>
    </row>
    <row r="352" spans="1:5" ht="13">
      <c r="A352" s="3"/>
      <c r="B352" s="3"/>
      <c r="C352" s="3"/>
      <c r="D352" s="14"/>
      <c r="E352" s="3"/>
    </row>
    <row r="353" spans="1:5" ht="13">
      <c r="A353" s="3"/>
      <c r="B353" s="3"/>
      <c r="C353" s="3"/>
      <c r="D353" s="14"/>
      <c r="E353" s="3"/>
    </row>
    <row r="354" spans="1:5" ht="13">
      <c r="A354" s="3"/>
      <c r="B354" s="3"/>
      <c r="C354" s="3"/>
      <c r="D354" s="14"/>
      <c r="E354" s="3"/>
    </row>
    <row r="355" spans="1:5" ht="13">
      <c r="A355" s="3"/>
      <c r="B355" s="3"/>
      <c r="C355" s="3"/>
      <c r="D355" s="14"/>
      <c r="E355" s="3"/>
    </row>
    <row r="356" spans="1:5" ht="13">
      <c r="A356" s="3"/>
      <c r="B356" s="3"/>
      <c r="C356" s="3"/>
      <c r="D356" s="14"/>
      <c r="E356" s="3"/>
    </row>
    <row r="357" spans="1:5" ht="13">
      <c r="A357" s="3"/>
      <c r="B357" s="3"/>
      <c r="C357" s="3"/>
      <c r="D357" s="14"/>
      <c r="E357" s="3"/>
    </row>
    <row r="358" spans="1:5" ht="13">
      <c r="A358" s="3"/>
      <c r="B358" s="3"/>
      <c r="C358" s="3"/>
      <c r="D358" s="14"/>
      <c r="E358" s="3"/>
    </row>
    <row r="359" spans="1:5" ht="13">
      <c r="A359" s="3"/>
      <c r="B359" s="3"/>
      <c r="C359" s="3"/>
      <c r="D359" s="14"/>
      <c r="E359" s="3"/>
    </row>
    <row r="360" spans="1:5" ht="13">
      <c r="A360" s="3"/>
      <c r="B360" s="3"/>
      <c r="C360" s="3"/>
      <c r="D360" s="14"/>
      <c r="E360" s="3"/>
    </row>
    <row r="361" spans="1:5" ht="13">
      <c r="A361" s="3"/>
      <c r="B361" s="3"/>
      <c r="C361" s="3"/>
      <c r="D361" s="14"/>
      <c r="E361" s="3"/>
    </row>
    <row r="362" spans="1:5" ht="13">
      <c r="A362" s="3"/>
      <c r="B362" s="3"/>
      <c r="C362" s="3"/>
      <c r="D362" s="14"/>
      <c r="E362" s="3"/>
    </row>
    <row r="363" spans="1:5" ht="13">
      <c r="A363" s="3"/>
      <c r="B363" s="3"/>
      <c r="C363" s="3"/>
      <c r="D363" s="14"/>
      <c r="E363" s="3"/>
    </row>
    <row r="364" spans="1:5" ht="13">
      <c r="A364" s="3"/>
      <c r="B364" s="3"/>
      <c r="C364" s="3"/>
      <c r="D364" s="14"/>
      <c r="E364" s="3"/>
    </row>
    <row r="365" spans="1:5" ht="13">
      <c r="A365" s="3"/>
      <c r="B365" s="3"/>
      <c r="C365" s="3"/>
      <c r="D365" s="14"/>
      <c r="E365" s="3"/>
    </row>
    <row r="366" spans="1:5" ht="13">
      <c r="A366" s="3"/>
      <c r="B366" s="3"/>
      <c r="C366" s="3"/>
      <c r="D366" s="14"/>
      <c r="E366" s="3"/>
    </row>
    <row r="367" spans="1:5" ht="13">
      <c r="A367" s="3"/>
      <c r="B367" s="3"/>
      <c r="C367" s="3"/>
      <c r="D367" s="14"/>
      <c r="E367" s="3"/>
    </row>
    <row r="368" spans="1:5" ht="13">
      <c r="A368" s="3"/>
      <c r="B368" s="3"/>
      <c r="C368" s="3"/>
      <c r="D368" s="14"/>
      <c r="E368" s="3"/>
    </row>
    <row r="369" spans="1:5" ht="13">
      <c r="A369" s="3"/>
      <c r="B369" s="3"/>
      <c r="C369" s="3"/>
      <c r="D369" s="14"/>
      <c r="E369" s="3"/>
    </row>
    <row r="370" spans="1:5" ht="13">
      <c r="A370" s="3"/>
      <c r="B370" s="3"/>
      <c r="C370" s="3"/>
      <c r="D370" s="14"/>
      <c r="E370" s="3"/>
    </row>
    <row r="371" spans="1:5" ht="13">
      <c r="A371" s="3"/>
      <c r="B371" s="3"/>
      <c r="C371" s="3"/>
      <c r="D371" s="14"/>
      <c r="E371" s="3"/>
    </row>
    <row r="372" spans="1:5" ht="13">
      <c r="A372" s="3"/>
      <c r="B372" s="3"/>
      <c r="C372" s="3"/>
      <c r="D372" s="14"/>
      <c r="E372" s="3"/>
    </row>
    <row r="373" spans="1:5" ht="13">
      <c r="A373" s="3"/>
      <c r="B373" s="3"/>
      <c r="C373" s="3"/>
      <c r="D373" s="14"/>
      <c r="E373" s="3"/>
    </row>
    <row r="374" spans="1:5" ht="13">
      <c r="A374" s="3"/>
      <c r="B374" s="3"/>
      <c r="C374" s="3"/>
      <c r="D374" s="14"/>
      <c r="E374" s="3"/>
    </row>
    <row r="375" spans="1:5" ht="13">
      <c r="A375" s="3"/>
      <c r="B375" s="3"/>
      <c r="C375" s="3"/>
      <c r="D375" s="14"/>
      <c r="E375" s="3"/>
    </row>
    <row r="376" spans="1:5" ht="13">
      <c r="A376" s="3"/>
      <c r="B376" s="3"/>
      <c r="C376" s="3"/>
      <c r="D376" s="14"/>
      <c r="E376" s="3"/>
    </row>
    <row r="377" spans="1:5" ht="13">
      <c r="A377" s="3"/>
      <c r="B377" s="3"/>
      <c r="C377" s="3"/>
      <c r="D377" s="14"/>
      <c r="E377" s="3"/>
    </row>
    <row r="378" spans="1:5" ht="13">
      <c r="A378" s="3"/>
      <c r="B378" s="3"/>
      <c r="C378" s="3"/>
      <c r="D378" s="14"/>
      <c r="E378" s="3"/>
    </row>
    <row r="379" spans="1:5" ht="13">
      <c r="A379" s="3"/>
      <c r="B379" s="3"/>
      <c r="C379" s="3"/>
      <c r="D379" s="14"/>
      <c r="E379" s="3"/>
    </row>
    <row r="380" spans="1:5" ht="13">
      <c r="A380" s="3"/>
      <c r="B380" s="3"/>
      <c r="C380" s="3"/>
      <c r="D380" s="14"/>
      <c r="E380" s="3"/>
    </row>
    <row r="381" spans="1:5" ht="13">
      <c r="A381" s="3"/>
      <c r="B381" s="3"/>
      <c r="C381" s="3"/>
      <c r="D381" s="14"/>
      <c r="E381" s="3"/>
    </row>
    <row r="382" spans="1:5" ht="13">
      <c r="A382" s="3"/>
      <c r="B382" s="3"/>
      <c r="C382" s="3"/>
      <c r="D382" s="14"/>
      <c r="E382" s="3"/>
    </row>
    <row r="383" spans="1:5" ht="13">
      <c r="A383" s="3"/>
      <c r="B383" s="3"/>
      <c r="C383" s="3"/>
      <c r="D383" s="14"/>
      <c r="E383" s="3"/>
    </row>
    <row r="384" spans="1:5" ht="13">
      <c r="A384" s="3"/>
      <c r="B384" s="3"/>
      <c r="C384" s="3"/>
      <c r="D384" s="14"/>
      <c r="E384" s="3"/>
    </row>
    <row r="385" spans="1:5" ht="13">
      <c r="A385" s="3"/>
      <c r="B385" s="3"/>
      <c r="C385" s="3"/>
      <c r="D385" s="14"/>
      <c r="E385" s="3"/>
    </row>
    <row r="386" spans="1:5" ht="13">
      <c r="A386" s="3"/>
      <c r="B386" s="3"/>
      <c r="C386" s="3"/>
      <c r="D386" s="14"/>
      <c r="E386" s="3"/>
    </row>
    <row r="387" spans="1:5" ht="13">
      <c r="A387" s="3"/>
      <c r="B387" s="3"/>
      <c r="C387" s="3"/>
      <c r="D387" s="14"/>
      <c r="E387" s="3"/>
    </row>
    <row r="388" spans="1:5" ht="13">
      <c r="A388" s="3"/>
      <c r="B388" s="3"/>
      <c r="C388" s="3"/>
      <c r="D388" s="14"/>
      <c r="E388" s="3"/>
    </row>
    <row r="389" spans="1:5" ht="13">
      <c r="A389" s="3"/>
      <c r="B389" s="3"/>
      <c r="C389" s="3"/>
      <c r="D389" s="14"/>
      <c r="E389" s="3"/>
    </row>
    <row r="390" spans="1:5" ht="13">
      <c r="A390" s="3"/>
      <c r="B390" s="3"/>
      <c r="C390" s="3"/>
      <c r="D390" s="14"/>
      <c r="E390" s="3"/>
    </row>
    <row r="391" spans="1:5" ht="13">
      <c r="A391" s="3"/>
      <c r="B391" s="3"/>
      <c r="C391" s="3"/>
      <c r="D391" s="14"/>
      <c r="E391" s="3"/>
    </row>
    <row r="392" spans="1:5" ht="13">
      <c r="A392" s="3"/>
      <c r="B392" s="3"/>
      <c r="C392" s="3"/>
      <c r="D392" s="14"/>
      <c r="E392" s="3"/>
    </row>
    <row r="393" spans="1:5" ht="13">
      <c r="A393" s="3"/>
      <c r="B393" s="3"/>
      <c r="C393" s="3"/>
      <c r="D393" s="14"/>
      <c r="E393" s="3"/>
    </row>
    <row r="394" spans="1:5" ht="13">
      <c r="A394" s="3"/>
      <c r="B394" s="3"/>
      <c r="C394" s="3"/>
      <c r="D394" s="14"/>
      <c r="E394" s="3"/>
    </row>
    <row r="395" spans="1:5" ht="13">
      <c r="A395" s="3"/>
      <c r="B395" s="3"/>
      <c r="C395" s="3"/>
      <c r="D395" s="14"/>
      <c r="E395" s="3"/>
    </row>
    <row r="396" spans="1:5" ht="13">
      <c r="A396" s="3"/>
      <c r="B396" s="3"/>
      <c r="C396" s="3"/>
      <c r="D396" s="14"/>
      <c r="E396" s="3"/>
    </row>
    <row r="397" spans="1:5" ht="13">
      <c r="A397" s="3"/>
      <c r="B397" s="3"/>
      <c r="C397" s="3"/>
      <c r="D397" s="14"/>
      <c r="E397" s="3"/>
    </row>
    <row r="398" spans="1:5" ht="13">
      <c r="A398" s="3"/>
      <c r="B398" s="3"/>
      <c r="C398" s="3"/>
      <c r="D398" s="14"/>
      <c r="E398" s="3"/>
    </row>
    <row r="399" spans="1:5" ht="13">
      <c r="A399" s="3"/>
      <c r="B399" s="3"/>
      <c r="C399" s="3"/>
      <c r="D399" s="14"/>
      <c r="E399" s="3"/>
    </row>
    <row r="400" spans="1:5" ht="13">
      <c r="A400" s="3"/>
      <c r="B400" s="3"/>
      <c r="C400" s="3"/>
      <c r="D400" s="14"/>
      <c r="E400" s="3"/>
    </row>
    <row r="401" spans="1:5" ht="13">
      <c r="A401" s="3"/>
      <c r="B401" s="3"/>
      <c r="C401" s="3"/>
      <c r="D401" s="14"/>
      <c r="E401" s="3"/>
    </row>
    <row r="402" spans="1:5" ht="13">
      <c r="A402" s="3"/>
      <c r="B402" s="3"/>
      <c r="C402" s="3"/>
      <c r="D402" s="14"/>
      <c r="E402" s="3"/>
    </row>
    <row r="403" spans="1:5" ht="13">
      <c r="A403" s="3"/>
      <c r="B403" s="3"/>
      <c r="C403" s="3"/>
      <c r="D403" s="14"/>
      <c r="E403" s="3"/>
    </row>
    <row r="404" spans="1:5" ht="13">
      <c r="A404" s="3"/>
      <c r="B404" s="3"/>
      <c r="C404" s="3"/>
      <c r="D404" s="14"/>
      <c r="E404" s="3"/>
    </row>
    <row r="405" spans="1:5" ht="13">
      <c r="A405" s="3"/>
      <c r="B405" s="3"/>
      <c r="C405" s="3"/>
      <c r="D405" s="14"/>
      <c r="E405" s="3"/>
    </row>
    <row r="406" spans="1:5" ht="13">
      <c r="A406" s="3"/>
      <c r="B406" s="3"/>
      <c r="C406" s="3"/>
      <c r="D406" s="14"/>
      <c r="E406" s="3"/>
    </row>
    <row r="407" spans="1:5" ht="13">
      <c r="A407" s="3"/>
      <c r="B407" s="3"/>
      <c r="C407" s="3"/>
      <c r="D407" s="14"/>
      <c r="E407" s="3"/>
    </row>
    <row r="408" spans="1:5" ht="13">
      <c r="A408" s="3"/>
      <c r="B408" s="3"/>
      <c r="C408" s="3"/>
      <c r="D408" s="14"/>
      <c r="E408" s="3"/>
    </row>
    <row r="409" spans="1:5" ht="13">
      <c r="A409" s="3"/>
      <c r="B409" s="3"/>
      <c r="C409" s="3"/>
      <c r="D409" s="14"/>
      <c r="E409" s="3"/>
    </row>
    <row r="410" spans="1:5" ht="13">
      <c r="A410" s="3"/>
      <c r="B410" s="3"/>
      <c r="C410" s="3"/>
      <c r="D410" s="14"/>
      <c r="E410" s="3"/>
    </row>
    <row r="411" spans="1:5" ht="13">
      <c r="A411" s="3"/>
      <c r="B411" s="3"/>
      <c r="C411" s="3"/>
      <c r="D411" s="14"/>
      <c r="E411" s="3"/>
    </row>
    <row r="412" spans="1:5" ht="13">
      <c r="A412" s="3"/>
      <c r="B412" s="3"/>
      <c r="C412" s="3"/>
      <c r="D412" s="14"/>
      <c r="E412" s="3"/>
    </row>
    <row r="413" spans="1:5" ht="13">
      <c r="A413" s="3"/>
      <c r="B413" s="3"/>
      <c r="C413" s="3"/>
      <c r="D413" s="14"/>
      <c r="E413" s="3"/>
    </row>
    <row r="414" spans="1:5" ht="13">
      <c r="A414" s="3"/>
      <c r="B414" s="3"/>
      <c r="C414" s="3"/>
      <c r="D414" s="14"/>
      <c r="E414" s="3"/>
    </row>
    <row r="415" spans="1:5" ht="13">
      <c r="A415" s="3"/>
      <c r="B415" s="3"/>
      <c r="C415" s="3"/>
      <c r="D415" s="14"/>
      <c r="E415" s="3"/>
    </row>
    <row r="416" spans="1:5" ht="13">
      <c r="A416" s="3"/>
      <c r="B416" s="3"/>
      <c r="C416" s="3"/>
      <c r="D416" s="14"/>
      <c r="E416" s="3"/>
    </row>
    <row r="417" spans="1:5" ht="13">
      <c r="A417" s="3"/>
      <c r="B417" s="3"/>
      <c r="C417" s="3"/>
      <c r="D417" s="14"/>
      <c r="E417" s="3"/>
    </row>
    <row r="418" spans="1:5" ht="13">
      <c r="A418" s="3"/>
      <c r="B418" s="3"/>
      <c r="C418" s="3"/>
      <c r="D418" s="14"/>
      <c r="E418" s="3"/>
    </row>
    <row r="419" spans="1:5" ht="13">
      <c r="A419" s="3"/>
      <c r="B419" s="3"/>
      <c r="C419" s="3"/>
      <c r="D419" s="14"/>
      <c r="E419" s="3"/>
    </row>
    <row r="420" spans="1:5" ht="13">
      <c r="A420" s="3"/>
      <c r="B420" s="3"/>
      <c r="C420" s="3"/>
      <c r="D420" s="14"/>
      <c r="E420" s="3"/>
    </row>
    <row r="421" spans="1:5" ht="13">
      <c r="A421" s="3"/>
      <c r="B421" s="3"/>
      <c r="C421" s="3"/>
      <c r="D421" s="14"/>
      <c r="E421" s="3"/>
    </row>
    <row r="422" spans="1:5" ht="13">
      <c r="A422" s="3"/>
      <c r="B422" s="3"/>
      <c r="C422" s="3"/>
      <c r="D422" s="14"/>
      <c r="E422" s="3"/>
    </row>
    <row r="423" spans="1:5" ht="13">
      <c r="A423" s="3"/>
      <c r="B423" s="3"/>
      <c r="C423" s="3"/>
      <c r="D423" s="14"/>
      <c r="E423" s="3"/>
    </row>
    <row r="424" spans="1:5" ht="13">
      <c r="A424" s="3"/>
      <c r="B424" s="3"/>
      <c r="C424" s="3"/>
      <c r="D424" s="14"/>
      <c r="E424" s="3"/>
    </row>
    <row r="425" spans="1:5" ht="13">
      <c r="A425" s="3"/>
      <c r="B425" s="3"/>
      <c r="C425" s="3"/>
      <c r="D425" s="14"/>
      <c r="E425" s="3"/>
    </row>
    <row r="426" spans="1:5" ht="13">
      <c r="A426" s="3"/>
      <c r="B426" s="3"/>
      <c r="C426" s="3"/>
      <c r="D426" s="14"/>
      <c r="E426" s="3"/>
    </row>
    <row r="427" spans="1:5" ht="13">
      <c r="A427" s="3"/>
      <c r="B427" s="3"/>
      <c r="C427" s="3"/>
      <c r="D427" s="14"/>
      <c r="E427" s="3"/>
    </row>
    <row r="428" spans="1:5" ht="13">
      <c r="A428" s="3"/>
      <c r="B428" s="3"/>
      <c r="C428" s="3"/>
      <c r="D428" s="14"/>
      <c r="E428" s="3"/>
    </row>
    <row r="429" spans="1:5" ht="13">
      <c r="A429" s="3"/>
      <c r="B429" s="3"/>
      <c r="C429" s="3"/>
      <c r="D429" s="14"/>
      <c r="E429" s="3"/>
    </row>
    <row r="430" spans="1:5" ht="13">
      <c r="A430" s="3"/>
      <c r="B430" s="3"/>
      <c r="C430" s="3"/>
      <c r="D430" s="14"/>
      <c r="E430" s="3"/>
    </row>
    <row r="431" spans="1:5" ht="13">
      <c r="A431" s="3"/>
      <c r="B431" s="3"/>
      <c r="C431" s="3"/>
      <c r="D431" s="14"/>
      <c r="E431" s="3"/>
    </row>
    <row r="432" spans="1:5" ht="13">
      <c r="A432" s="3"/>
      <c r="B432" s="3"/>
      <c r="C432" s="3"/>
      <c r="D432" s="14"/>
      <c r="E432" s="3"/>
    </row>
    <row r="433" spans="1:5" ht="13">
      <c r="A433" s="3"/>
      <c r="B433" s="3"/>
      <c r="C433" s="3"/>
      <c r="D433" s="14"/>
      <c r="E433" s="3"/>
    </row>
    <row r="434" spans="1:5" ht="13">
      <c r="A434" s="3"/>
      <c r="B434" s="3"/>
      <c r="C434" s="3"/>
      <c r="D434" s="14"/>
      <c r="E434" s="3"/>
    </row>
    <row r="435" spans="1:5" ht="13">
      <c r="A435" s="3"/>
      <c r="B435" s="3"/>
      <c r="C435" s="3"/>
      <c r="D435" s="14"/>
      <c r="E435" s="3"/>
    </row>
    <row r="436" spans="1:5" ht="13">
      <c r="A436" s="3"/>
      <c r="B436" s="3"/>
      <c r="C436" s="3"/>
      <c r="D436" s="14"/>
      <c r="E436" s="3"/>
    </row>
    <row r="437" spans="1:5" ht="13">
      <c r="A437" s="3"/>
      <c r="B437" s="3"/>
      <c r="C437" s="3"/>
      <c r="D437" s="14"/>
      <c r="E437" s="3"/>
    </row>
    <row r="438" spans="1:5" ht="13">
      <c r="A438" s="3"/>
      <c r="B438" s="3"/>
      <c r="C438" s="3"/>
      <c r="D438" s="14"/>
      <c r="E438" s="3"/>
    </row>
    <row r="439" spans="1:5" ht="13">
      <c r="A439" s="3"/>
      <c r="B439" s="3"/>
      <c r="C439" s="3"/>
      <c r="D439" s="14"/>
      <c r="E439" s="3"/>
    </row>
    <row r="440" spans="1:5" ht="13">
      <c r="A440" s="3"/>
      <c r="B440" s="3"/>
      <c r="C440" s="3"/>
      <c r="D440" s="14"/>
      <c r="E440" s="3"/>
    </row>
    <row r="441" spans="1:5" ht="13">
      <c r="A441" s="3"/>
      <c r="B441" s="3"/>
      <c r="C441" s="3"/>
      <c r="D441" s="14"/>
      <c r="E441" s="3"/>
    </row>
    <row r="442" spans="1:5" ht="13">
      <c r="A442" s="3"/>
      <c r="B442" s="3"/>
      <c r="C442" s="3"/>
      <c r="D442" s="14"/>
      <c r="E442" s="3"/>
    </row>
    <row r="443" spans="1:5" ht="13">
      <c r="A443" s="3"/>
      <c r="B443" s="3"/>
      <c r="C443" s="3"/>
      <c r="D443" s="14"/>
      <c r="E443" s="3"/>
    </row>
    <row r="444" spans="1:5" ht="13">
      <c r="A444" s="3"/>
      <c r="B444" s="3"/>
      <c r="C444" s="3"/>
      <c r="D444" s="14"/>
      <c r="E444" s="3"/>
    </row>
    <row r="445" spans="1:5" ht="13">
      <c r="A445" s="3"/>
      <c r="B445" s="3"/>
      <c r="C445" s="3"/>
      <c r="D445" s="14"/>
      <c r="E445" s="3"/>
    </row>
    <row r="446" spans="1:5" ht="13">
      <c r="A446" s="3"/>
      <c r="B446" s="3"/>
      <c r="C446" s="3"/>
      <c r="D446" s="14"/>
      <c r="E446" s="3"/>
    </row>
    <row r="447" spans="1:5" ht="13">
      <c r="A447" s="3"/>
      <c r="B447" s="3"/>
      <c r="C447" s="3"/>
      <c r="D447" s="14"/>
      <c r="E447" s="3"/>
    </row>
    <row r="448" spans="1:5" ht="13">
      <c r="A448" s="3"/>
      <c r="B448" s="3"/>
      <c r="C448" s="3"/>
      <c r="D448" s="14"/>
      <c r="E448" s="3"/>
    </row>
    <row r="449" spans="1:5" ht="13">
      <c r="A449" s="3"/>
      <c r="B449" s="3"/>
      <c r="C449" s="3"/>
      <c r="D449" s="14"/>
      <c r="E449" s="3"/>
    </row>
    <row r="450" spans="1:5" ht="13">
      <c r="A450" s="3"/>
      <c r="B450" s="3"/>
      <c r="C450" s="3"/>
      <c r="D450" s="14"/>
      <c r="E450" s="3"/>
    </row>
    <row r="451" spans="1:5" ht="13">
      <c r="A451" s="3"/>
      <c r="B451" s="3"/>
      <c r="C451" s="3"/>
      <c r="D451" s="14"/>
      <c r="E451" s="3"/>
    </row>
    <row r="452" spans="1:5" ht="13">
      <c r="A452" s="3"/>
      <c r="B452" s="3"/>
      <c r="C452" s="3"/>
      <c r="D452" s="14"/>
      <c r="E452" s="3"/>
    </row>
    <row r="453" spans="1:5" ht="13">
      <c r="A453" s="3"/>
      <c r="B453" s="3"/>
      <c r="C453" s="3"/>
      <c r="D453" s="14"/>
      <c r="E453" s="3"/>
    </row>
    <row r="454" spans="1:5" ht="13">
      <c r="A454" s="3"/>
      <c r="B454" s="3"/>
      <c r="C454" s="3"/>
      <c r="D454" s="14"/>
      <c r="E454" s="3"/>
    </row>
    <row r="455" spans="1:5" ht="13">
      <c r="A455" s="3"/>
      <c r="B455" s="3"/>
      <c r="C455" s="3"/>
      <c r="D455" s="14"/>
      <c r="E455" s="3"/>
    </row>
    <row r="456" spans="1:5" ht="13">
      <c r="A456" s="3"/>
      <c r="B456" s="3"/>
      <c r="C456" s="3"/>
      <c r="D456" s="14"/>
      <c r="E456" s="3"/>
    </row>
    <row r="457" spans="1:5" ht="13">
      <c r="A457" s="3"/>
      <c r="B457" s="3"/>
      <c r="C457" s="3"/>
      <c r="D457" s="14"/>
      <c r="E457" s="3"/>
    </row>
    <row r="458" spans="1:5" ht="13">
      <c r="A458" s="3"/>
      <c r="B458" s="3"/>
      <c r="C458" s="3"/>
      <c r="D458" s="14"/>
      <c r="E458" s="3"/>
    </row>
    <row r="459" spans="1:5" ht="13">
      <c r="A459" s="3"/>
      <c r="B459" s="3"/>
      <c r="C459" s="3"/>
      <c r="D459" s="14"/>
      <c r="E459" s="3"/>
    </row>
    <row r="460" spans="1:5" ht="13">
      <c r="A460" s="3"/>
      <c r="B460" s="3"/>
      <c r="C460" s="3"/>
      <c r="D460" s="14"/>
      <c r="E460" s="3"/>
    </row>
    <row r="461" spans="1:5" ht="13">
      <c r="A461" s="3"/>
      <c r="B461" s="3"/>
      <c r="C461" s="3"/>
      <c r="D461" s="14"/>
      <c r="E461" s="3"/>
    </row>
    <row r="462" spans="1:5" ht="13">
      <c r="A462" s="3"/>
      <c r="B462" s="3"/>
      <c r="C462" s="3"/>
      <c r="D462" s="14"/>
      <c r="E462" s="3"/>
    </row>
    <row r="463" spans="1:5" ht="13">
      <c r="A463" s="3"/>
      <c r="B463" s="3"/>
      <c r="C463" s="3"/>
      <c r="D463" s="14"/>
      <c r="E463" s="3"/>
    </row>
    <row r="464" spans="1:5" ht="13">
      <c r="A464" s="3"/>
      <c r="B464" s="3"/>
      <c r="C464" s="3"/>
      <c r="D464" s="14"/>
      <c r="E464" s="3"/>
    </row>
    <row r="465" spans="1:5" ht="13">
      <c r="A465" s="3"/>
      <c r="B465" s="3"/>
      <c r="C465" s="3"/>
      <c r="D465" s="14"/>
      <c r="E465" s="3"/>
    </row>
    <row r="466" spans="1:5" ht="13">
      <c r="A466" s="3"/>
      <c r="B466" s="3"/>
      <c r="C466" s="3"/>
      <c r="D466" s="14"/>
      <c r="E466" s="3"/>
    </row>
    <row r="467" spans="1:5" ht="13">
      <c r="A467" s="3"/>
      <c r="B467" s="3"/>
      <c r="C467" s="3"/>
      <c r="D467" s="14"/>
      <c r="E467" s="3"/>
    </row>
    <row r="468" spans="1:5" ht="13">
      <c r="A468" s="3"/>
      <c r="B468" s="3"/>
      <c r="C468" s="3"/>
      <c r="D468" s="14"/>
      <c r="E468" s="3"/>
    </row>
    <row r="469" spans="1:5" ht="13">
      <c r="A469" s="3"/>
      <c r="B469" s="3"/>
      <c r="C469" s="3"/>
      <c r="D469" s="14"/>
      <c r="E469" s="3"/>
    </row>
    <row r="470" spans="1:5" ht="13">
      <c r="A470" s="3"/>
      <c r="B470" s="3"/>
      <c r="C470" s="3"/>
      <c r="D470" s="14"/>
      <c r="E470" s="3"/>
    </row>
    <row r="471" spans="1:5" ht="13">
      <c r="A471" s="3"/>
      <c r="B471" s="3"/>
      <c r="C471" s="3"/>
      <c r="D471" s="14"/>
      <c r="E471" s="3"/>
    </row>
    <row r="472" spans="1:5" ht="13">
      <c r="A472" s="3"/>
      <c r="B472" s="3"/>
      <c r="C472" s="3"/>
      <c r="D472" s="14"/>
      <c r="E472" s="3"/>
    </row>
    <row r="473" spans="1:5" ht="13">
      <c r="A473" s="3"/>
      <c r="B473" s="3"/>
      <c r="C473" s="3"/>
      <c r="D473" s="14"/>
      <c r="E473" s="3"/>
    </row>
    <row r="474" spans="1:5" ht="13">
      <c r="A474" s="3"/>
      <c r="B474" s="3"/>
      <c r="C474" s="3"/>
      <c r="D474" s="14"/>
      <c r="E474" s="3"/>
    </row>
    <row r="475" spans="1:5" ht="13">
      <c r="A475" s="3"/>
      <c r="B475" s="3"/>
      <c r="C475" s="3"/>
      <c r="D475" s="14"/>
      <c r="E475" s="3"/>
    </row>
    <row r="476" spans="1:5" ht="13">
      <c r="A476" s="3"/>
      <c r="B476" s="3"/>
      <c r="C476" s="3"/>
      <c r="D476" s="14"/>
      <c r="E476" s="3"/>
    </row>
    <row r="477" spans="1:5" ht="13">
      <c r="A477" s="3"/>
      <c r="B477" s="3"/>
      <c r="C477" s="3"/>
      <c r="D477" s="14"/>
      <c r="E477" s="3"/>
    </row>
    <row r="478" spans="1:5" ht="13">
      <c r="A478" s="3"/>
      <c r="B478" s="3"/>
      <c r="C478" s="3"/>
      <c r="D478" s="14"/>
      <c r="E478" s="3"/>
    </row>
    <row r="479" spans="1:5" ht="13">
      <c r="A479" s="3"/>
      <c r="B479" s="3"/>
      <c r="C479" s="3"/>
      <c r="D479" s="14"/>
      <c r="E479" s="3"/>
    </row>
    <row r="480" spans="1:5" ht="13">
      <c r="A480" s="3"/>
      <c r="B480" s="3"/>
      <c r="C480" s="3"/>
      <c r="D480" s="14"/>
      <c r="E480" s="3"/>
    </row>
    <row r="481" spans="1:5" ht="13">
      <c r="A481" s="3"/>
      <c r="B481" s="3"/>
      <c r="C481" s="3"/>
      <c r="D481" s="14"/>
      <c r="E481" s="3"/>
    </row>
    <row r="482" spans="1:5" ht="13">
      <c r="A482" s="3"/>
      <c r="B482" s="3"/>
      <c r="C482" s="3"/>
      <c r="D482" s="14"/>
      <c r="E482" s="3"/>
    </row>
    <row r="483" spans="1:5" ht="13">
      <c r="A483" s="3"/>
      <c r="B483" s="3"/>
      <c r="C483" s="3"/>
      <c r="D483" s="14"/>
      <c r="E483" s="3"/>
    </row>
    <row r="484" spans="1:5" ht="13">
      <c r="A484" s="3"/>
      <c r="B484" s="3"/>
      <c r="C484" s="3"/>
      <c r="D484" s="14"/>
      <c r="E484" s="3"/>
    </row>
    <row r="485" spans="1:5" ht="13">
      <c r="A485" s="3"/>
      <c r="B485" s="3"/>
      <c r="C485" s="3"/>
      <c r="D485" s="14"/>
      <c r="E485" s="3"/>
    </row>
    <row r="486" spans="1:5" ht="13">
      <c r="A486" s="3"/>
      <c r="B486" s="3"/>
      <c r="C486" s="3"/>
      <c r="D486" s="14"/>
      <c r="E486" s="3"/>
    </row>
    <row r="487" spans="1:5" ht="13">
      <c r="A487" s="3"/>
      <c r="B487" s="3"/>
      <c r="C487" s="3"/>
      <c r="D487" s="14"/>
      <c r="E487" s="3"/>
    </row>
    <row r="488" spans="1:5" ht="13">
      <c r="A488" s="3"/>
      <c r="B488" s="3"/>
      <c r="C488" s="3"/>
      <c r="D488" s="14"/>
      <c r="E488" s="3"/>
    </row>
    <row r="489" spans="1:5" ht="13">
      <c r="A489" s="3"/>
      <c r="B489" s="3"/>
      <c r="C489" s="3"/>
      <c r="D489" s="14"/>
      <c r="E489" s="3"/>
    </row>
    <row r="490" spans="1:5" ht="13">
      <c r="A490" s="3"/>
      <c r="B490" s="3"/>
      <c r="C490" s="3"/>
      <c r="D490" s="14"/>
      <c r="E490" s="3"/>
    </row>
    <row r="491" spans="1:5" ht="13">
      <c r="A491" s="3"/>
      <c r="B491" s="3"/>
      <c r="C491" s="3"/>
      <c r="D491" s="14"/>
      <c r="E491" s="3"/>
    </row>
    <row r="492" spans="1:5" ht="13">
      <c r="A492" s="3"/>
      <c r="B492" s="3"/>
      <c r="C492" s="3"/>
      <c r="D492" s="14"/>
      <c r="E492" s="3"/>
    </row>
    <row r="493" spans="1:5" ht="13">
      <c r="A493" s="3"/>
      <c r="B493" s="3"/>
      <c r="C493" s="3"/>
      <c r="D493" s="14"/>
      <c r="E493" s="3"/>
    </row>
    <row r="494" spans="1:5" ht="13">
      <c r="A494" s="3"/>
      <c r="B494" s="3"/>
      <c r="C494" s="3"/>
      <c r="D494" s="14"/>
      <c r="E494" s="3"/>
    </row>
    <row r="495" spans="1:5" ht="13">
      <c r="A495" s="3"/>
      <c r="B495" s="3"/>
      <c r="C495" s="3"/>
      <c r="D495" s="14"/>
      <c r="E495" s="3"/>
    </row>
    <row r="496" spans="1:5" ht="13">
      <c r="A496" s="3"/>
      <c r="B496" s="3"/>
      <c r="C496" s="3"/>
      <c r="D496" s="14"/>
      <c r="E496" s="3"/>
    </row>
    <row r="497" spans="1:5" ht="13">
      <c r="A497" s="3"/>
      <c r="B497" s="3"/>
      <c r="C497" s="3"/>
      <c r="D497" s="14"/>
      <c r="E497" s="3"/>
    </row>
    <row r="498" spans="1:5" ht="13">
      <c r="A498" s="3"/>
      <c r="B498" s="3"/>
      <c r="C498" s="3"/>
      <c r="D498" s="14"/>
      <c r="E498" s="3"/>
    </row>
    <row r="499" spans="1:5" ht="13">
      <c r="A499" s="3"/>
      <c r="B499" s="3"/>
      <c r="C499" s="3"/>
      <c r="D499" s="14"/>
      <c r="E499" s="3"/>
    </row>
    <row r="500" spans="1:5" ht="13">
      <c r="A500" s="3"/>
      <c r="B500" s="3"/>
      <c r="C500" s="3"/>
      <c r="D500" s="14"/>
      <c r="E500" s="3"/>
    </row>
    <row r="501" spans="1:5" ht="13">
      <c r="A501" s="3"/>
      <c r="B501" s="3"/>
      <c r="C501" s="3"/>
      <c r="D501" s="14"/>
      <c r="E501" s="3"/>
    </row>
    <row r="502" spans="1:5" ht="13">
      <c r="A502" s="3"/>
      <c r="B502" s="3"/>
      <c r="C502" s="3"/>
      <c r="D502" s="14"/>
      <c r="E502" s="3"/>
    </row>
    <row r="503" spans="1:5" ht="13">
      <c r="A503" s="3"/>
      <c r="B503" s="3"/>
      <c r="C503" s="3"/>
      <c r="D503" s="14"/>
      <c r="E503" s="3"/>
    </row>
    <row r="504" spans="1:5" ht="13">
      <c r="A504" s="3"/>
      <c r="B504" s="3"/>
      <c r="C504" s="3"/>
      <c r="D504" s="14"/>
      <c r="E504" s="3"/>
    </row>
    <row r="505" spans="1:5" ht="13">
      <c r="A505" s="3"/>
      <c r="B505" s="3"/>
      <c r="C505" s="3"/>
      <c r="D505" s="14"/>
      <c r="E505" s="3"/>
    </row>
    <row r="506" spans="1:5" ht="13">
      <c r="A506" s="3"/>
      <c r="B506" s="3"/>
      <c r="C506" s="3"/>
      <c r="D506" s="14"/>
      <c r="E506" s="3"/>
    </row>
    <row r="507" spans="1:5" ht="13">
      <c r="A507" s="3"/>
      <c r="B507" s="3"/>
      <c r="C507" s="3"/>
      <c r="D507" s="14"/>
      <c r="E507" s="3"/>
    </row>
    <row r="508" spans="1:5" ht="13">
      <c r="A508" s="3"/>
      <c r="B508" s="3"/>
      <c r="C508" s="3"/>
      <c r="D508" s="14"/>
      <c r="E508" s="3"/>
    </row>
    <row r="509" spans="1:5" ht="13">
      <c r="A509" s="3"/>
      <c r="B509" s="3"/>
      <c r="C509" s="3"/>
      <c r="D509" s="14"/>
      <c r="E509" s="3"/>
    </row>
    <row r="510" spans="1:5" ht="13">
      <c r="A510" s="3"/>
      <c r="B510" s="3"/>
      <c r="C510" s="3"/>
      <c r="D510" s="14"/>
      <c r="E510" s="3"/>
    </row>
    <row r="511" spans="1:5" ht="13">
      <c r="A511" s="3"/>
      <c r="B511" s="3"/>
      <c r="C511" s="3"/>
      <c r="D511" s="14"/>
      <c r="E511" s="3"/>
    </row>
    <row r="512" spans="1:5" ht="13">
      <c r="A512" s="3"/>
      <c r="B512" s="3"/>
      <c r="C512" s="3"/>
      <c r="D512" s="14"/>
      <c r="E512" s="3"/>
    </row>
    <row r="513" spans="1:5" ht="13">
      <c r="A513" s="3"/>
      <c r="B513" s="3"/>
      <c r="C513" s="3"/>
      <c r="D513" s="14"/>
      <c r="E513" s="3"/>
    </row>
    <row r="514" spans="1:5" ht="13">
      <c r="A514" s="3"/>
      <c r="B514" s="3"/>
      <c r="C514" s="3"/>
      <c r="D514" s="14"/>
      <c r="E514" s="3"/>
    </row>
    <row r="515" spans="1:5" ht="13">
      <c r="A515" s="3"/>
      <c r="B515" s="3"/>
      <c r="C515" s="3"/>
      <c r="D515" s="14"/>
      <c r="E515" s="3"/>
    </row>
    <row r="516" spans="1:5" ht="13">
      <c r="A516" s="3"/>
      <c r="B516" s="3"/>
      <c r="C516" s="3"/>
      <c r="D516" s="14"/>
      <c r="E516" s="3"/>
    </row>
    <row r="517" spans="1:5" ht="13">
      <c r="A517" s="3"/>
      <c r="B517" s="3"/>
      <c r="C517" s="3"/>
      <c r="D517" s="14"/>
      <c r="E517" s="3"/>
    </row>
    <row r="518" spans="1:5" ht="13">
      <c r="A518" s="3"/>
      <c r="B518" s="3"/>
      <c r="C518" s="3"/>
      <c r="D518" s="14"/>
      <c r="E518" s="3"/>
    </row>
    <row r="519" spans="1:5" ht="13">
      <c r="A519" s="3"/>
      <c r="B519" s="3"/>
      <c r="C519" s="3"/>
      <c r="D519" s="14"/>
      <c r="E519" s="3"/>
    </row>
    <row r="520" spans="1:5" ht="13">
      <c r="A520" s="3"/>
      <c r="B520" s="3"/>
      <c r="C520" s="3"/>
      <c r="D520" s="14"/>
      <c r="E520" s="3"/>
    </row>
    <row r="521" spans="1:5" ht="13">
      <c r="A521" s="3"/>
      <c r="B521" s="3"/>
      <c r="C521" s="3"/>
      <c r="D521" s="14"/>
      <c r="E521" s="3"/>
    </row>
    <row r="522" spans="1:5" ht="13">
      <c r="A522" s="3"/>
      <c r="B522" s="3"/>
      <c r="C522" s="3"/>
      <c r="D522" s="14"/>
      <c r="E522" s="3"/>
    </row>
    <row r="523" spans="1:5" ht="13">
      <c r="A523" s="3"/>
      <c r="B523" s="3"/>
      <c r="C523" s="3"/>
      <c r="D523" s="14"/>
      <c r="E523" s="3"/>
    </row>
    <row r="524" spans="1:5" ht="13">
      <c r="A524" s="3"/>
      <c r="B524" s="3"/>
      <c r="C524" s="3"/>
      <c r="D524" s="14"/>
      <c r="E524" s="3"/>
    </row>
    <row r="525" spans="1:5" ht="13">
      <c r="A525" s="3"/>
      <c r="B525" s="3"/>
      <c r="C525" s="3"/>
      <c r="D525" s="14"/>
      <c r="E525" s="3"/>
    </row>
    <row r="526" spans="1:5" ht="13">
      <c r="A526" s="3"/>
      <c r="B526" s="3"/>
      <c r="C526" s="3"/>
      <c r="D526" s="14"/>
      <c r="E526" s="3"/>
    </row>
    <row r="527" spans="1:5" ht="13">
      <c r="A527" s="3"/>
      <c r="B527" s="3"/>
      <c r="C527" s="3"/>
      <c r="D527" s="14"/>
      <c r="E527" s="3"/>
    </row>
    <row r="528" spans="1:5" ht="13">
      <c r="A528" s="3"/>
      <c r="B528" s="3"/>
      <c r="C528" s="3"/>
      <c r="D528" s="14"/>
      <c r="E528" s="3"/>
    </row>
    <row r="529" spans="1:5" ht="13">
      <c r="A529" s="3"/>
      <c r="B529" s="3"/>
      <c r="C529" s="3"/>
      <c r="D529" s="14"/>
      <c r="E529" s="3"/>
    </row>
    <row r="530" spans="1:5" ht="13">
      <c r="A530" s="3"/>
      <c r="B530" s="3"/>
      <c r="C530" s="3"/>
      <c r="D530" s="14"/>
      <c r="E530" s="3"/>
    </row>
    <row r="531" spans="1:5" ht="13">
      <c r="A531" s="3"/>
      <c r="B531" s="3"/>
      <c r="C531" s="3"/>
      <c r="D531" s="14"/>
      <c r="E531" s="3"/>
    </row>
    <row r="532" spans="1:5" ht="13">
      <c r="A532" s="3"/>
      <c r="B532" s="3"/>
      <c r="C532" s="3"/>
      <c r="D532" s="14"/>
      <c r="E532" s="3"/>
    </row>
    <row r="533" spans="1:5" ht="13">
      <c r="A533" s="3"/>
      <c r="B533" s="3"/>
      <c r="C533" s="3"/>
      <c r="D533" s="14"/>
      <c r="E533" s="3"/>
    </row>
    <row r="534" spans="1:5" ht="13">
      <c r="A534" s="3"/>
      <c r="B534" s="3"/>
      <c r="C534" s="3"/>
      <c r="D534" s="14"/>
      <c r="E534" s="3"/>
    </row>
    <row r="535" spans="1:5" ht="13">
      <c r="A535" s="3"/>
      <c r="B535" s="3"/>
      <c r="C535" s="3"/>
      <c r="D535" s="14"/>
      <c r="E535" s="3"/>
    </row>
    <row r="536" spans="1:5" ht="13">
      <c r="A536" s="3"/>
      <c r="B536" s="3"/>
      <c r="C536" s="3"/>
      <c r="D536" s="14"/>
      <c r="E536" s="3"/>
    </row>
    <row r="537" spans="1:5" ht="13">
      <c r="A537" s="3"/>
      <c r="B537" s="3"/>
      <c r="C537" s="3"/>
      <c r="D537" s="14"/>
      <c r="E537" s="3"/>
    </row>
    <row r="538" spans="1:5" ht="13">
      <c r="A538" s="3"/>
      <c r="B538" s="3"/>
      <c r="C538" s="3"/>
      <c r="D538" s="14"/>
      <c r="E538" s="3"/>
    </row>
    <row r="539" spans="1:5" ht="13">
      <c r="A539" s="3"/>
      <c r="B539" s="3"/>
      <c r="C539" s="3"/>
      <c r="D539" s="14"/>
      <c r="E539" s="3"/>
    </row>
    <row r="540" spans="1:5" ht="13">
      <c r="A540" s="3"/>
      <c r="B540" s="3"/>
      <c r="C540" s="3"/>
      <c r="D540" s="14"/>
      <c r="E540" s="3"/>
    </row>
    <row r="541" spans="1:5" ht="13">
      <c r="A541" s="3"/>
      <c r="B541" s="3"/>
      <c r="C541" s="3"/>
      <c r="D541" s="14"/>
      <c r="E541" s="3"/>
    </row>
    <row r="542" spans="1:5" ht="13">
      <c r="A542" s="3"/>
      <c r="B542" s="3"/>
      <c r="C542" s="3"/>
      <c r="D542" s="14"/>
      <c r="E542" s="3"/>
    </row>
    <row r="543" spans="1:5" ht="13">
      <c r="A543" s="3"/>
      <c r="B543" s="3"/>
      <c r="C543" s="3"/>
      <c r="D543" s="14"/>
      <c r="E543" s="3"/>
    </row>
    <row r="544" spans="1:5" ht="13">
      <c r="A544" s="3"/>
      <c r="B544" s="3"/>
      <c r="C544" s="3"/>
      <c r="D544" s="14"/>
      <c r="E544" s="3"/>
    </row>
    <row r="545" spans="1:5" ht="13">
      <c r="A545" s="3"/>
      <c r="B545" s="3"/>
      <c r="C545" s="3"/>
      <c r="D545" s="14"/>
      <c r="E545" s="3"/>
    </row>
    <row r="546" spans="1:5" ht="13">
      <c r="A546" s="3"/>
      <c r="B546" s="3"/>
      <c r="C546" s="3"/>
      <c r="D546" s="14"/>
      <c r="E546" s="3"/>
    </row>
    <row r="547" spans="1:5" ht="13">
      <c r="A547" s="3"/>
      <c r="B547" s="3"/>
      <c r="C547" s="3"/>
      <c r="D547" s="14"/>
      <c r="E547" s="3"/>
    </row>
    <row r="548" spans="1:5" ht="13">
      <c r="A548" s="3"/>
      <c r="B548" s="3"/>
      <c r="C548" s="3"/>
      <c r="D548" s="14"/>
      <c r="E548" s="3"/>
    </row>
    <row r="549" spans="1:5" ht="13">
      <c r="A549" s="3"/>
      <c r="B549" s="3"/>
      <c r="C549" s="3"/>
      <c r="D549" s="14"/>
      <c r="E549" s="3"/>
    </row>
    <row r="550" spans="1:5" ht="13">
      <c r="A550" s="3"/>
      <c r="B550" s="3"/>
      <c r="C550" s="3"/>
      <c r="D550" s="14"/>
      <c r="E550" s="3"/>
    </row>
    <row r="551" spans="1:5" ht="13">
      <c r="A551" s="3"/>
      <c r="B551" s="3"/>
      <c r="C551" s="3"/>
      <c r="D551" s="14"/>
      <c r="E551" s="3"/>
    </row>
    <row r="552" spans="1:5" ht="13">
      <c r="A552" s="3"/>
      <c r="B552" s="3"/>
      <c r="C552" s="3"/>
      <c r="D552" s="14"/>
      <c r="E552" s="3"/>
    </row>
    <row r="553" spans="1:5" ht="13">
      <c r="A553" s="3"/>
      <c r="B553" s="3"/>
      <c r="C553" s="3"/>
      <c r="D553" s="14"/>
      <c r="E553" s="3"/>
    </row>
    <row r="554" spans="1:5" ht="13">
      <c r="A554" s="3"/>
      <c r="B554" s="3"/>
      <c r="C554" s="3"/>
      <c r="D554" s="14"/>
      <c r="E554" s="3"/>
    </row>
    <row r="555" spans="1:5" ht="13">
      <c r="A555" s="3"/>
      <c r="B555" s="3"/>
      <c r="C555" s="3"/>
      <c r="D555" s="14"/>
      <c r="E555" s="3"/>
    </row>
    <row r="556" spans="1:5" ht="13">
      <c r="A556" s="3"/>
      <c r="B556" s="3"/>
      <c r="C556" s="3"/>
      <c r="D556" s="14"/>
      <c r="E556" s="3"/>
    </row>
    <row r="557" spans="1:5" ht="13">
      <c r="A557" s="3"/>
      <c r="B557" s="3"/>
      <c r="C557" s="3"/>
      <c r="D557" s="14"/>
      <c r="E557" s="3"/>
    </row>
    <row r="558" spans="1:5" ht="13">
      <c r="A558" s="3"/>
      <c r="B558" s="3"/>
      <c r="C558" s="3"/>
      <c r="D558" s="14"/>
      <c r="E558" s="3"/>
    </row>
    <row r="559" spans="1:5" ht="13">
      <c r="A559" s="3"/>
      <c r="B559" s="3"/>
      <c r="C559" s="3"/>
      <c r="D559" s="14"/>
      <c r="E559" s="3"/>
    </row>
    <row r="560" spans="1:5" ht="13">
      <c r="A560" s="3"/>
      <c r="B560" s="3"/>
      <c r="C560" s="3"/>
      <c r="D560" s="14"/>
      <c r="E560" s="3"/>
    </row>
    <row r="561" spans="1:5" ht="13">
      <c r="A561" s="3"/>
      <c r="B561" s="3"/>
      <c r="C561" s="3"/>
      <c r="D561" s="14"/>
      <c r="E561" s="3"/>
    </row>
    <row r="562" spans="1:5" ht="13">
      <c r="A562" s="3"/>
      <c r="B562" s="3"/>
      <c r="C562" s="3"/>
      <c r="D562" s="14"/>
      <c r="E562" s="3"/>
    </row>
    <row r="563" spans="1:5" ht="13">
      <c r="A563" s="3"/>
      <c r="B563" s="3"/>
      <c r="C563" s="3"/>
      <c r="D563" s="14"/>
      <c r="E563" s="3"/>
    </row>
    <row r="564" spans="1:5" ht="13">
      <c r="A564" s="3"/>
      <c r="B564" s="3"/>
      <c r="C564" s="3"/>
      <c r="D564" s="14"/>
      <c r="E564" s="3"/>
    </row>
    <row r="565" spans="1:5" ht="13">
      <c r="A565" s="3"/>
      <c r="B565" s="3"/>
      <c r="C565" s="3"/>
      <c r="D565" s="14"/>
      <c r="E565" s="3"/>
    </row>
    <row r="566" spans="1:5" ht="13">
      <c r="A566" s="3"/>
      <c r="B566" s="3"/>
      <c r="C566" s="3"/>
      <c r="D566" s="14"/>
      <c r="E566" s="3"/>
    </row>
    <row r="567" spans="1:5" ht="13">
      <c r="A567" s="3"/>
      <c r="B567" s="3"/>
      <c r="C567" s="3"/>
      <c r="D567" s="14"/>
      <c r="E567" s="3"/>
    </row>
    <row r="568" spans="1:5" ht="13">
      <c r="A568" s="3"/>
      <c r="B568" s="3"/>
      <c r="C568" s="3"/>
      <c r="D568" s="14"/>
      <c r="E568" s="3"/>
    </row>
    <row r="569" spans="1:5" ht="13">
      <c r="A569" s="3"/>
      <c r="B569" s="3"/>
      <c r="C569" s="3"/>
      <c r="D569" s="14"/>
      <c r="E569" s="3"/>
    </row>
    <row r="570" spans="1:5" ht="13">
      <c r="A570" s="3"/>
      <c r="B570" s="3"/>
      <c r="C570" s="3"/>
      <c r="D570" s="14"/>
      <c r="E570" s="3"/>
    </row>
    <row r="571" spans="1:5" ht="13">
      <c r="A571" s="3"/>
      <c r="B571" s="3"/>
      <c r="C571" s="3"/>
      <c r="D571" s="14"/>
      <c r="E571" s="3"/>
    </row>
    <row r="572" spans="1:5" ht="13">
      <c r="A572" s="3"/>
      <c r="B572" s="3"/>
      <c r="C572" s="3"/>
      <c r="D572" s="14"/>
      <c r="E572" s="3"/>
    </row>
    <row r="573" spans="1:5" ht="13">
      <c r="A573" s="3"/>
      <c r="B573" s="3"/>
      <c r="C573" s="3"/>
      <c r="D573" s="14"/>
      <c r="E573" s="3"/>
    </row>
    <row r="574" spans="1:5" ht="13">
      <c r="A574" s="3"/>
      <c r="B574" s="3"/>
      <c r="C574" s="3"/>
      <c r="D574" s="14"/>
      <c r="E574" s="3"/>
    </row>
    <row r="575" spans="1:5" ht="13">
      <c r="A575" s="3"/>
      <c r="B575" s="3"/>
      <c r="C575" s="3"/>
      <c r="D575" s="14"/>
      <c r="E575" s="3"/>
    </row>
    <row r="576" spans="1:5" ht="13">
      <c r="A576" s="3"/>
      <c r="B576" s="3"/>
      <c r="C576" s="3"/>
      <c r="D576" s="14"/>
      <c r="E576" s="3"/>
    </row>
    <row r="577" spans="1:5" ht="13">
      <c r="A577" s="3"/>
      <c r="B577" s="3"/>
      <c r="C577" s="3"/>
      <c r="D577" s="14"/>
      <c r="E577" s="3"/>
    </row>
    <row r="578" spans="1:5" ht="13">
      <c r="A578" s="3"/>
      <c r="B578" s="3"/>
      <c r="C578" s="3"/>
      <c r="D578" s="14"/>
      <c r="E578" s="3"/>
    </row>
    <row r="579" spans="1:5" ht="13">
      <c r="A579" s="3"/>
      <c r="B579" s="3"/>
      <c r="C579" s="3"/>
      <c r="D579" s="14"/>
      <c r="E579" s="3"/>
    </row>
    <row r="580" spans="1:5" ht="13">
      <c r="A580" s="3"/>
      <c r="B580" s="3"/>
      <c r="C580" s="3"/>
      <c r="D580" s="14"/>
      <c r="E580" s="3"/>
    </row>
    <row r="581" spans="1:5" ht="13">
      <c r="A581" s="3"/>
      <c r="B581" s="3"/>
      <c r="C581" s="3"/>
      <c r="D581" s="14"/>
      <c r="E581" s="3"/>
    </row>
    <row r="582" spans="1:5" ht="13">
      <c r="A582" s="3"/>
      <c r="B582" s="3"/>
      <c r="C582" s="3"/>
      <c r="D582" s="14"/>
      <c r="E582" s="3"/>
    </row>
    <row r="583" spans="1:5" ht="13">
      <c r="A583" s="3"/>
      <c r="B583" s="3"/>
      <c r="C583" s="3"/>
      <c r="D583" s="14"/>
      <c r="E583" s="3"/>
    </row>
    <row r="584" spans="1:5" ht="13">
      <c r="A584" s="3"/>
      <c r="B584" s="3"/>
      <c r="C584" s="3"/>
      <c r="D584" s="14"/>
      <c r="E584" s="3"/>
    </row>
    <row r="585" spans="1:5" ht="13">
      <c r="A585" s="3"/>
      <c r="B585" s="3"/>
      <c r="C585" s="3"/>
      <c r="D585" s="14"/>
      <c r="E585" s="3"/>
    </row>
    <row r="586" spans="1:5" ht="13">
      <c r="A586" s="3"/>
      <c r="B586" s="3"/>
      <c r="C586" s="3"/>
      <c r="D586" s="14"/>
      <c r="E586" s="3"/>
    </row>
    <row r="587" spans="1:5" ht="13">
      <c r="A587" s="3"/>
      <c r="B587" s="3"/>
      <c r="C587" s="3"/>
      <c r="D587" s="14"/>
      <c r="E587" s="3"/>
    </row>
    <row r="588" spans="1:5" ht="13">
      <c r="A588" s="3"/>
      <c r="B588" s="3"/>
      <c r="C588" s="3"/>
      <c r="D588" s="14"/>
      <c r="E588" s="3"/>
    </row>
    <row r="589" spans="1:5" ht="13">
      <c r="A589" s="3"/>
      <c r="B589" s="3"/>
      <c r="C589" s="3"/>
      <c r="D589" s="14"/>
      <c r="E589" s="3"/>
    </row>
    <row r="590" spans="1:5" ht="13">
      <c r="A590" s="3"/>
      <c r="B590" s="3"/>
      <c r="C590" s="3"/>
      <c r="D590" s="14"/>
      <c r="E590" s="3"/>
    </row>
    <row r="591" spans="1:5" ht="13">
      <c r="A591" s="3"/>
      <c r="B591" s="3"/>
      <c r="C591" s="3"/>
      <c r="D591" s="14"/>
      <c r="E591" s="3"/>
    </row>
    <row r="592" spans="1:5" ht="13">
      <c r="A592" s="3"/>
      <c r="B592" s="3"/>
      <c r="C592" s="3"/>
      <c r="D592" s="14"/>
      <c r="E592" s="3"/>
    </row>
    <row r="593" spans="1:5" ht="13">
      <c r="A593" s="3"/>
      <c r="B593" s="3"/>
      <c r="C593" s="3"/>
      <c r="D593" s="14"/>
      <c r="E593" s="3"/>
    </row>
    <row r="594" spans="1:5" ht="13">
      <c r="A594" s="3"/>
      <c r="B594" s="3"/>
      <c r="C594" s="3"/>
      <c r="D594" s="14"/>
      <c r="E594" s="3"/>
    </row>
    <row r="595" spans="1:5" ht="13">
      <c r="A595" s="3"/>
      <c r="B595" s="3"/>
      <c r="C595" s="3"/>
      <c r="D595" s="14"/>
      <c r="E595" s="3"/>
    </row>
    <row r="596" spans="1:5" ht="13">
      <c r="A596" s="3"/>
      <c r="B596" s="3"/>
      <c r="C596" s="3"/>
      <c r="D596" s="14"/>
      <c r="E596" s="3"/>
    </row>
    <row r="597" spans="1:5" ht="13">
      <c r="A597" s="3"/>
      <c r="B597" s="3"/>
      <c r="C597" s="3"/>
      <c r="D597" s="14"/>
      <c r="E597" s="3"/>
    </row>
    <row r="598" spans="1:5" ht="13">
      <c r="A598" s="3"/>
      <c r="B598" s="3"/>
      <c r="C598" s="3"/>
      <c r="D598" s="14"/>
      <c r="E598" s="3"/>
    </row>
    <row r="599" spans="1:5" ht="13">
      <c r="A599" s="3"/>
      <c r="B599" s="3"/>
      <c r="C599" s="3"/>
      <c r="D599" s="14"/>
      <c r="E599" s="3"/>
    </row>
    <row r="600" spans="1:5" ht="13">
      <c r="A600" s="3"/>
      <c r="B600" s="3"/>
      <c r="C600" s="3"/>
      <c r="D600" s="14"/>
      <c r="E600" s="3"/>
    </row>
    <row r="601" spans="1:5" ht="13">
      <c r="A601" s="3"/>
      <c r="B601" s="3"/>
      <c r="C601" s="3"/>
      <c r="D601" s="14"/>
      <c r="E601" s="3"/>
    </row>
    <row r="602" spans="1:5" ht="13">
      <c r="A602" s="3"/>
      <c r="B602" s="3"/>
      <c r="C602" s="3"/>
      <c r="D602" s="14"/>
      <c r="E602" s="3"/>
    </row>
    <row r="603" spans="1:5" ht="13">
      <c r="A603" s="3"/>
      <c r="B603" s="3"/>
      <c r="C603" s="3"/>
      <c r="D603" s="14"/>
      <c r="E603" s="3"/>
    </row>
    <row r="604" spans="1:5" ht="13">
      <c r="A604" s="3"/>
      <c r="B604" s="3"/>
      <c r="C604" s="3"/>
      <c r="D604" s="14"/>
      <c r="E604" s="3"/>
    </row>
    <row r="605" spans="1:5" ht="13">
      <c r="A605" s="3"/>
      <c r="B605" s="3"/>
      <c r="C605" s="3"/>
      <c r="D605" s="14"/>
      <c r="E605" s="3"/>
    </row>
    <row r="606" spans="1:5" ht="13">
      <c r="A606" s="3"/>
      <c r="B606" s="3"/>
      <c r="C606" s="3"/>
      <c r="D606" s="14"/>
      <c r="E606" s="3"/>
    </row>
    <row r="607" spans="1:5" ht="13">
      <c r="A607" s="3"/>
      <c r="B607" s="3"/>
      <c r="C607" s="3"/>
      <c r="D607" s="14"/>
      <c r="E607" s="3"/>
    </row>
    <row r="608" spans="1:5" ht="13">
      <c r="A608" s="3"/>
      <c r="B608" s="3"/>
      <c r="C608" s="3"/>
      <c r="D608" s="14"/>
      <c r="E608" s="3"/>
    </row>
    <row r="609" spans="1:5" ht="13">
      <c r="A609" s="3"/>
      <c r="B609" s="3"/>
      <c r="C609" s="3"/>
      <c r="D609" s="14"/>
      <c r="E609" s="3"/>
    </row>
    <row r="610" spans="1:5" ht="13">
      <c r="A610" s="3"/>
      <c r="B610" s="3"/>
      <c r="C610" s="3"/>
      <c r="D610" s="14"/>
      <c r="E610" s="3"/>
    </row>
    <row r="611" spans="1:5" ht="13">
      <c r="A611" s="3"/>
      <c r="B611" s="3"/>
      <c r="C611" s="3"/>
      <c r="D611" s="14"/>
      <c r="E611" s="3"/>
    </row>
    <row r="612" spans="1:5" ht="13">
      <c r="A612" s="3"/>
      <c r="B612" s="3"/>
      <c r="C612" s="3"/>
      <c r="D612" s="14"/>
      <c r="E612" s="3"/>
    </row>
    <row r="613" spans="1:5" ht="13">
      <c r="A613" s="3"/>
      <c r="B613" s="3"/>
      <c r="C613" s="3"/>
      <c r="D613" s="14"/>
      <c r="E613" s="3"/>
    </row>
    <row r="614" spans="1:5" ht="13">
      <c r="A614" s="3"/>
      <c r="B614" s="3"/>
      <c r="C614" s="3"/>
      <c r="D614" s="14"/>
      <c r="E614" s="3"/>
    </row>
    <row r="615" spans="1:5" ht="13">
      <c r="A615" s="3"/>
      <c r="B615" s="3"/>
      <c r="C615" s="3"/>
      <c r="D615" s="14"/>
      <c r="E615" s="3"/>
    </row>
    <row r="616" spans="1:5" ht="13">
      <c r="A616" s="3"/>
      <c r="B616" s="3"/>
      <c r="C616" s="3"/>
      <c r="D616" s="14"/>
      <c r="E616" s="3"/>
    </row>
    <row r="617" spans="1:5" ht="13">
      <c r="A617" s="3"/>
      <c r="B617" s="3"/>
      <c r="C617" s="3"/>
      <c r="D617" s="14"/>
      <c r="E617" s="3"/>
    </row>
    <row r="618" spans="1:5" ht="13">
      <c r="A618" s="3"/>
      <c r="B618" s="3"/>
      <c r="C618" s="3"/>
      <c r="D618" s="14"/>
      <c r="E618" s="3"/>
    </row>
    <row r="619" spans="1:5" ht="13">
      <c r="A619" s="3"/>
      <c r="B619" s="3"/>
      <c r="C619" s="3"/>
      <c r="D619" s="14"/>
      <c r="E619" s="3"/>
    </row>
    <row r="620" spans="1:5" ht="13">
      <c r="A620" s="3"/>
      <c r="B620" s="3"/>
      <c r="C620" s="3"/>
      <c r="D620" s="14"/>
      <c r="E620" s="3"/>
    </row>
    <row r="621" spans="1:5" ht="13">
      <c r="A621" s="3"/>
      <c r="B621" s="3"/>
      <c r="C621" s="3"/>
      <c r="D621" s="14"/>
      <c r="E621" s="3"/>
    </row>
    <row r="622" spans="1:5" ht="13">
      <c r="A622" s="3"/>
      <c r="B622" s="3"/>
      <c r="C622" s="3"/>
      <c r="D622" s="14"/>
      <c r="E622" s="3"/>
    </row>
    <row r="623" spans="1:5" ht="13">
      <c r="A623" s="3"/>
      <c r="B623" s="3"/>
      <c r="C623" s="3"/>
      <c r="D623" s="14"/>
      <c r="E623" s="3"/>
    </row>
    <row r="624" spans="1:5" ht="13">
      <c r="A624" s="3"/>
      <c r="B624" s="3"/>
      <c r="C624" s="3"/>
      <c r="D624" s="14"/>
      <c r="E624" s="3"/>
    </row>
    <row r="625" spans="1:5" ht="13">
      <c r="A625" s="3"/>
      <c r="B625" s="3"/>
      <c r="C625" s="3"/>
      <c r="D625" s="14"/>
      <c r="E625" s="3"/>
    </row>
    <row r="626" spans="1:5" ht="13">
      <c r="A626" s="3"/>
      <c r="B626" s="3"/>
      <c r="C626" s="3"/>
      <c r="D626" s="14"/>
      <c r="E626" s="3"/>
    </row>
    <row r="627" spans="1:5" ht="13">
      <c r="A627" s="3"/>
      <c r="B627" s="3"/>
      <c r="C627" s="3"/>
      <c r="D627" s="14"/>
      <c r="E627" s="3"/>
    </row>
    <row r="628" spans="1:5" ht="13">
      <c r="A628" s="3"/>
      <c r="B628" s="3"/>
      <c r="C628" s="3"/>
      <c r="D628" s="14"/>
      <c r="E628" s="3"/>
    </row>
    <row r="629" spans="1:5" ht="13">
      <c r="A629" s="3"/>
      <c r="B629" s="3"/>
      <c r="C629" s="3"/>
      <c r="D629" s="14"/>
      <c r="E629" s="3"/>
    </row>
    <row r="630" spans="1:5" ht="13">
      <c r="A630" s="3"/>
      <c r="B630" s="3"/>
      <c r="C630" s="3"/>
      <c r="D630" s="14"/>
      <c r="E630" s="3"/>
    </row>
    <row r="631" spans="1:5" ht="13">
      <c r="A631" s="3"/>
      <c r="B631" s="3"/>
      <c r="C631" s="3"/>
      <c r="D631" s="14"/>
      <c r="E631" s="3"/>
    </row>
    <row r="632" spans="1:5" ht="13">
      <c r="A632" s="3"/>
      <c r="B632" s="3"/>
      <c r="C632" s="3"/>
      <c r="D632" s="14"/>
      <c r="E632" s="3"/>
    </row>
    <row r="633" spans="1:5" ht="13">
      <c r="A633" s="3"/>
      <c r="B633" s="3"/>
      <c r="C633" s="3"/>
      <c r="D633" s="14"/>
      <c r="E633" s="3"/>
    </row>
    <row r="634" spans="1:5" ht="13">
      <c r="A634" s="3"/>
      <c r="B634" s="3"/>
      <c r="C634" s="3"/>
      <c r="D634" s="14"/>
      <c r="E634" s="3"/>
    </row>
    <row r="635" spans="1:5" ht="13">
      <c r="A635" s="3"/>
      <c r="B635" s="3"/>
      <c r="C635" s="3"/>
      <c r="D635" s="14"/>
      <c r="E635" s="3"/>
    </row>
    <row r="636" spans="1:5" ht="13">
      <c r="A636" s="3"/>
      <c r="B636" s="3"/>
      <c r="C636" s="3"/>
      <c r="D636" s="14"/>
      <c r="E636" s="3"/>
    </row>
    <row r="637" spans="1:5" ht="13">
      <c r="A637" s="3"/>
      <c r="B637" s="3"/>
      <c r="C637" s="3"/>
      <c r="D637" s="14"/>
      <c r="E637" s="3"/>
    </row>
    <row r="638" spans="1:5" ht="13">
      <c r="A638" s="3"/>
      <c r="B638" s="3"/>
      <c r="C638" s="3"/>
      <c r="D638" s="14"/>
      <c r="E638" s="3"/>
    </row>
    <row r="639" spans="1:5" ht="13">
      <c r="A639" s="3"/>
      <c r="B639" s="3"/>
      <c r="C639" s="3"/>
      <c r="D639" s="14"/>
      <c r="E639" s="3"/>
    </row>
    <row r="640" spans="1:5" ht="13">
      <c r="A640" s="3"/>
      <c r="B640" s="3"/>
      <c r="C640" s="3"/>
      <c r="D640" s="14"/>
      <c r="E640" s="3"/>
    </row>
    <row r="641" spans="1:5" ht="13">
      <c r="A641" s="3"/>
      <c r="B641" s="3"/>
      <c r="C641" s="3"/>
      <c r="D641" s="14"/>
      <c r="E641" s="3"/>
    </row>
    <row r="642" spans="1:5" ht="13">
      <c r="A642" s="3"/>
      <c r="B642" s="3"/>
      <c r="C642" s="3"/>
      <c r="D642" s="14"/>
      <c r="E642" s="3"/>
    </row>
    <row r="643" spans="1:5" ht="13">
      <c r="A643" s="3"/>
      <c r="B643" s="3"/>
      <c r="C643" s="3"/>
      <c r="D643" s="14"/>
      <c r="E643" s="3"/>
    </row>
    <row r="644" spans="1:5" ht="13">
      <c r="A644" s="3"/>
      <c r="B644" s="3"/>
      <c r="C644" s="3"/>
      <c r="D644" s="14"/>
      <c r="E644" s="3"/>
    </row>
    <row r="645" spans="1:5" ht="13">
      <c r="A645" s="3"/>
      <c r="B645" s="3"/>
      <c r="C645" s="3"/>
      <c r="D645" s="14"/>
      <c r="E645" s="3"/>
    </row>
    <row r="646" spans="1:5" ht="13">
      <c r="A646" s="3"/>
      <c r="B646" s="3"/>
      <c r="C646" s="3"/>
      <c r="D646" s="14"/>
      <c r="E646" s="3"/>
    </row>
    <row r="647" spans="1:5" ht="13">
      <c r="A647" s="3"/>
      <c r="B647" s="3"/>
      <c r="C647" s="3"/>
      <c r="D647" s="14"/>
      <c r="E647" s="3"/>
    </row>
    <row r="648" spans="1:5" ht="13">
      <c r="A648" s="3"/>
      <c r="B648" s="3"/>
      <c r="C648" s="3"/>
      <c r="D648" s="14"/>
      <c r="E648" s="3"/>
    </row>
    <row r="649" spans="1:5" ht="13">
      <c r="A649" s="3"/>
      <c r="B649" s="3"/>
      <c r="C649" s="3"/>
      <c r="D649" s="14"/>
      <c r="E649" s="3"/>
    </row>
    <row r="650" spans="1:5" ht="13">
      <c r="A650" s="3"/>
      <c r="B650" s="3"/>
      <c r="C650" s="3"/>
      <c r="D650" s="14"/>
      <c r="E650" s="3"/>
    </row>
    <row r="651" spans="1:5" ht="13">
      <c r="A651" s="3"/>
      <c r="B651" s="3"/>
      <c r="C651" s="3"/>
      <c r="D651" s="14"/>
      <c r="E651" s="3"/>
    </row>
    <row r="652" spans="1:5" ht="13">
      <c r="A652" s="3"/>
      <c r="B652" s="3"/>
      <c r="C652" s="3"/>
      <c r="D652" s="14"/>
      <c r="E652" s="3"/>
    </row>
    <row r="653" spans="1:5" ht="13">
      <c r="A653" s="3"/>
      <c r="B653" s="3"/>
      <c r="C653" s="3"/>
      <c r="D653" s="14"/>
      <c r="E653" s="3"/>
    </row>
    <row r="654" spans="1:5" ht="13">
      <c r="A654" s="3"/>
      <c r="B654" s="3"/>
      <c r="C654" s="3"/>
      <c r="D654" s="14"/>
      <c r="E654" s="3"/>
    </row>
    <row r="655" spans="1:5" ht="13">
      <c r="A655" s="3"/>
      <c r="B655" s="3"/>
      <c r="C655" s="3"/>
      <c r="D655" s="14"/>
      <c r="E655" s="3"/>
    </row>
    <row r="656" spans="1:5" ht="13">
      <c r="A656" s="3"/>
      <c r="B656" s="3"/>
      <c r="C656" s="3"/>
      <c r="D656" s="14"/>
      <c r="E656" s="3"/>
    </row>
    <row r="657" spans="1:5" ht="13">
      <c r="A657" s="3"/>
      <c r="B657" s="3"/>
      <c r="C657" s="3"/>
      <c r="D657" s="14"/>
      <c r="E657" s="3"/>
    </row>
    <row r="658" spans="1:5" ht="13">
      <c r="A658" s="3"/>
      <c r="B658" s="3"/>
      <c r="C658" s="3"/>
      <c r="D658" s="14"/>
      <c r="E658" s="3"/>
    </row>
    <row r="659" spans="1:5" ht="13">
      <c r="A659" s="3"/>
      <c r="B659" s="3"/>
      <c r="C659" s="3"/>
      <c r="D659" s="14"/>
      <c r="E659" s="3"/>
    </row>
    <row r="660" spans="1:5" ht="13">
      <c r="A660" s="3"/>
      <c r="B660" s="3"/>
      <c r="C660" s="3"/>
      <c r="D660" s="14"/>
      <c r="E660" s="3"/>
    </row>
    <row r="661" spans="1:5" ht="13">
      <c r="A661" s="3"/>
      <c r="B661" s="3"/>
      <c r="C661" s="3"/>
      <c r="D661" s="14"/>
      <c r="E661" s="3"/>
    </row>
    <row r="662" spans="1:5" ht="13">
      <c r="A662" s="3"/>
      <c r="B662" s="3"/>
      <c r="C662" s="3"/>
      <c r="D662" s="14"/>
      <c r="E662" s="3"/>
    </row>
    <row r="663" spans="1:5" ht="13">
      <c r="A663" s="3"/>
      <c r="B663" s="3"/>
      <c r="C663" s="3"/>
      <c r="D663" s="14"/>
      <c r="E663" s="3"/>
    </row>
    <row r="664" spans="1:5" ht="13">
      <c r="A664" s="3"/>
      <c r="B664" s="3"/>
      <c r="C664" s="3"/>
      <c r="D664" s="14"/>
      <c r="E664" s="3"/>
    </row>
    <row r="665" spans="1:5" ht="13">
      <c r="A665" s="3"/>
      <c r="B665" s="3"/>
      <c r="C665" s="3"/>
      <c r="D665" s="14"/>
      <c r="E665" s="3"/>
    </row>
    <row r="666" spans="1:5" ht="13">
      <c r="A666" s="3"/>
      <c r="B666" s="3"/>
      <c r="C666" s="3"/>
      <c r="D666" s="14"/>
      <c r="E666" s="3"/>
    </row>
    <row r="667" spans="1:5" ht="13">
      <c r="A667" s="3"/>
      <c r="B667" s="3"/>
      <c r="C667" s="3"/>
      <c r="D667" s="14"/>
      <c r="E667" s="3"/>
    </row>
    <row r="668" spans="1:5" ht="13">
      <c r="A668" s="3"/>
      <c r="B668" s="3"/>
      <c r="C668" s="3"/>
      <c r="D668" s="14"/>
      <c r="E668" s="3"/>
    </row>
    <row r="669" spans="1:5" ht="13">
      <c r="A669" s="3"/>
      <c r="B669" s="3"/>
      <c r="C669" s="3"/>
      <c r="D669" s="14"/>
      <c r="E669" s="3"/>
    </row>
    <row r="670" spans="1:5" ht="13">
      <c r="A670" s="3"/>
      <c r="B670" s="3"/>
      <c r="C670" s="3"/>
      <c r="D670" s="14"/>
      <c r="E670" s="3"/>
    </row>
    <row r="671" spans="1:5" ht="13">
      <c r="A671" s="3"/>
      <c r="B671" s="3"/>
      <c r="C671" s="3"/>
      <c r="D671" s="14"/>
      <c r="E671" s="3"/>
    </row>
    <row r="672" spans="1:5" ht="13">
      <c r="A672" s="3"/>
      <c r="B672" s="3"/>
      <c r="C672" s="3"/>
      <c r="D672" s="14"/>
      <c r="E672" s="3"/>
    </row>
    <row r="673" spans="1:5" ht="13">
      <c r="A673" s="3"/>
      <c r="B673" s="3"/>
      <c r="C673" s="3"/>
      <c r="D673" s="14"/>
      <c r="E673" s="3"/>
    </row>
    <row r="674" spans="1:5" ht="13">
      <c r="A674" s="3"/>
      <c r="B674" s="3"/>
      <c r="C674" s="3"/>
      <c r="D674" s="14"/>
      <c r="E674" s="3"/>
    </row>
    <row r="675" spans="1:5" ht="13">
      <c r="A675" s="3"/>
      <c r="B675" s="3"/>
      <c r="C675" s="3"/>
      <c r="D675" s="14"/>
      <c r="E675" s="3"/>
    </row>
    <row r="676" spans="1:5" ht="13">
      <c r="A676" s="3"/>
      <c r="B676" s="3"/>
      <c r="C676" s="3"/>
      <c r="D676" s="14"/>
      <c r="E676" s="3"/>
    </row>
    <row r="677" spans="1:5" ht="13">
      <c r="A677" s="3"/>
      <c r="B677" s="3"/>
      <c r="C677" s="3"/>
      <c r="D677" s="14"/>
      <c r="E677" s="3"/>
    </row>
    <row r="678" spans="1:5" ht="13">
      <c r="A678" s="3"/>
      <c r="B678" s="3"/>
      <c r="C678" s="3"/>
      <c r="D678" s="14"/>
      <c r="E678" s="3"/>
    </row>
    <row r="679" spans="1:5" ht="13">
      <c r="A679" s="3"/>
      <c r="B679" s="3"/>
      <c r="C679" s="3"/>
      <c r="D679" s="14"/>
      <c r="E679" s="3"/>
    </row>
    <row r="680" spans="1:5" ht="13">
      <c r="A680" s="3"/>
      <c r="B680" s="3"/>
      <c r="C680" s="3"/>
      <c r="D680" s="14"/>
      <c r="E680" s="3"/>
    </row>
    <row r="681" spans="1:5" ht="13">
      <c r="A681" s="3"/>
      <c r="B681" s="3"/>
      <c r="C681" s="3"/>
      <c r="D681" s="14"/>
      <c r="E681" s="3"/>
    </row>
    <row r="682" spans="1:5" ht="13">
      <c r="A682" s="3"/>
      <c r="B682" s="3"/>
      <c r="C682" s="3"/>
      <c r="D682" s="14"/>
      <c r="E682" s="3"/>
    </row>
    <row r="683" spans="1:5" ht="13">
      <c r="A683" s="3"/>
      <c r="B683" s="3"/>
      <c r="C683" s="3"/>
      <c r="D683" s="14"/>
      <c r="E683" s="3"/>
    </row>
    <row r="684" spans="1:5" ht="13">
      <c r="A684" s="3"/>
      <c r="B684" s="3"/>
      <c r="C684" s="3"/>
      <c r="D684" s="14"/>
      <c r="E684" s="3"/>
    </row>
    <row r="685" spans="1:5" ht="13">
      <c r="A685" s="3"/>
      <c r="B685" s="3"/>
      <c r="C685" s="3"/>
      <c r="D685" s="14"/>
      <c r="E685" s="3"/>
    </row>
    <row r="686" spans="1:5" ht="13">
      <c r="A686" s="3"/>
      <c r="B686" s="3"/>
      <c r="C686" s="3"/>
      <c r="D686" s="14"/>
      <c r="E686" s="3"/>
    </row>
    <row r="687" spans="1:5" ht="13">
      <c r="A687" s="3"/>
      <c r="B687" s="3"/>
      <c r="C687" s="3"/>
      <c r="D687" s="14"/>
      <c r="E687" s="3"/>
    </row>
    <row r="688" spans="1:5" ht="13">
      <c r="A688" s="3"/>
      <c r="B688" s="3"/>
      <c r="C688" s="3"/>
      <c r="D688" s="14"/>
      <c r="E688" s="3"/>
    </row>
    <row r="689" spans="1:5" ht="13">
      <c r="A689" s="3"/>
      <c r="B689" s="3"/>
      <c r="C689" s="3"/>
      <c r="D689" s="14"/>
      <c r="E689" s="3"/>
    </row>
    <row r="690" spans="1:5" ht="13">
      <c r="A690" s="3"/>
      <c r="B690" s="3"/>
      <c r="C690" s="3"/>
      <c r="D690" s="14"/>
      <c r="E690" s="3"/>
    </row>
    <row r="691" spans="1:5" ht="13">
      <c r="A691" s="3"/>
      <c r="B691" s="3"/>
      <c r="C691" s="3"/>
      <c r="D691" s="14"/>
      <c r="E691" s="3"/>
    </row>
    <row r="692" spans="1:5" ht="13">
      <c r="A692" s="3"/>
      <c r="B692" s="3"/>
      <c r="C692" s="3"/>
      <c r="D692" s="14"/>
      <c r="E692" s="3"/>
    </row>
    <row r="693" spans="1:5" ht="13">
      <c r="A693" s="3"/>
      <c r="B693" s="3"/>
      <c r="C693" s="3"/>
      <c r="D693" s="14"/>
      <c r="E693" s="3"/>
    </row>
    <row r="694" spans="1:5" ht="13">
      <c r="A694" s="3"/>
      <c r="B694" s="3"/>
      <c r="C694" s="3"/>
      <c r="D694" s="14"/>
      <c r="E694" s="3"/>
    </row>
    <row r="695" spans="1:5" ht="13">
      <c r="A695" s="3"/>
      <c r="B695" s="3"/>
      <c r="C695" s="3"/>
      <c r="D695" s="14"/>
      <c r="E695" s="3"/>
    </row>
    <row r="696" spans="1:5" ht="13">
      <c r="A696" s="3"/>
      <c r="B696" s="3"/>
      <c r="C696" s="3"/>
      <c r="D696" s="14"/>
      <c r="E696" s="3"/>
    </row>
    <row r="697" spans="1:5" ht="13">
      <c r="A697" s="3"/>
      <c r="B697" s="3"/>
      <c r="C697" s="3"/>
      <c r="D697" s="14"/>
      <c r="E697" s="3"/>
    </row>
    <row r="698" spans="1:5" ht="13">
      <c r="A698" s="3"/>
      <c r="B698" s="3"/>
      <c r="C698" s="3"/>
      <c r="D698" s="14"/>
      <c r="E698" s="3"/>
    </row>
    <row r="699" spans="1:5" ht="13">
      <c r="A699" s="3"/>
      <c r="B699" s="3"/>
      <c r="C699" s="3"/>
      <c r="D699" s="14"/>
      <c r="E699" s="3"/>
    </row>
    <row r="700" spans="1:5" ht="13">
      <c r="A700" s="3"/>
      <c r="B700" s="3"/>
      <c r="C700" s="3"/>
      <c r="D700" s="14"/>
      <c r="E700" s="3"/>
    </row>
    <row r="701" spans="1:5" ht="13">
      <c r="A701" s="3"/>
      <c r="B701" s="3"/>
      <c r="C701" s="3"/>
      <c r="D701" s="14"/>
      <c r="E701" s="3"/>
    </row>
    <row r="702" spans="1:5" ht="13">
      <c r="A702" s="3"/>
      <c r="B702" s="3"/>
      <c r="C702" s="3"/>
      <c r="D702" s="14"/>
      <c r="E702" s="3"/>
    </row>
    <row r="703" spans="1:5" ht="13">
      <c r="A703" s="3"/>
      <c r="B703" s="3"/>
      <c r="C703" s="3"/>
      <c r="D703" s="14"/>
      <c r="E703" s="3"/>
    </row>
    <row r="704" spans="1:5" ht="13">
      <c r="A704" s="3"/>
      <c r="B704" s="3"/>
      <c r="C704" s="3"/>
      <c r="D704" s="14"/>
      <c r="E704" s="3"/>
    </row>
    <row r="705" spans="1:5" ht="13">
      <c r="A705" s="3"/>
      <c r="B705" s="3"/>
      <c r="C705" s="3"/>
      <c r="D705" s="14"/>
      <c r="E705" s="3"/>
    </row>
    <row r="706" spans="1:5" ht="13">
      <c r="A706" s="3"/>
      <c r="B706" s="3"/>
      <c r="C706" s="3"/>
      <c r="D706" s="14"/>
      <c r="E706" s="3"/>
    </row>
    <row r="707" spans="1:5" ht="13">
      <c r="A707" s="3"/>
      <c r="B707" s="3"/>
      <c r="C707" s="3"/>
      <c r="D707" s="14"/>
      <c r="E707" s="3"/>
    </row>
    <row r="708" spans="1:5" ht="13">
      <c r="A708" s="3"/>
      <c r="B708" s="3"/>
      <c r="C708" s="3"/>
      <c r="D708" s="14"/>
      <c r="E708" s="3"/>
    </row>
    <row r="709" spans="1:5" ht="13">
      <c r="A709" s="3"/>
      <c r="B709" s="3"/>
      <c r="C709" s="3"/>
      <c r="D709" s="14"/>
      <c r="E709" s="3"/>
    </row>
    <row r="710" spans="1:5" ht="13">
      <c r="A710" s="3"/>
      <c r="B710" s="3"/>
      <c r="C710" s="3"/>
      <c r="D710" s="14"/>
      <c r="E710" s="3"/>
    </row>
    <row r="711" spans="1:5" ht="13">
      <c r="A711" s="3"/>
      <c r="B711" s="3"/>
      <c r="C711" s="3"/>
      <c r="D711" s="14"/>
      <c r="E711" s="3"/>
    </row>
    <row r="712" spans="1:5" ht="13">
      <c r="A712" s="3"/>
      <c r="B712" s="3"/>
      <c r="C712" s="3"/>
      <c r="D712" s="14"/>
      <c r="E712" s="3"/>
    </row>
    <row r="713" spans="1:5" ht="13">
      <c r="A713" s="3"/>
      <c r="B713" s="3"/>
      <c r="C713" s="3"/>
      <c r="D713" s="14"/>
      <c r="E713" s="3"/>
    </row>
    <row r="714" spans="1:5" ht="13">
      <c r="A714" s="3"/>
      <c r="B714" s="3"/>
      <c r="C714" s="3"/>
      <c r="D714" s="14"/>
      <c r="E714" s="3"/>
    </row>
    <row r="715" spans="1:5" ht="13">
      <c r="A715" s="3"/>
      <c r="B715" s="3"/>
      <c r="C715" s="3"/>
      <c r="D715" s="14"/>
      <c r="E715" s="3"/>
    </row>
    <row r="716" spans="1:5" ht="13">
      <c r="A716" s="3"/>
      <c r="B716" s="3"/>
      <c r="C716" s="3"/>
      <c r="D716" s="14"/>
      <c r="E716" s="3"/>
    </row>
    <row r="717" spans="1:5" ht="13">
      <c r="A717" s="3"/>
      <c r="B717" s="3"/>
      <c r="C717" s="3"/>
      <c r="D717" s="14"/>
      <c r="E717" s="3"/>
    </row>
    <row r="718" spans="1:5" ht="13">
      <c r="A718" s="3"/>
      <c r="B718" s="3"/>
      <c r="C718" s="3"/>
      <c r="D718" s="14"/>
      <c r="E718" s="3"/>
    </row>
    <row r="719" spans="1:5" ht="13">
      <c r="A719" s="3"/>
      <c r="B719" s="3"/>
      <c r="C719" s="3"/>
      <c r="D719" s="14"/>
      <c r="E719" s="3"/>
    </row>
    <row r="720" spans="1:5" ht="13">
      <c r="A720" s="3"/>
      <c r="B720" s="3"/>
      <c r="C720" s="3"/>
      <c r="D720" s="14"/>
      <c r="E720" s="3"/>
    </row>
    <row r="721" spans="1:5" ht="13">
      <c r="A721" s="3"/>
      <c r="B721" s="3"/>
      <c r="C721" s="3"/>
      <c r="D721" s="14"/>
      <c r="E721" s="3"/>
    </row>
    <row r="722" spans="1:5" ht="13">
      <c r="A722" s="3"/>
      <c r="B722" s="3"/>
      <c r="C722" s="3"/>
      <c r="D722" s="14"/>
      <c r="E722" s="3"/>
    </row>
    <row r="723" spans="1:5" ht="13">
      <c r="A723" s="3"/>
      <c r="B723" s="3"/>
      <c r="C723" s="3"/>
      <c r="D723" s="14"/>
      <c r="E723" s="3"/>
    </row>
    <row r="724" spans="1:5" ht="13">
      <c r="A724" s="3"/>
      <c r="B724" s="3"/>
      <c r="C724" s="3"/>
      <c r="D724" s="14"/>
      <c r="E724" s="3"/>
    </row>
    <row r="725" spans="1:5" ht="13">
      <c r="A725" s="3"/>
      <c r="B725" s="3"/>
      <c r="C725" s="3"/>
      <c r="D725" s="14"/>
      <c r="E725" s="3"/>
    </row>
    <row r="726" spans="1:5" ht="13">
      <c r="A726" s="3"/>
      <c r="B726" s="3"/>
      <c r="C726" s="3"/>
      <c r="D726" s="14"/>
      <c r="E726" s="3"/>
    </row>
    <row r="727" spans="1:5" ht="13">
      <c r="A727" s="3"/>
      <c r="B727" s="3"/>
      <c r="C727" s="3"/>
      <c r="D727" s="14"/>
      <c r="E727" s="3"/>
    </row>
    <row r="728" spans="1:5" ht="13">
      <c r="A728" s="3"/>
      <c r="B728" s="3"/>
      <c r="C728" s="3"/>
      <c r="D728" s="14"/>
      <c r="E728" s="3"/>
    </row>
    <row r="729" spans="1:5" ht="13">
      <c r="A729" s="3"/>
      <c r="B729" s="3"/>
      <c r="C729" s="3"/>
      <c r="D729" s="14"/>
      <c r="E729" s="3"/>
    </row>
    <row r="730" spans="1:5" ht="13">
      <c r="A730" s="3"/>
      <c r="B730" s="3"/>
      <c r="C730" s="3"/>
      <c r="D730" s="14"/>
      <c r="E730" s="3"/>
    </row>
    <row r="731" spans="1:5" ht="13">
      <c r="A731" s="3"/>
      <c r="B731" s="3"/>
      <c r="C731" s="3"/>
      <c r="D731" s="14"/>
      <c r="E731" s="3"/>
    </row>
    <row r="732" spans="1:5" ht="13">
      <c r="A732" s="3"/>
      <c r="B732" s="3"/>
      <c r="C732" s="3"/>
      <c r="D732" s="14"/>
      <c r="E732" s="3"/>
    </row>
    <row r="733" spans="1:5" ht="13">
      <c r="A733" s="3"/>
      <c r="B733" s="3"/>
      <c r="C733" s="3"/>
      <c r="D733" s="14"/>
      <c r="E733" s="3"/>
    </row>
    <row r="734" spans="1:5" ht="13">
      <c r="A734" s="3"/>
      <c r="B734" s="3"/>
      <c r="C734" s="3"/>
      <c r="D734" s="14"/>
      <c r="E734" s="3"/>
    </row>
    <row r="735" spans="1:5" ht="13">
      <c r="A735" s="3"/>
      <c r="B735" s="3"/>
      <c r="C735" s="3"/>
      <c r="D735" s="14"/>
      <c r="E735" s="3"/>
    </row>
    <row r="736" spans="1:5" ht="13">
      <c r="A736" s="3"/>
      <c r="B736" s="3"/>
      <c r="C736" s="3"/>
      <c r="D736" s="14"/>
      <c r="E736" s="3"/>
    </row>
    <row r="737" spans="1:5" ht="13">
      <c r="A737" s="3"/>
      <c r="B737" s="3"/>
      <c r="C737" s="3"/>
      <c r="D737" s="14"/>
      <c r="E737" s="3"/>
    </row>
    <row r="738" spans="1:5" ht="13">
      <c r="A738" s="3"/>
      <c r="B738" s="3"/>
      <c r="C738" s="3"/>
      <c r="D738" s="14"/>
      <c r="E738" s="3"/>
    </row>
    <row r="739" spans="1:5" ht="13">
      <c r="A739" s="3"/>
      <c r="B739" s="3"/>
      <c r="C739" s="3"/>
      <c r="D739" s="14"/>
      <c r="E739" s="3"/>
    </row>
    <row r="740" spans="1:5" ht="13">
      <c r="A740" s="3"/>
      <c r="B740" s="3"/>
      <c r="C740" s="3"/>
      <c r="D740" s="14"/>
      <c r="E740" s="3"/>
    </row>
    <row r="741" spans="1:5" ht="13">
      <c r="A741" s="3"/>
      <c r="B741" s="3"/>
      <c r="C741" s="3"/>
      <c r="D741" s="14"/>
      <c r="E741" s="3"/>
    </row>
    <row r="742" spans="1:5" ht="13">
      <c r="A742" s="3"/>
      <c r="B742" s="3"/>
      <c r="C742" s="3"/>
      <c r="D742" s="14"/>
      <c r="E742" s="3"/>
    </row>
    <row r="743" spans="1:5" ht="13">
      <c r="A743" s="3"/>
      <c r="B743" s="3"/>
      <c r="C743" s="3"/>
      <c r="D743" s="14"/>
      <c r="E743" s="3"/>
    </row>
    <row r="744" spans="1:5" ht="13">
      <c r="A744" s="3"/>
      <c r="B744" s="3"/>
      <c r="C744" s="3"/>
      <c r="D744" s="14"/>
      <c r="E744" s="3"/>
    </row>
    <row r="745" spans="1:5" ht="13">
      <c r="A745" s="3"/>
      <c r="B745" s="3"/>
      <c r="C745" s="3"/>
      <c r="D745" s="14"/>
      <c r="E745" s="3"/>
    </row>
    <row r="746" spans="1:5" ht="13">
      <c r="A746" s="3"/>
      <c r="B746" s="3"/>
      <c r="C746" s="3"/>
      <c r="D746" s="14"/>
      <c r="E746" s="3"/>
    </row>
    <row r="747" spans="1:5" ht="13">
      <c r="A747" s="3"/>
      <c r="B747" s="3"/>
      <c r="C747" s="3"/>
      <c r="D747" s="14"/>
      <c r="E747" s="3"/>
    </row>
    <row r="748" spans="1:5" ht="13">
      <c r="A748" s="3"/>
      <c r="B748" s="3"/>
      <c r="C748" s="3"/>
      <c r="D748" s="14"/>
      <c r="E748" s="3"/>
    </row>
    <row r="749" spans="1:5" ht="13">
      <c r="A749" s="3"/>
      <c r="B749" s="3"/>
      <c r="C749" s="3"/>
      <c r="D749" s="14"/>
      <c r="E749" s="3"/>
    </row>
    <row r="750" spans="1:5" ht="13">
      <c r="A750" s="3"/>
      <c r="B750" s="3"/>
      <c r="C750" s="3"/>
      <c r="D750" s="14"/>
      <c r="E750" s="3"/>
    </row>
    <row r="751" spans="1:5" ht="13">
      <c r="A751" s="3"/>
      <c r="B751" s="3"/>
      <c r="C751" s="3"/>
      <c r="D751" s="14"/>
      <c r="E751" s="3"/>
    </row>
    <row r="752" spans="1:5" ht="13">
      <c r="A752" s="3"/>
      <c r="B752" s="3"/>
      <c r="C752" s="3"/>
      <c r="D752" s="14"/>
      <c r="E752" s="3"/>
    </row>
    <row r="753" spans="1:5" ht="13">
      <c r="A753" s="3"/>
      <c r="B753" s="3"/>
      <c r="C753" s="3"/>
      <c r="D753" s="14"/>
      <c r="E753" s="3"/>
    </row>
    <row r="754" spans="1:5" ht="13">
      <c r="A754" s="3"/>
      <c r="B754" s="3"/>
      <c r="C754" s="3"/>
      <c r="D754" s="14"/>
      <c r="E754" s="3"/>
    </row>
    <row r="755" spans="1:5" ht="13">
      <c r="A755" s="3"/>
      <c r="B755" s="3"/>
      <c r="C755" s="3"/>
      <c r="D755" s="14"/>
      <c r="E755" s="3"/>
    </row>
    <row r="756" spans="1:5" ht="13">
      <c r="A756" s="3"/>
      <c r="B756" s="3"/>
      <c r="C756" s="3"/>
      <c r="D756" s="14"/>
      <c r="E756" s="3"/>
    </row>
    <row r="757" spans="1:5" ht="13">
      <c r="A757" s="3"/>
      <c r="B757" s="3"/>
      <c r="C757" s="3"/>
      <c r="D757" s="14"/>
      <c r="E757" s="3"/>
    </row>
    <row r="758" spans="1:5" ht="13">
      <c r="A758" s="3"/>
      <c r="B758" s="3"/>
      <c r="C758" s="3"/>
      <c r="D758" s="14"/>
      <c r="E758" s="3"/>
    </row>
    <row r="759" spans="1:5" ht="13">
      <c r="A759" s="3"/>
      <c r="B759" s="3"/>
      <c r="C759" s="3"/>
      <c r="D759" s="14"/>
      <c r="E759" s="3"/>
    </row>
    <row r="760" spans="1:5" ht="13">
      <c r="A760" s="3"/>
      <c r="B760" s="3"/>
      <c r="C760" s="3"/>
      <c r="D760" s="14"/>
      <c r="E760" s="3"/>
    </row>
    <row r="761" spans="1:5" ht="13">
      <c r="A761" s="3"/>
      <c r="B761" s="3"/>
      <c r="C761" s="3"/>
      <c r="D761" s="14"/>
      <c r="E761" s="3"/>
    </row>
    <row r="762" spans="1:5" ht="13">
      <c r="A762" s="3"/>
      <c r="B762" s="3"/>
      <c r="C762" s="3"/>
      <c r="D762" s="14"/>
      <c r="E762" s="3"/>
    </row>
    <row r="763" spans="1:5" ht="13">
      <c r="D763" s="79"/>
    </row>
    <row r="764" spans="1:5" ht="13">
      <c r="D764" s="79"/>
    </row>
    <row r="765" spans="1:5" ht="13">
      <c r="D765" s="79"/>
    </row>
    <row r="766" spans="1:5" ht="13">
      <c r="D766" s="79"/>
    </row>
    <row r="767" spans="1:5" ht="13">
      <c r="D767" s="79"/>
    </row>
    <row r="768" spans="1:5" ht="13">
      <c r="D768" s="79"/>
    </row>
    <row r="769" spans="4:4" ht="13">
      <c r="D769" s="79"/>
    </row>
    <row r="770" spans="4:4" ht="13">
      <c r="D770" s="79"/>
    </row>
    <row r="771" spans="4:4" ht="13">
      <c r="D771" s="79"/>
    </row>
    <row r="772" spans="4:4" ht="13">
      <c r="D772" s="79"/>
    </row>
    <row r="773" spans="4:4" ht="13">
      <c r="D773" s="79"/>
    </row>
    <row r="774" spans="4:4" ht="13">
      <c r="D774" s="79"/>
    </row>
    <row r="775" spans="4:4" ht="13">
      <c r="D775" s="79"/>
    </row>
    <row r="776" spans="4:4" ht="13">
      <c r="D776" s="79"/>
    </row>
    <row r="777" spans="4:4" ht="13">
      <c r="D777" s="79"/>
    </row>
    <row r="778" spans="4:4" ht="13">
      <c r="D778" s="79"/>
    </row>
    <row r="779" spans="4:4" ht="13">
      <c r="D779" s="79"/>
    </row>
    <row r="780" spans="4:4" ht="13">
      <c r="D780" s="79"/>
    </row>
    <row r="781" spans="4:4" ht="13">
      <c r="D781" s="79"/>
    </row>
    <row r="782" spans="4:4" ht="13">
      <c r="D782" s="79"/>
    </row>
    <row r="783" spans="4:4" ht="13">
      <c r="D783" s="79"/>
    </row>
    <row r="784" spans="4:4" ht="13">
      <c r="D784" s="79"/>
    </row>
    <row r="785" spans="4:4" ht="13">
      <c r="D785" s="79"/>
    </row>
    <row r="786" spans="4:4" ht="13">
      <c r="D786" s="79"/>
    </row>
    <row r="787" spans="4:4" ht="13">
      <c r="D787" s="79"/>
    </row>
    <row r="788" spans="4:4" ht="13">
      <c r="D788" s="79"/>
    </row>
    <row r="789" spans="4:4" ht="13">
      <c r="D789" s="79"/>
    </row>
    <row r="790" spans="4:4" ht="13">
      <c r="D790" s="79"/>
    </row>
    <row r="791" spans="4:4" ht="13">
      <c r="D791" s="79"/>
    </row>
    <row r="792" spans="4:4" ht="13">
      <c r="D792" s="79"/>
    </row>
    <row r="793" spans="4:4" ht="13">
      <c r="D793" s="79"/>
    </row>
    <row r="794" spans="4:4" ht="13">
      <c r="D794" s="79"/>
    </row>
    <row r="795" spans="4:4" ht="13">
      <c r="D795" s="79"/>
    </row>
    <row r="796" spans="4:4" ht="13">
      <c r="D796" s="79"/>
    </row>
    <row r="797" spans="4:4" ht="13">
      <c r="D797" s="79"/>
    </row>
    <row r="798" spans="4:4" ht="13">
      <c r="D798" s="79"/>
    </row>
    <row r="799" spans="4:4" ht="13">
      <c r="D799" s="79"/>
    </row>
    <row r="800" spans="4:4" ht="13">
      <c r="D800" s="79"/>
    </row>
    <row r="801" spans="4:4" ht="13">
      <c r="D801" s="79"/>
    </row>
    <row r="802" spans="4:4" ht="13">
      <c r="D802" s="79"/>
    </row>
    <row r="803" spans="4:4" ht="13">
      <c r="D803" s="79"/>
    </row>
    <row r="804" spans="4:4" ht="13">
      <c r="D804" s="79"/>
    </row>
    <row r="805" spans="4:4" ht="13">
      <c r="D805" s="79"/>
    </row>
    <row r="806" spans="4:4" ht="13">
      <c r="D806" s="79"/>
    </row>
    <row r="807" spans="4:4" ht="13">
      <c r="D807" s="79"/>
    </row>
    <row r="808" spans="4:4" ht="13">
      <c r="D808" s="79"/>
    </row>
    <row r="809" spans="4:4" ht="13">
      <c r="D809" s="79"/>
    </row>
    <row r="810" spans="4:4" ht="13">
      <c r="D810" s="79"/>
    </row>
    <row r="811" spans="4:4" ht="13">
      <c r="D811" s="79"/>
    </row>
    <row r="812" spans="4:4" ht="13">
      <c r="D812" s="79"/>
    </row>
    <row r="813" spans="4:4" ht="13">
      <c r="D813" s="79"/>
    </row>
    <row r="814" spans="4:4" ht="13">
      <c r="D814" s="79"/>
    </row>
    <row r="815" spans="4:4" ht="13">
      <c r="D815" s="79"/>
    </row>
    <row r="816" spans="4:4" ht="13">
      <c r="D816" s="79"/>
    </row>
    <row r="817" spans="4:4" ht="13">
      <c r="D817" s="79"/>
    </row>
    <row r="818" spans="4:4" ht="13">
      <c r="D818" s="79"/>
    </row>
    <row r="819" spans="4:4" ht="13">
      <c r="D819" s="79"/>
    </row>
    <row r="820" spans="4:4" ht="13">
      <c r="D820" s="79"/>
    </row>
    <row r="821" spans="4:4" ht="13">
      <c r="D821" s="79"/>
    </row>
    <row r="822" spans="4:4" ht="13">
      <c r="D822" s="79"/>
    </row>
    <row r="823" spans="4:4" ht="13">
      <c r="D823" s="79"/>
    </row>
    <row r="824" spans="4:4" ht="13">
      <c r="D824" s="79"/>
    </row>
    <row r="825" spans="4:4" ht="13">
      <c r="D825" s="79"/>
    </row>
    <row r="826" spans="4:4" ht="13">
      <c r="D826" s="79"/>
    </row>
    <row r="827" spans="4:4" ht="13">
      <c r="D827" s="79"/>
    </row>
    <row r="828" spans="4:4" ht="13">
      <c r="D828" s="79"/>
    </row>
    <row r="829" spans="4:4" ht="13">
      <c r="D829" s="79"/>
    </row>
    <row r="830" spans="4:4" ht="13">
      <c r="D830" s="79"/>
    </row>
    <row r="831" spans="4:4" ht="13">
      <c r="D831" s="79"/>
    </row>
    <row r="832" spans="4:4" ht="13">
      <c r="D832" s="79"/>
    </row>
    <row r="833" spans="4:4" ht="13">
      <c r="D833" s="79"/>
    </row>
    <row r="834" spans="4:4" ht="13">
      <c r="D834" s="79"/>
    </row>
    <row r="835" spans="4:4" ht="13">
      <c r="D835" s="79"/>
    </row>
    <row r="836" spans="4:4" ht="13">
      <c r="D836" s="79"/>
    </row>
    <row r="837" spans="4:4" ht="13">
      <c r="D837" s="79"/>
    </row>
    <row r="838" spans="4:4" ht="13">
      <c r="D838" s="79"/>
    </row>
    <row r="839" spans="4:4" ht="13">
      <c r="D839" s="79"/>
    </row>
    <row r="840" spans="4:4" ht="13">
      <c r="D840" s="79"/>
    </row>
    <row r="841" spans="4:4" ht="13">
      <c r="D841" s="79"/>
    </row>
    <row r="842" spans="4:4" ht="13">
      <c r="D842" s="79"/>
    </row>
    <row r="843" spans="4:4" ht="13">
      <c r="D843" s="79"/>
    </row>
    <row r="844" spans="4:4" ht="13">
      <c r="D844" s="79"/>
    </row>
    <row r="845" spans="4:4" ht="13">
      <c r="D845" s="79"/>
    </row>
    <row r="846" spans="4:4" ht="13">
      <c r="D846" s="79"/>
    </row>
    <row r="847" spans="4:4" ht="13">
      <c r="D847" s="79"/>
    </row>
    <row r="848" spans="4:4" ht="13">
      <c r="D848" s="79"/>
    </row>
    <row r="849" spans="4:4" ht="13">
      <c r="D849" s="79"/>
    </row>
    <row r="850" spans="4:4" ht="13">
      <c r="D850" s="79"/>
    </row>
    <row r="851" spans="4:4" ht="13">
      <c r="D851" s="79"/>
    </row>
    <row r="852" spans="4:4" ht="13">
      <c r="D852" s="79"/>
    </row>
    <row r="853" spans="4:4" ht="13">
      <c r="D853" s="79"/>
    </row>
    <row r="854" spans="4:4" ht="13">
      <c r="D854" s="79"/>
    </row>
    <row r="855" spans="4:4" ht="13">
      <c r="D855" s="79"/>
    </row>
    <row r="856" spans="4:4" ht="13">
      <c r="D856" s="79"/>
    </row>
    <row r="857" spans="4:4" ht="13">
      <c r="D857" s="79"/>
    </row>
    <row r="858" spans="4:4" ht="13">
      <c r="D858" s="79"/>
    </row>
    <row r="859" spans="4:4" ht="13">
      <c r="D859" s="79"/>
    </row>
    <row r="860" spans="4:4" ht="13">
      <c r="D860" s="79"/>
    </row>
    <row r="861" spans="4:4" ht="13">
      <c r="D861" s="79"/>
    </row>
    <row r="862" spans="4:4" ht="13">
      <c r="D862" s="79"/>
    </row>
    <row r="863" spans="4:4" ht="13">
      <c r="D863" s="79"/>
    </row>
    <row r="864" spans="4:4" ht="13">
      <c r="D864" s="79"/>
    </row>
    <row r="865" spans="4:4" ht="13">
      <c r="D865" s="79"/>
    </row>
    <row r="866" spans="4:4" ht="13">
      <c r="D866" s="79"/>
    </row>
    <row r="867" spans="4:4" ht="13">
      <c r="D867" s="79"/>
    </row>
    <row r="868" spans="4:4" ht="13">
      <c r="D868" s="79"/>
    </row>
    <row r="869" spans="4:4" ht="13">
      <c r="D869" s="79"/>
    </row>
    <row r="870" spans="4:4" ht="13">
      <c r="D870" s="79"/>
    </row>
    <row r="871" spans="4:4" ht="13">
      <c r="D871" s="79"/>
    </row>
    <row r="872" spans="4:4" ht="13">
      <c r="D872" s="79"/>
    </row>
    <row r="873" spans="4:4" ht="13">
      <c r="D873" s="79"/>
    </row>
    <row r="874" spans="4:4" ht="13">
      <c r="D874" s="79"/>
    </row>
    <row r="875" spans="4:4" ht="13">
      <c r="D875" s="79"/>
    </row>
    <row r="876" spans="4:4" ht="13">
      <c r="D876" s="79"/>
    </row>
    <row r="877" spans="4:4" ht="13">
      <c r="D877" s="79"/>
    </row>
    <row r="878" spans="4:4" ht="13">
      <c r="D878" s="79"/>
    </row>
    <row r="879" spans="4:4" ht="13">
      <c r="D879" s="79"/>
    </row>
    <row r="880" spans="4:4" ht="13">
      <c r="D880" s="79"/>
    </row>
    <row r="881" spans="4:4" ht="13">
      <c r="D881" s="79"/>
    </row>
    <row r="882" spans="4:4" ht="13">
      <c r="D882" s="79"/>
    </row>
    <row r="883" spans="4:4" ht="13">
      <c r="D883" s="79"/>
    </row>
    <row r="884" spans="4:4" ht="13">
      <c r="D884" s="79"/>
    </row>
    <row r="885" spans="4:4" ht="13">
      <c r="D885" s="79"/>
    </row>
    <row r="886" spans="4:4" ht="13">
      <c r="D886" s="79"/>
    </row>
    <row r="887" spans="4:4" ht="13">
      <c r="D887" s="79"/>
    </row>
    <row r="888" spans="4:4" ht="13">
      <c r="D888" s="79"/>
    </row>
    <row r="889" spans="4:4" ht="13">
      <c r="D889" s="79"/>
    </row>
    <row r="890" spans="4:4" ht="13">
      <c r="D890" s="79"/>
    </row>
    <row r="891" spans="4:4" ht="13">
      <c r="D891" s="79"/>
    </row>
    <row r="892" spans="4:4" ht="13">
      <c r="D892" s="79"/>
    </row>
    <row r="893" spans="4:4" ht="13">
      <c r="D893" s="79"/>
    </row>
    <row r="894" spans="4:4" ht="13">
      <c r="D894" s="79"/>
    </row>
    <row r="895" spans="4:4" ht="13">
      <c r="D895" s="79"/>
    </row>
    <row r="896" spans="4:4" ht="13">
      <c r="D896" s="79"/>
    </row>
    <row r="897" spans="4:4" ht="13">
      <c r="D897" s="79"/>
    </row>
    <row r="898" spans="4:4" ht="13">
      <c r="D898" s="79"/>
    </row>
    <row r="899" spans="4:4" ht="13">
      <c r="D899" s="79"/>
    </row>
    <row r="900" spans="4:4" ht="13">
      <c r="D900" s="79"/>
    </row>
    <row r="901" spans="4:4" ht="13">
      <c r="D901" s="79"/>
    </row>
    <row r="902" spans="4:4" ht="13">
      <c r="D902" s="79"/>
    </row>
    <row r="903" spans="4:4" ht="13">
      <c r="D903" s="79"/>
    </row>
    <row r="904" spans="4:4" ht="13">
      <c r="D904" s="79"/>
    </row>
    <row r="905" spans="4:4" ht="13">
      <c r="D905" s="79"/>
    </row>
    <row r="906" spans="4:4" ht="13">
      <c r="D906" s="79"/>
    </row>
    <row r="907" spans="4:4" ht="13">
      <c r="D907" s="79"/>
    </row>
    <row r="908" spans="4:4" ht="13">
      <c r="D908" s="79"/>
    </row>
    <row r="909" spans="4:4" ht="13">
      <c r="D909" s="79"/>
    </row>
    <row r="910" spans="4:4" ht="13">
      <c r="D910" s="79"/>
    </row>
    <row r="911" spans="4:4" ht="13">
      <c r="D911" s="79"/>
    </row>
    <row r="912" spans="4:4" ht="13">
      <c r="D912" s="79"/>
    </row>
    <row r="913" spans="4:4" ht="13">
      <c r="D913" s="79"/>
    </row>
    <row r="914" spans="4:4" ht="13">
      <c r="D914" s="79"/>
    </row>
    <row r="915" spans="4:4" ht="13">
      <c r="D915" s="79"/>
    </row>
    <row r="916" spans="4:4" ht="13">
      <c r="D916" s="79"/>
    </row>
    <row r="917" spans="4:4" ht="13">
      <c r="D917" s="79"/>
    </row>
    <row r="918" spans="4:4" ht="13">
      <c r="D918" s="79"/>
    </row>
    <row r="919" spans="4:4" ht="13">
      <c r="D919" s="79"/>
    </row>
    <row r="920" spans="4:4" ht="13">
      <c r="D920" s="79"/>
    </row>
    <row r="921" spans="4:4" ht="13">
      <c r="D921" s="79"/>
    </row>
    <row r="922" spans="4:4" ht="13">
      <c r="D922" s="79"/>
    </row>
    <row r="923" spans="4:4" ht="13">
      <c r="D923" s="79"/>
    </row>
    <row r="924" spans="4:4" ht="13">
      <c r="D924" s="79"/>
    </row>
    <row r="925" spans="4:4" ht="13">
      <c r="D925" s="79"/>
    </row>
    <row r="926" spans="4:4" ht="13">
      <c r="D926" s="79"/>
    </row>
    <row r="927" spans="4:4" ht="13">
      <c r="D927" s="79"/>
    </row>
    <row r="928" spans="4:4" ht="13">
      <c r="D928" s="79"/>
    </row>
    <row r="929" spans="4:4" ht="13">
      <c r="D929" s="79"/>
    </row>
    <row r="930" spans="4:4" ht="13">
      <c r="D930" s="79"/>
    </row>
    <row r="931" spans="4:4" ht="13">
      <c r="D931" s="79"/>
    </row>
    <row r="932" spans="4:4" ht="13">
      <c r="D932" s="79"/>
    </row>
    <row r="933" spans="4:4" ht="13">
      <c r="D933" s="79"/>
    </row>
    <row r="934" spans="4:4" ht="13">
      <c r="D934" s="79"/>
    </row>
    <row r="935" spans="4:4" ht="13">
      <c r="D935" s="79"/>
    </row>
    <row r="936" spans="4:4" ht="13">
      <c r="D936" s="79"/>
    </row>
    <row r="937" spans="4:4" ht="13">
      <c r="D937" s="79"/>
    </row>
    <row r="938" spans="4:4" ht="13">
      <c r="D938" s="79"/>
    </row>
    <row r="939" spans="4:4" ht="13">
      <c r="D939" s="79"/>
    </row>
    <row r="940" spans="4:4" ht="13">
      <c r="D940" s="79"/>
    </row>
    <row r="941" spans="4:4" ht="13">
      <c r="D941" s="79"/>
    </row>
    <row r="942" spans="4:4" ht="13">
      <c r="D942" s="79"/>
    </row>
    <row r="943" spans="4:4" ht="13">
      <c r="D943" s="79"/>
    </row>
    <row r="944" spans="4:4" ht="13">
      <c r="D944" s="79"/>
    </row>
    <row r="945" spans="4:4" ht="13">
      <c r="D945" s="79"/>
    </row>
    <row r="946" spans="4:4" ht="13">
      <c r="D946" s="79"/>
    </row>
    <row r="947" spans="4:4" ht="13">
      <c r="D947" s="79"/>
    </row>
    <row r="948" spans="4:4" ht="13">
      <c r="D948" s="79"/>
    </row>
    <row r="949" spans="4:4" ht="13">
      <c r="D949" s="79"/>
    </row>
    <row r="950" spans="4:4" ht="13">
      <c r="D950" s="79"/>
    </row>
    <row r="951" spans="4:4" ht="13">
      <c r="D951" s="79"/>
    </row>
    <row r="952" spans="4:4" ht="13">
      <c r="D952" s="79"/>
    </row>
    <row r="953" spans="4:4" ht="13">
      <c r="D953" s="79"/>
    </row>
    <row r="954" spans="4:4" ht="13">
      <c r="D954" s="79"/>
    </row>
    <row r="955" spans="4:4" ht="13">
      <c r="D955" s="79"/>
    </row>
    <row r="956" spans="4:4" ht="13">
      <c r="D956" s="79"/>
    </row>
    <row r="957" spans="4:4" ht="13">
      <c r="D957" s="79"/>
    </row>
    <row r="958" spans="4:4" ht="13">
      <c r="D958" s="79"/>
    </row>
    <row r="959" spans="4:4" ht="13">
      <c r="D959" s="79"/>
    </row>
    <row r="960" spans="4:4" ht="13">
      <c r="D960" s="79"/>
    </row>
    <row r="961" spans="4:4" ht="13">
      <c r="D961" s="79"/>
    </row>
    <row r="962" spans="4:4" ht="13">
      <c r="D962" s="79"/>
    </row>
    <row r="963" spans="4:4" ht="13">
      <c r="D963" s="79"/>
    </row>
    <row r="964" spans="4:4" ht="13">
      <c r="D964" s="79"/>
    </row>
    <row r="965" spans="4:4" ht="13">
      <c r="D965" s="79"/>
    </row>
    <row r="966" spans="4:4" ht="13">
      <c r="D966" s="79"/>
    </row>
    <row r="967" spans="4:4" ht="13">
      <c r="D967" s="79"/>
    </row>
    <row r="968" spans="4:4" ht="13">
      <c r="D968" s="79"/>
    </row>
    <row r="969" spans="4:4" ht="13">
      <c r="D969" s="79"/>
    </row>
    <row r="970" spans="4:4" ht="13">
      <c r="D970" s="79"/>
    </row>
    <row r="971" spans="4:4" ht="13">
      <c r="D971" s="79"/>
    </row>
    <row r="972" spans="4:4" ht="13">
      <c r="D972" s="79"/>
    </row>
    <row r="973" spans="4:4" ht="13">
      <c r="D973" s="79"/>
    </row>
    <row r="974" spans="4:4" ht="13">
      <c r="D974" s="79"/>
    </row>
    <row r="975" spans="4:4" ht="13">
      <c r="D975" s="79"/>
    </row>
    <row r="976" spans="4:4" ht="13">
      <c r="D976" s="79"/>
    </row>
    <row r="977" spans="4:4" ht="13">
      <c r="D977" s="79"/>
    </row>
    <row r="978" spans="4:4" ht="13">
      <c r="D978" s="79"/>
    </row>
    <row r="979" spans="4:4" ht="13">
      <c r="D979" s="79"/>
    </row>
    <row r="980" spans="4:4" ht="13">
      <c r="D980" s="79"/>
    </row>
    <row r="981" spans="4:4" ht="13">
      <c r="D981" s="79"/>
    </row>
    <row r="982" spans="4:4" ht="13">
      <c r="D982" s="79"/>
    </row>
    <row r="983" spans="4:4" ht="13">
      <c r="D983" s="79"/>
    </row>
    <row r="984" spans="4:4" ht="13">
      <c r="D984" s="79"/>
    </row>
    <row r="985" spans="4:4" ht="13">
      <c r="D985" s="79"/>
    </row>
    <row r="986" spans="4:4" ht="13">
      <c r="D986" s="79"/>
    </row>
    <row r="987" spans="4:4" ht="13">
      <c r="D987" s="79"/>
    </row>
    <row r="988" spans="4:4" ht="13">
      <c r="D988" s="79"/>
    </row>
    <row r="989" spans="4:4" ht="13">
      <c r="D989" s="79"/>
    </row>
    <row r="990" spans="4:4" ht="13">
      <c r="D990" s="79"/>
    </row>
    <row r="991" spans="4:4" ht="13">
      <c r="D991" s="79"/>
    </row>
    <row r="992" spans="4:4" ht="13">
      <c r="D992" s="79"/>
    </row>
    <row r="993" spans="4:4" ht="13">
      <c r="D993" s="79"/>
    </row>
    <row r="994" spans="4:4" ht="13">
      <c r="D994" s="79"/>
    </row>
    <row r="995" spans="4:4" ht="13">
      <c r="D995" s="79"/>
    </row>
    <row r="996" spans="4:4" ht="13">
      <c r="D996" s="79"/>
    </row>
    <row r="997" spans="4:4" ht="13">
      <c r="D997" s="79"/>
    </row>
    <row r="998" spans="4:4" ht="13">
      <c r="D998" s="79"/>
    </row>
    <row r="999" spans="4:4" ht="13">
      <c r="D999" s="79"/>
    </row>
    <row r="1000" spans="4:4" ht="13">
      <c r="D1000" s="79"/>
    </row>
    <row r="1001" spans="4:4" ht="13">
      <c r="D1001" s="79"/>
    </row>
    <row r="1002" spans="4:4" ht="13">
      <c r="D1002" s="79"/>
    </row>
    <row r="1003" spans="4:4" ht="13">
      <c r="D1003" s="79"/>
    </row>
    <row r="1004" spans="4:4" ht="13">
      <c r="D1004" s="79"/>
    </row>
    <row r="1005" spans="4:4" ht="13">
      <c r="D1005" s="79"/>
    </row>
    <row r="1006" spans="4:4" ht="13">
      <c r="D1006" s="79"/>
    </row>
    <row r="1007" spans="4:4" ht="13">
      <c r="D1007" s="79"/>
    </row>
  </sheetData>
  <autoFilter ref="B8:D58" xr:uid="{00000000-0009-0000-0000-000003000000}">
    <sortState xmlns:xlrd2="http://schemas.microsoft.com/office/spreadsheetml/2017/richdata2" ref="B8:D58">
      <sortCondition descending="1" ref="D8:D58"/>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Y970"/>
  <sheetViews>
    <sheetView showGridLines="0" topLeftCell="A26" workbookViewId="0">
      <selection activeCell="A52" sqref="A52:XFD52"/>
    </sheetView>
  </sheetViews>
  <sheetFormatPr baseColWidth="10" defaultColWidth="14.5" defaultRowHeight="15.75" customHeight="1"/>
  <cols>
    <col min="1" max="1" width="3.5" customWidth="1"/>
    <col min="2" max="2" width="32.5" customWidth="1"/>
    <col min="3" max="3" width="34" customWidth="1"/>
    <col min="4" max="4" width="37.83203125" customWidth="1"/>
    <col min="5" max="5" width="34.6640625" customWidth="1"/>
    <col min="6" max="6" width="17.33203125" customWidth="1"/>
    <col min="7" max="7" width="34.83203125" customWidth="1"/>
    <col min="8" max="8" width="30" customWidth="1"/>
    <col min="9" max="9" width="32.83203125" customWidth="1"/>
    <col min="10" max="10" width="33" customWidth="1"/>
    <col min="11" max="11" width="38.5" customWidth="1"/>
    <col min="12" max="12" width="43.6640625" customWidth="1"/>
  </cols>
  <sheetData>
    <row r="1" spans="1:25" ht="15" customHeight="1">
      <c r="A1" s="12"/>
      <c r="B1" s="12"/>
      <c r="C1" s="12"/>
      <c r="D1" s="3"/>
      <c r="E1" s="3"/>
      <c r="F1" s="14"/>
      <c r="G1" s="3"/>
    </row>
    <row r="2" spans="1:25" ht="22">
      <c r="A2" s="12"/>
      <c r="B2" s="13" t="s">
        <v>0</v>
      </c>
      <c r="C2" s="12"/>
      <c r="D2" s="3"/>
      <c r="G2" s="14"/>
    </row>
    <row r="3" spans="1:25" ht="30">
      <c r="A3" s="12"/>
      <c r="B3" s="53" t="s">
        <v>98</v>
      </c>
      <c r="C3" s="54"/>
      <c r="E3" s="26" t="s">
        <v>99</v>
      </c>
      <c r="F3" s="55">
        <f>SUM(F9:F219)</f>
        <v>40522.30000000001</v>
      </c>
      <c r="G3" s="34" t="s">
        <v>22</v>
      </c>
    </row>
    <row r="4" spans="1:25" ht="13">
      <c r="A4" s="12"/>
      <c r="B4" s="56" t="s">
        <v>100</v>
      </c>
      <c r="C4" s="54"/>
      <c r="D4" s="54"/>
      <c r="E4" s="54"/>
      <c r="F4" s="57"/>
      <c r="G4" s="54"/>
    </row>
    <row r="5" spans="1:25" ht="12" customHeight="1">
      <c r="A5" s="12"/>
      <c r="B5" s="58"/>
      <c r="C5" s="54"/>
      <c r="D5" s="54"/>
      <c r="E5" s="54"/>
      <c r="F5" s="57"/>
      <c r="G5" s="54"/>
    </row>
    <row r="6" spans="1:25" ht="12" customHeight="1">
      <c r="A6" s="12"/>
      <c r="B6" s="35" t="s">
        <v>101</v>
      </c>
      <c r="C6" s="54"/>
      <c r="D6" s="54"/>
      <c r="E6" s="54"/>
      <c r="F6" s="57"/>
      <c r="G6" s="54"/>
    </row>
    <row r="7" spans="1:25" ht="12" customHeight="1">
      <c r="A7" s="12"/>
      <c r="B7" s="58"/>
      <c r="C7" s="54"/>
      <c r="D7" s="54"/>
      <c r="E7" s="54"/>
      <c r="F7" s="57"/>
      <c r="G7" s="54"/>
    </row>
    <row r="8" spans="1:25" ht="31.5" customHeight="1">
      <c r="A8" s="59"/>
      <c r="B8" s="60" t="s">
        <v>52</v>
      </c>
      <c r="C8" s="61" t="s">
        <v>53</v>
      </c>
      <c r="D8" s="80" t="s">
        <v>102</v>
      </c>
      <c r="E8" s="80" t="s">
        <v>103</v>
      </c>
      <c r="F8" s="62" t="s">
        <v>54</v>
      </c>
      <c r="G8" s="63"/>
      <c r="H8" s="63"/>
      <c r="I8" s="63"/>
      <c r="J8" s="63"/>
      <c r="K8" s="63"/>
      <c r="L8" s="63"/>
      <c r="M8" s="64"/>
      <c r="N8" s="64"/>
      <c r="O8" s="64"/>
      <c r="P8" s="64"/>
      <c r="Q8" s="64"/>
      <c r="R8" s="64"/>
      <c r="S8" s="64"/>
      <c r="T8" s="64"/>
      <c r="U8" s="64"/>
      <c r="V8" s="64"/>
      <c r="W8" s="64"/>
      <c r="X8" s="64"/>
      <c r="Y8" s="64"/>
    </row>
    <row r="9" spans="1:25" ht="13">
      <c r="A9" s="65"/>
      <c r="B9" s="66" t="s">
        <v>107</v>
      </c>
      <c r="C9" s="66" t="s">
        <v>108</v>
      </c>
      <c r="D9" s="81" t="s">
        <v>109</v>
      </c>
      <c r="E9" s="83"/>
      <c r="F9" s="74">
        <f>'Inventory '!E124+'Inventory '!E140+'Inventory '!E144+'Inventory '!E304+'Inventory '!E316+'Inventory '!E319+'Inventory '!E343+'Inventory '!E366+'Inventory '!E798+'Inventory '!E817+'Inventory '!E852+'Inventory '!E1012+'Inventory '!E1034+'Inventory '!E1075+'Inventory '!E1085+'Inventory '!E1093+'Inventory '!E1201+'Inventory '!E1227+'Inventory '!E1263+'Inventory '!E1423+'Inventory '!E1452+'Inventory '!E1470+'Inventory '!E1488+'Inventory '!E1515+'Inventory '!E1756+'Inventory '!E1740+'Inventory '!E1698+'Inventory '!E1682</f>
        <v>5406.5399999999991</v>
      </c>
      <c r="G9" s="68"/>
      <c r="H9" s="69"/>
      <c r="I9" s="70"/>
      <c r="J9" s="71"/>
      <c r="K9" s="75"/>
      <c r="L9" s="73"/>
      <c r="M9" s="39"/>
      <c r="N9" s="39"/>
      <c r="O9" s="39"/>
      <c r="P9" s="39"/>
      <c r="Q9" s="39"/>
      <c r="R9" s="39"/>
      <c r="S9" s="39"/>
      <c r="T9" s="39"/>
      <c r="U9" s="39"/>
      <c r="V9" s="39"/>
      <c r="W9" s="39"/>
      <c r="X9" s="39"/>
      <c r="Y9" s="39"/>
    </row>
    <row r="10" spans="1:25" ht="13">
      <c r="A10" s="65"/>
      <c r="B10" s="66" t="s">
        <v>111</v>
      </c>
      <c r="C10" s="66" t="s">
        <v>112</v>
      </c>
      <c r="D10" s="81" t="s">
        <v>109</v>
      </c>
      <c r="E10" s="82"/>
      <c r="F10" s="74">
        <f>'Inventory '!E399+'Inventory '!E715+SUM('Inventory '!E1300:E1303)+SUM('Inventory '!E1540:E1545)+SUM('Inventory '!E1797:E1804)</f>
        <v>2771.1899999999996</v>
      </c>
      <c r="G10" s="68"/>
      <c r="H10" s="69"/>
      <c r="I10" s="70"/>
      <c r="J10" s="71"/>
      <c r="K10" s="75"/>
      <c r="L10" s="73"/>
      <c r="M10" s="39"/>
      <c r="N10" s="39"/>
      <c r="O10" s="39"/>
      <c r="P10" s="39"/>
      <c r="Q10" s="39"/>
      <c r="R10" s="39"/>
      <c r="S10" s="39"/>
      <c r="T10" s="39"/>
      <c r="U10" s="39"/>
      <c r="V10" s="39"/>
      <c r="W10" s="39"/>
      <c r="X10" s="39"/>
      <c r="Y10" s="39"/>
    </row>
    <row r="11" spans="1:25" ht="13">
      <c r="A11" s="65"/>
      <c r="B11" s="66" t="s">
        <v>113</v>
      </c>
      <c r="C11" s="66" t="s">
        <v>114</v>
      </c>
      <c r="D11" s="81" t="s">
        <v>109</v>
      </c>
      <c r="E11" s="83"/>
      <c r="F11" s="67">
        <f>'Inventory '!E933+'Inventory '!E1325+'Inventory '!E1326+'Inventory '!E1553+'Inventory '!E1556</f>
        <v>1435.64</v>
      </c>
      <c r="G11" s="68"/>
      <c r="H11" s="69"/>
      <c r="I11" s="70"/>
      <c r="J11" s="71"/>
      <c r="K11" s="75"/>
      <c r="L11" s="73"/>
      <c r="M11" s="39"/>
      <c r="N11" s="39"/>
      <c r="O11" s="39"/>
      <c r="P11" s="39"/>
      <c r="Q11" s="39"/>
      <c r="R11" s="39"/>
      <c r="S11" s="39"/>
      <c r="T11" s="39"/>
      <c r="U11" s="39"/>
      <c r="V11" s="39"/>
      <c r="W11" s="39"/>
      <c r="X11" s="39"/>
      <c r="Y11" s="39"/>
    </row>
    <row r="12" spans="1:25" ht="13">
      <c r="A12" s="65"/>
      <c r="B12" s="66" t="s">
        <v>119</v>
      </c>
      <c r="C12" s="66" t="s">
        <v>120</v>
      </c>
      <c r="D12" s="81" t="s">
        <v>109</v>
      </c>
      <c r="E12" s="83"/>
      <c r="F12" s="67">
        <f>'Inventory '!E1599</f>
        <v>708.09</v>
      </c>
      <c r="G12" s="68"/>
      <c r="H12" s="69"/>
      <c r="I12" s="70"/>
      <c r="J12" s="71"/>
      <c r="K12" s="75"/>
      <c r="L12" s="73"/>
      <c r="M12" s="39"/>
      <c r="N12" s="39"/>
      <c r="O12" s="39"/>
      <c r="P12" s="39"/>
      <c r="Q12" s="39"/>
      <c r="R12" s="39"/>
      <c r="S12" s="39"/>
      <c r="T12" s="39"/>
      <c r="U12" s="39"/>
      <c r="V12" s="39"/>
      <c r="W12" s="39"/>
      <c r="X12" s="39"/>
      <c r="Y12" s="39"/>
    </row>
    <row r="13" spans="1:25" ht="13">
      <c r="A13" s="65"/>
      <c r="B13" s="66" t="s">
        <v>121</v>
      </c>
      <c r="C13" s="66" t="s">
        <v>122</v>
      </c>
      <c r="D13" s="81" t="s">
        <v>109</v>
      </c>
      <c r="E13" s="83"/>
      <c r="F13" s="67">
        <f>'Inventory '!E722+'Inventory '!E879+'Inventory '!E1119+'Inventory '!E1316+'Inventory '!E1354+'Inventory '!E1585+'Inventory '!E1830</f>
        <v>524.97</v>
      </c>
      <c r="G13" s="68"/>
      <c r="H13" s="69"/>
      <c r="I13" s="70"/>
      <c r="J13" s="71"/>
      <c r="K13" s="75"/>
      <c r="L13" s="73"/>
      <c r="M13" s="39"/>
      <c r="N13" s="39"/>
      <c r="O13" s="39"/>
      <c r="P13" s="39"/>
      <c r="Q13" s="39"/>
      <c r="R13" s="39"/>
      <c r="S13" s="39"/>
      <c r="T13" s="39"/>
      <c r="U13" s="39"/>
      <c r="V13" s="39"/>
      <c r="W13" s="39"/>
      <c r="X13" s="39"/>
      <c r="Y13" s="39"/>
    </row>
    <row r="14" spans="1:25" ht="13">
      <c r="A14" s="65"/>
      <c r="B14" s="66" t="s">
        <v>123</v>
      </c>
      <c r="C14" s="66" t="s">
        <v>124</v>
      </c>
      <c r="D14" s="81" t="s">
        <v>109</v>
      </c>
      <c r="E14" s="83"/>
      <c r="F14" s="67">
        <f>'Inventory '!E905+'Inventory '!E916+'Inventory '!E923+'Inventory '!E939</f>
        <v>524.37</v>
      </c>
      <c r="G14" s="68"/>
      <c r="H14" s="69"/>
      <c r="I14" s="70"/>
      <c r="J14" s="71"/>
      <c r="K14" s="75"/>
      <c r="L14" s="73"/>
      <c r="M14" s="39"/>
      <c r="N14" s="39"/>
      <c r="O14" s="39"/>
      <c r="P14" s="39"/>
      <c r="Q14" s="39"/>
      <c r="R14" s="39"/>
      <c r="S14" s="39"/>
      <c r="T14" s="39"/>
      <c r="U14" s="39"/>
      <c r="V14" s="39"/>
      <c r="W14" s="39"/>
      <c r="X14" s="39"/>
      <c r="Y14" s="39"/>
    </row>
    <row r="15" spans="1:25" ht="13">
      <c r="A15" s="65"/>
      <c r="B15" s="66" t="s">
        <v>55</v>
      </c>
      <c r="C15" s="66" t="s">
        <v>112</v>
      </c>
      <c r="D15" s="81" t="s">
        <v>109</v>
      </c>
      <c r="E15" s="83"/>
      <c r="F15" s="67">
        <f>'Inventory '!E542+'Inventory '!E523</f>
        <v>507</v>
      </c>
      <c r="G15" s="68"/>
      <c r="H15" s="69"/>
      <c r="I15" s="70"/>
      <c r="J15" s="71"/>
      <c r="K15" s="75"/>
      <c r="L15" s="73"/>
      <c r="M15" s="39"/>
      <c r="N15" s="39"/>
      <c r="O15" s="39"/>
      <c r="P15" s="39"/>
      <c r="Q15" s="39"/>
      <c r="R15" s="39"/>
      <c r="S15" s="39"/>
      <c r="T15" s="39"/>
      <c r="U15" s="39"/>
      <c r="V15" s="39"/>
      <c r="W15" s="39"/>
      <c r="X15" s="39"/>
      <c r="Y15" s="39"/>
    </row>
    <row r="16" spans="1:25" ht="13">
      <c r="A16" s="65"/>
      <c r="B16" s="66" t="s">
        <v>126</v>
      </c>
      <c r="C16" s="66" t="s">
        <v>127</v>
      </c>
      <c r="D16" s="81" t="s">
        <v>109</v>
      </c>
      <c r="E16" s="83"/>
      <c r="F16" s="67">
        <f>'Inventory '!E931+'Inventory '!E1323+'Inventory '!E1552</f>
        <v>269.83000000000004</v>
      </c>
      <c r="G16" s="68"/>
      <c r="H16" s="69"/>
      <c r="I16" s="70"/>
      <c r="J16" s="71"/>
      <c r="K16" s="75"/>
      <c r="L16" s="73"/>
      <c r="M16" s="39"/>
      <c r="N16" s="39"/>
      <c r="O16" s="39"/>
      <c r="P16" s="39"/>
      <c r="Q16" s="39"/>
      <c r="R16" s="39"/>
      <c r="S16" s="39"/>
      <c r="T16" s="39"/>
      <c r="U16" s="39"/>
      <c r="V16" s="39"/>
      <c r="W16" s="39"/>
      <c r="X16" s="39"/>
      <c r="Y16" s="39"/>
    </row>
    <row r="17" spans="1:25" ht="13">
      <c r="A17" s="65"/>
      <c r="B17" s="66" t="s">
        <v>128</v>
      </c>
      <c r="C17" s="66" t="s">
        <v>129</v>
      </c>
      <c r="D17" s="81" t="s">
        <v>109</v>
      </c>
      <c r="E17" s="83"/>
      <c r="F17" s="67">
        <f>'Inventory '!E911+'Inventory '!E1313+'Inventory '!E1350</f>
        <v>269.64000000000004</v>
      </c>
      <c r="G17" s="68"/>
      <c r="H17" s="69"/>
      <c r="I17" s="70"/>
      <c r="J17" s="71"/>
      <c r="K17" s="75"/>
      <c r="L17" s="73"/>
      <c r="M17" s="39"/>
      <c r="N17" s="39"/>
      <c r="O17" s="39"/>
      <c r="P17" s="39"/>
      <c r="Q17" s="39"/>
      <c r="R17" s="39"/>
      <c r="S17" s="39"/>
      <c r="T17" s="39"/>
      <c r="U17" s="39"/>
      <c r="V17" s="39"/>
      <c r="W17" s="39"/>
      <c r="X17" s="39"/>
      <c r="Y17" s="39"/>
    </row>
    <row r="18" spans="1:25" ht="13">
      <c r="A18" s="65"/>
      <c r="B18" s="66" t="s">
        <v>130</v>
      </c>
      <c r="C18" s="66" t="s">
        <v>131</v>
      </c>
      <c r="D18" s="81" t="s">
        <v>109</v>
      </c>
      <c r="E18" s="83"/>
      <c r="F18" s="67">
        <f>'Inventory '!E921+'Inventory '!E930</f>
        <v>246.51</v>
      </c>
      <c r="G18" s="68"/>
      <c r="H18" s="69"/>
      <c r="I18" s="70"/>
      <c r="J18" s="71"/>
      <c r="K18" s="75"/>
      <c r="L18" s="73"/>
      <c r="M18" s="39"/>
      <c r="N18" s="39"/>
      <c r="O18" s="39"/>
      <c r="P18" s="39"/>
      <c r="Q18" s="39"/>
      <c r="R18" s="39"/>
      <c r="S18" s="39"/>
      <c r="T18" s="39"/>
      <c r="U18" s="39"/>
      <c r="V18" s="39"/>
      <c r="W18" s="39"/>
      <c r="X18" s="39"/>
      <c r="Y18" s="39"/>
    </row>
    <row r="19" spans="1:25" ht="13">
      <c r="A19" s="65"/>
      <c r="B19" s="66" t="s">
        <v>132</v>
      </c>
      <c r="C19" s="66" t="s">
        <v>133</v>
      </c>
      <c r="D19" s="81" t="s">
        <v>109</v>
      </c>
      <c r="E19" s="83"/>
      <c r="F19" s="67">
        <f>'Inventory '!E1092+'Inventory '!E1469</f>
        <v>244.17000000000002</v>
      </c>
      <c r="G19" s="68"/>
      <c r="H19" s="69"/>
      <c r="I19" s="70"/>
      <c r="J19" s="71"/>
      <c r="K19" s="75"/>
      <c r="L19" s="73"/>
      <c r="M19" s="39"/>
      <c r="N19" s="39"/>
      <c r="O19" s="39"/>
      <c r="P19" s="39"/>
      <c r="Q19" s="39"/>
      <c r="R19" s="39"/>
      <c r="S19" s="39"/>
      <c r="T19" s="39"/>
      <c r="U19" s="39"/>
      <c r="V19" s="39"/>
      <c r="W19" s="39"/>
      <c r="X19" s="39"/>
      <c r="Y19" s="39"/>
    </row>
    <row r="20" spans="1:25" ht="13">
      <c r="A20" s="65"/>
      <c r="B20" s="66" t="s">
        <v>134</v>
      </c>
      <c r="C20" s="66" t="s">
        <v>135</v>
      </c>
      <c r="D20" s="81" t="s">
        <v>109</v>
      </c>
      <c r="E20" s="83"/>
      <c r="F20" s="67">
        <f>'Inventory '!E751+'Inventory '!E1171+'Inventory '!E1176</f>
        <v>228.5</v>
      </c>
      <c r="G20" s="68"/>
      <c r="H20" s="69"/>
      <c r="I20" s="70"/>
      <c r="J20" s="71"/>
      <c r="K20" s="75"/>
      <c r="L20" s="73"/>
      <c r="M20" s="39"/>
      <c r="N20" s="39"/>
      <c r="O20" s="39"/>
      <c r="P20" s="39"/>
      <c r="Q20" s="39"/>
      <c r="R20" s="39"/>
      <c r="S20" s="39"/>
      <c r="T20" s="39"/>
      <c r="U20" s="39"/>
      <c r="V20" s="39"/>
      <c r="W20" s="39"/>
      <c r="X20" s="39"/>
      <c r="Y20" s="39"/>
    </row>
    <row r="21" spans="1:25" ht="13">
      <c r="A21" s="65"/>
      <c r="B21" s="66" t="s">
        <v>136</v>
      </c>
      <c r="C21" s="66" t="s">
        <v>137</v>
      </c>
      <c r="D21" s="81" t="s">
        <v>109</v>
      </c>
      <c r="E21" s="83"/>
      <c r="F21" s="67">
        <f>'Inventory '!E1569</f>
        <v>228.16</v>
      </c>
      <c r="G21" s="68"/>
      <c r="H21" s="69"/>
      <c r="I21" s="70"/>
      <c r="J21" s="71"/>
      <c r="K21" s="75"/>
      <c r="L21" s="73"/>
      <c r="M21" s="39"/>
      <c r="N21" s="39"/>
      <c r="O21" s="39"/>
      <c r="P21" s="39"/>
      <c r="Q21" s="39"/>
      <c r="R21" s="39"/>
      <c r="S21" s="39"/>
      <c r="T21" s="39"/>
      <c r="U21" s="39"/>
      <c r="V21" s="39"/>
      <c r="W21" s="39"/>
      <c r="X21" s="39"/>
      <c r="Y21" s="39"/>
    </row>
    <row r="22" spans="1:25" ht="13">
      <c r="A22" s="65"/>
      <c r="B22" s="66" t="s">
        <v>138</v>
      </c>
      <c r="C22" s="66" t="s">
        <v>139</v>
      </c>
      <c r="D22" s="81" t="s">
        <v>109</v>
      </c>
      <c r="E22" s="83"/>
      <c r="F22" s="67">
        <f>'Inventory '!E907+'Inventory '!E940+'Inventory '!E1309+'Inventory '!E1331+'Inventory '!E1563</f>
        <v>204.15</v>
      </c>
      <c r="G22" s="68"/>
      <c r="H22" s="69"/>
      <c r="I22" s="70"/>
      <c r="J22" s="71"/>
      <c r="K22" s="75"/>
      <c r="L22" s="73"/>
      <c r="M22" s="39"/>
      <c r="N22" s="39"/>
      <c r="O22" s="39"/>
      <c r="P22" s="39"/>
      <c r="Q22" s="39"/>
      <c r="R22" s="39"/>
      <c r="S22" s="39"/>
      <c r="T22" s="39"/>
      <c r="U22" s="39"/>
      <c r="V22" s="39"/>
      <c r="W22" s="39"/>
      <c r="X22" s="39"/>
      <c r="Y22" s="39"/>
    </row>
    <row r="23" spans="1:25" ht="13">
      <c r="A23" s="65"/>
      <c r="B23" s="66" t="s">
        <v>140</v>
      </c>
      <c r="C23" s="66" t="s">
        <v>141</v>
      </c>
      <c r="D23" s="81" t="s">
        <v>109</v>
      </c>
      <c r="E23" s="83"/>
      <c r="F23" s="67">
        <f>'Inventory '!E909+'Inventory '!E918+'Inventory '!E1318+'Inventory '!E1587</f>
        <v>203.89000000000001</v>
      </c>
      <c r="G23" s="68"/>
      <c r="H23" s="69"/>
      <c r="I23" s="70"/>
      <c r="J23" s="71"/>
      <c r="K23" s="75"/>
      <c r="L23" s="73"/>
      <c r="M23" s="39"/>
      <c r="N23" s="39"/>
      <c r="O23" s="39"/>
      <c r="P23" s="39"/>
      <c r="Q23" s="39"/>
      <c r="R23" s="39"/>
      <c r="S23" s="39"/>
      <c r="T23" s="39"/>
      <c r="U23" s="39"/>
      <c r="V23" s="39"/>
      <c r="W23" s="39"/>
      <c r="X23" s="39"/>
      <c r="Y23" s="39"/>
    </row>
    <row r="24" spans="1:25" ht="13">
      <c r="A24" s="65"/>
      <c r="B24" s="66" t="s">
        <v>134</v>
      </c>
      <c r="C24" s="66" t="s">
        <v>142</v>
      </c>
      <c r="D24" s="81" t="s">
        <v>109</v>
      </c>
      <c r="E24" s="83"/>
      <c r="F24" s="67">
        <f>'Inventory '!E251+'Inventory '!E1404</f>
        <v>193.24</v>
      </c>
      <c r="G24" s="68"/>
      <c r="H24" s="69"/>
      <c r="I24" s="70"/>
      <c r="J24" s="71"/>
      <c r="K24" s="75"/>
      <c r="L24" s="73"/>
      <c r="M24" s="39"/>
      <c r="N24" s="39"/>
      <c r="O24" s="39"/>
      <c r="P24" s="39"/>
      <c r="Q24" s="39"/>
      <c r="R24" s="39"/>
      <c r="S24" s="39"/>
      <c r="T24" s="39"/>
      <c r="U24" s="39"/>
      <c r="V24" s="39"/>
      <c r="W24" s="39"/>
      <c r="X24" s="39"/>
      <c r="Y24" s="39"/>
    </row>
    <row r="25" spans="1:25" ht="13">
      <c r="A25" s="65"/>
      <c r="B25" s="66" t="s">
        <v>143</v>
      </c>
      <c r="C25" s="66" t="s">
        <v>144</v>
      </c>
      <c r="D25" s="81" t="s">
        <v>109</v>
      </c>
      <c r="E25" s="83"/>
      <c r="F25" s="67">
        <f>'Inventory '!E942+'Inventory '!E1333+'Inventory '!E1562+'Inventory '!E1562</f>
        <v>179.48</v>
      </c>
      <c r="G25" s="68"/>
      <c r="H25" s="69"/>
      <c r="I25" s="70"/>
      <c r="J25" s="71"/>
      <c r="K25" s="75"/>
      <c r="L25" s="73"/>
      <c r="M25" s="39"/>
      <c r="N25" s="39"/>
      <c r="O25" s="39"/>
      <c r="P25" s="39"/>
      <c r="Q25" s="39"/>
      <c r="R25" s="39"/>
      <c r="S25" s="39"/>
      <c r="T25" s="39"/>
      <c r="U25" s="39"/>
      <c r="V25" s="39"/>
      <c r="W25" s="39"/>
      <c r="X25" s="39"/>
      <c r="Y25" s="39"/>
    </row>
    <row r="26" spans="1:25" ht="13">
      <c r="A26" s="65"/>
      <c r="B26" s="66" t="s">
        <v>145</v>
      </c>
      <c r="C26" s="66" t="s">
        <v>146</v>
      </c>
      <c r="D26" s="81" t="s">
        <v>109</v>
      </c>
      <c r="E26" s="83"/>
      <c r="F26" s="67">
        <f>'Inventory '!E1383+'Inventory '!E1620</f>
        <v>179.1</v>
      </c>
      <c r="G26" s="68"/>
      <c r="H26" s="69"/>
      <c r="I26" s="70"/>
      <c r="J26" s="71"/>
      <c r="K26" s="75"/>
      <c r="L26" s="73"/>
      <c r="M26" s="39"/>
      <c r="N26" s="39"/>
      <c r="O26" s="39"/>
      <c r="P26" s="39"/>
      <c r="Q26" s="39"/>
      <c r="R26" s="39"/>
      <c r="S26" s="39"/>
      <c r="T26" s="39"/>
      <c r="U26" s="39"/>
      <c r="V26" s="39"/>
      <c r="W26" s="39"/>
      <c r="X26" s="39"/>
      <c r="Y26" s="39"/>
    </row>
    <row r="27" spans="1:25" ht="13">
      <c r="A27" s="65"/>
      <c r="B27" s="66" t="s">
        <v>147</v>
      </c>
      <c r="C27" s="66" t="s">
        <v>85</v>
      </c>
      <c r="D27" s="81" t="s">
        <v>109</v>
      </c>
      <c r="E27" s="83"/>
      <c r="F27" s="67">
        <f>'Inventory '!E936+'Inventory '!E1327+'Inventory '!E1558</f>
        <v>178.12</v>
      </c>
      <c r="G27" s="68"/>
      <c r="H27" s="69"/>
      <c r="I27" s="70"/>
      <c r="J27" s="71"/>
      <c r="K27" s="75"/>
      <c r="L27" s="73"/>
      <c r="M27" s="39"/>
      <c r="N27" s="39"/>
      <c r="O27" s="39"/>
      <c r="P27" s="39"/>
      <c r="Q27" s="39"/>
      <c r="R27" s="39"/>
      <c r="S27" s="39"/>
      <c r="T27" s="39"/>
      <c r="U27" s="39"/>
      <c r="V27" s="39"/>
      <c r="W27" s="39"/>
      <c r="X27" s="39"/>
      <c r="Y27" s="39"/>
    </row>
    <row r="28" spans="1:25" ht="13">
      <c r="A28" s="65"/>
      <c r="B28" s="66" t="s">
        <v>148</v>
      </c>
      <c r="C28" s="66" t="s">
        <v>149</v>
      </c>
      <c r="D28" s="81" t="s">
        <v>109</v>
      </c>
      <c r="E28" s="83"/>
      <c r="F28" s="67">
        <f>'Inventory '!E850</f>
        <v>173.88</v>
      </c>
      <c r="G28" s="68"/>
      <c r="H28" s="69"/>
      <c r="I28" s="70"/>
      <c r="J28" s="71"/>
      <c r="K28" s="75"/>
      <c r="L28" s="73"/>
      <c r="M28" s="39"/>
      <c r="N28" s="39"/>
      <c r="O28" s="39"/>
      <c r="P28" s="39"/>
      <c r="Q28" s="39"/>
      <c r="R28" s="39"/>
      <c r="S28" s="39"/>
      <c r="T28" s="39"/>
      <c r="U28" s="39"/>
      <c r="V28" s="39"/>
      <c r="W28" s="39"/>
      <c r="X28" s="39"/>
      <c r="Y28" s="39"/>
    </row>
    <row r="29" spans="1:25" ht="13">
      <c r="A29" s="65"/>
      <c r="B29" s="66" t="s">
        <v>150</v>
      </c>
      <c r="C29" s="66" t="s">
        <v>151</v>
      </c>
      <c r="D29" s="81" t="s">
        <v>109</v>
      </c>
      <c r="E29" s="83"/>
      <c r="F29" s="74">
        <f>'Inventory '!E926+'Inventory '!E906+'Inventory '!E1310+'Inventory '!E1349+'Inventory '!E1574</f>
        <v>173.09</v>
      </c>
      <c r="G29" s="68"/>
      <c r="H29" s="69"/>
      <c r="I29" s="70"/>
      <c r="J29" s="71"/>
      <c r="K29" s="75"/>
      <c r="L29" s="73"/>
      <c r="M29" s="39"/>
      <c r="N29" s="39"/>
      <c r="O29" s="39"/>
      <c r="P29" s="39"/>
      <c r="Q29" s="39"/>
      <c r="R29" s="39"/>
      <c r="S29" s="39"/>
      <c r="T29" s="39"/>
      <c r="U29" s="39"/>
      <c r="V29" s="39"/>
      <c r="W29" s="39"/>
      <c r="X29" s="39"/>
      <c r="Y29" s="39"/>
    </row>
    <row r="30" spans="1:25" ht="13">
      <c r="A30" s="65"/>
      <c r="B30" s="66" t="s">
        <v>152</v>
      </c>
      <c r="C30" s="66" t="s">
        <v>153</v>
      </c>
      <c r="D30" s="81" t="s">
        <v>109</v>
      </c>
      <c r="E30" s="83"/>
      <c r="F30" s="67">
        <f>'Inventory '!E947+'Inventory '!E1338+'Inventory '!E1567</f>
        <v>167.85</v>
      </c>
      <c r="G30" s="68"/>
      <c r="H30" s="69"/>
      <c r="I30" s="70"/>
      <c r="J30" s="71"/>
      <c r="K30" s="75"/>
      <c r="L30" s="73"/>
      <c r="M30" s="39"/>
      <c r="N30" s="39"/>
      <c r="O30" s="39"/>
      <c r="P30" s="39"/>
      <c r="Q30" s="39"/>
      <c r="R30" s="39"/>
      <c r="S30" s="39"/>
      <c r="T30" s="39"/>
      <c r="U30" s="39"/>
      <c r="V30" s="39"/>
      <c r="W30" s="39"/>
      <c r="X30" s="39"/>
      <c r="Y30" s="39"/>
    </row>
    <row r="31" spans="1:25" ht="13">
      <c r="A31" s="65"/>
      <c r="B31" s="66" t="s">
        <v>134</v>
      </c>
      <c r="C31" s="66" t="s">
        <v>154</v>
      </c>
      <c r="D31" s="81" t="s">
        <v>109</v>
      </c>
      <c r="E31" s="83"/>
      <c r="F31" s="67">
        <f>'Inventory '!E39+'Inventory '!E35</f>
        <v>121.68</v>
      </c>
      <c r="G31" s="68"/>
      <c r="H31" s="69"/>
      <c r="I31" s="70"/>
      <c r="J31" s="71"/>
      <c r="K31" s="75"/>
      <c r="L31" s="73"/>
      <c r="M31" s="39"/>
      <c r="N31" s="39"/>
      <c r="O31" s="39"/>
      <c r="P31" s="39"/>
      <c r="Q31" s="39"/>
      <c r="R31" s="39"/>
      <c r="S31" s="39"/>
      <c r="T31" s="39"/>
      <c r="U31" s="39"/>
      <c r="V31" s="39"/>
      <c r="W31" s="39"/>
      <c r="X31" s="39"/>
      <c r="Y31" s="39"/>
    </row>
    <row r="32" spans="1:25" ht="13">
      <c r="A32" s="65"/>
      <c r="B32" s="66" t="s">
        <v>155</v>
      </c>
      <c r="C32" s="66" t="s">
        <v>156</v>
      </c>
      <c r="D32" s="81" t="s">
        <v>109</v>
      </c>
      <c r="E32" s="83"/>
      <c r="F32" s="67">
        <f>'Inventory '!E1306+'Inventory '!E1571</f>
        <v>121.28</v>
      </c>
      <c r="G32" s="68"/>
      <c r="H32" s="69"/>
      <c r="I32" s="70"/>
      <c r="J32" s="71"/>
      <c r="K32" s="75"/>
      <c r="L32" s="73"/>
      <c r="M32" s="39"/>
      <c r="N32" s="39"/>
      <c r="O32" s="39"/>
      <c r="P32" s="39"/>
      <c r="Q32" s="39"/>
      <c r="R32" s="39"/>
      <c r="S32" s="39"/>
      <c r="T32" s="39"/>
      <c r="U32" s="39"/>
      <c r="V32" s="39"/>
      <c r="W32" s="39"/>
      <c r="X32" s="39"/>
      <c r="Y32" s="39"/>
    </row>
    <row r="33" spans="1:25" ht="13">
      <c r="A33" s="65"/>
      <c r="B33" s="66" t="s">
        <v>134</v>
      </c>
      <c r="C33" s="66" t="s">
        <v>157</v>
      </c>
      <c r="D33" s="81" t="s">
        <v>109</v>
      </c>
      <c r="E33" s="82"/>
      <c r="F33" s="67">
        <f>'Inventory '!E1402</f>
        <v>112.75</v>
      </c>
      <c r="G33" s="68"/>
      <c r="H33" s="69"/>
      <c r="I33" s="70"/>
      <c r="J33" s="71"/>
      <c r="K33" s="75"/>
      <c r="L33" s="73"/>
      <c r="M33" s="39"/>
      <c r="N33" s="39"/>
      <c r="O33" s="39"/>
      <c r="P33" s="39"/>
      <c r="Q33" s="39"/>
      <c r="R33" s="39"/>
      <c r="S33" s="39"/>
      <c r="T33" s="39"/>
      <c r="U33" s="39"/>
      <c r="V33" s="39"/>
      <c r="W33" s="39"/>
      <c r="X33" s="39"/>
      <c r="Y33" s="39"/>
    </row>
    <row r="34" spans="1:25" ht="13">
      <c r="A34" s="65"/>
      <c r="B34" s="66" t="s">
        <v>158</v>
      </c>
      <c r="C34" s="66" t="s">
        <v>159</v>
      </c>
      <c r="D34" s="81" t="s">
        <v>109</v>
      </c>
      <c r="E34" s="83"/>
      <c r="F34" s="67">
        <f>'Inventory '!E941+'Inventory '!E1332+'Inventory '!E1561</f>
        <v>112.74</v>
      </c>
      <c r="G34" s="68"/>
      <c r="H34" s="69"/>
      <c r="I34" s="70"/>
      <c r="J34" s="71"/>
      <c r="K34" s="75"/>
      <c r="L34" s="73"/>
      <c r="M34" s="39"/>
      <c r="N34" s="39"/>
      <c r="O34" s="39"/>
      <c r="P34" s="39"/>
      <c r="Q34" s="39"/>
      <c r="R34" s="39"/>
      <c r="S34" s="39"/>
      <c r="T34" s="39"/>
      <c r="U34" s="39"/>
      <c r="V34" s="39"/>
      <c r="W34" s="39"/>
      <c r="X34" s="39"/>
      <c r="Y34" s="39"/>
    </row>
    <row r="35" spans="1:25" ht="13">
      <c r="A35" s="65"/>
      <c r="B35" s="66" t="s">
        <v>160</v>
      </c>
      <c r="C35" s="66" t="s">
        <v>112</v>
      </c>
      <c r="D35" s="81" t="s">
        <v>109</v>
      </c>
      <c r="E35" s="83"/>
      <c r="F35" s="67">
        <f>'Inventory '!E1342+'Inventory '!E1557+'Inventory '!E1590</f>
        <v>97.9</v>
      </c>
      <c r="G35" s="68"/>
      <c r="H35" s="69"/>
      <c r="I35" s="70"/>
      <c r="J35" s="71"/>
      <c r="K35" s="75"/>
      <c r="L35" s="73"/>
      <c r="M35" s="39"/>
      <c r="N35" s="39"/>
      <c r="O35" s="39"/>
      <c r="P35" s="39"/>
      <c r="Q35" s="39"/>
      <c r="R35" s="39"/>
      <c r="S35" s="39"/>
      <c r="T35" s="39"/>
      <c r="U35" s="39"/>
      <c r="V35" s="39"/>
      <c r="W35" s="39"/>
      <c r="X35" s="39"/>
      <c r="Y35" s="39"/>
    </row>
    <row r="36" spans="1:25" ht="13">
      <c r="A36" s="65"/>
      <c r="B36" s="66" t="s">
        <v>161</v>
      </c>
      <c r="C36" s="66" t="s">
        <v>62</v>
      </c>
      <c r="D36" s="81" t="s">
        <v>109</v>
      </c>
      <c r="E36" s="83"/>
      <c r="F36" s="67">
        <f>'Inventory '!E1322+'Inventory '!E1551</f>
        <v>92.550000000000011</v>
      </c>
      <c r="G36" s="68"/>
      <c r="H36" s="69"/>
      <c r="I36" s="70"/>
      <c r="J36" s="71"/>
      <c r="K36" s="75"/>
      <c r="L36" s="73"/>
      <c r="M36" s="39"/>
      <c r="N36" s="39"/>
      <c r="O36" s="39"/>
      <c r="P36" s="39"/>
      <c r="Q36" s="39"/>
      <c r="R36" s="39"/>
      <c r="S36" s="39"/>
      <c r="T36" s="39"/>
      <c r="U36" s="39"/>
      <c r="V36" s="39"/>
      <c r="W36" s="39"/>
      <c r="X36" s="39"/>
      <c r="Y36" s="39"/>
    </row>
    <row r="37" spans="1:25" ht="13">
      <c r="A37" s="65"/>
      <c r="B37" s="66" t="s">
        <v>162</v>
      </c>
      <c r="C37" s="66" t="s">
        <v>79</v>
      </c>
      <c r="D37" s="81" t="s">
        <v>109</v>
      </c>
      <c r="E37" s="83"/>
      <c r="F37" s="67">
        <f>'Inventory '!E1339+'Inventory '!E1550+'Inventory '!E1568</f>
        <v>90.75</v>
      </c>
      <c r="G37" s="68"/>
      <c r="H37" s="69"/>
      <c r="I37" s="70"/>
      <c r="J37" s="71"/>
      <c r="K37" s="75"/>
      <c r="L37" s="73"/>
      <c r="M37" s="39"/>
      <c r="N37" s="39"/>
      <c r="O37" s="39"/>
      <c r="P37" s="39"/>
      <c r="Q37" s="39"/>
      <c r="R37" s="39"/>
      <c r="S37" s="39"/>
      <c r="T37" s="39"/>
      <c r="U37" s="39"/>
      <c r="V37" s="39"/>
      <c r="W37" s="39"/>
      <c r="X37" s="39"/>
      <c r="Y37" s="39"/>
    </row>
    <row r="38" spans="1:25" ht="13">
      <c r="A38" s="65"/>
      <c r="B38" s="66" t="s">
        <v>163</v>
      </c>
      <c r="C38" s="66" t="s">
        <v>164</v>
      </c>
      <c r="D38" s="81" t="s">
        <v>109</v>
      </c>
      <c r="E38" s="83"/>
      <c r="F38" s="67">
        <f>'Inventory '!E925+'Inventory '!E1308+'Inventory '!E1573</f>
        <v>89.67</v>
      </c>
      <c r="G38" s="68"/>
      <c r="H38" s="69"/>
      <c r="I38" s="70"/>
      <c r="J38" s="71"/>
      <c r="K38" s="75"/>
      <c r="L38" s="73"/>
      <c r="M38" s="39"/>
      <c r="N38" s="39"/>
      <c r="O38" s="39"/>
      <c r="P38" s="39"/>
      <c r="Q38" s="39"/>
      <c r="R38" s="39"/>
      <c r="S38" s="39"/>
      <c r="T38" s="39"/>
      <c r="U38" s="39"/>
      <c r="V38" s="39"/>
      <c r="W38" s="39"/>
      <c r="X38" s="39"/>
      <c r="Y38" s="39"/>
    </row>
    <row r="39" spans="1:25" ht="13">
      <c r="A39" s="65"/>
      <c r="B39" s="66" t="s">
        <v>134</v>
      </c>
      <c r="C39" s="66" t="s">
        <v>165</v>
      </c>
      <c r="D39" s="81" t="s">
        <v>109</v>
      </c>
      <c r="E39" s="83"/>
      <c r="F39" s="67">
        <f>'Inventory '!E984+'Inventory '!E1642</f>
        <v>88.12</v>
      </c>
      <c r="G39" s="68"/>
      <c r="H39" s="69"/>
      <c r="I39" s="70"/>
      <c r="J39" s="71"/>
      <c r="K39" s="75"/>
      <c r="L39" s="73"/>
      <c r="M39" s="39"/>
      <c r="N39" s="39"/>
      <c r="O39" s="39"/>
      <c r="P39" s="39"/>
      <c r="Q39" s="39"/>
      <c r="R39" s="39"/>
      <c r="S39" s="39"/>
      <c r="T39" s="39"/>
      <c r="U39" s="39"/>
      <c r="V39" s="39"/>
      <c r="W39" s="39"/>
      <c r="X39" s="39"/>
      <c r="Y39" s="39"/>
    </row>
    <row r="40" spans="1:25" ht="13">
      <c r="A40" s="65"/>
      <c r="B40" s="66" t="s">
        <v>166</v>
      </c>
      <c r="C40" s="66" t="s">
        <v>167</v>
      </c>
      <c r="D40" s="81" t="s">
        <v>109</v>
      </c>
      <c r="E40" s="83"/>
      <c r="F40" s="67">
        <f>'Inventory '!E908+'Inventory '!E1312</f>
        <v>78.680000000000007</v>
      </c>
      <c r="G40" s="68"/>
      <c r="H40" s="69"/>
      <c r="I40" s="70"/>
      <c r="J40" s="71"/>
      <c r="K40" s="75"/>
      <c r="L40" s="73"/>
      <c r="M40" s="39"/>
      <c r="N40" s="39"/>
      <c r="O40" s="39"/>
      <c r="P40" s="39"/>
      <c r="Q40" s="39"/>
      <c r="R40" s="39"/>
      <c r="S40" s="39"/>
      <c r="T40" s="39"/>
      <c r="U40" s="39"/>
      <c r="V40" s="39"/>
      <c r="W40" s="39"/>
      <c r="X40" s="39"/>
      <c r="Y40" s="39"/>
    </row>
    <row r="41" spans="1:25" ht="13">
      <c r="A41" s="65"/>
      <c r="B41" s="66" t="s">
        <v>171</v>
      </c>
      <c r="C41" s="66" t="s">
        <v>172</v>
      </c>
      <c r="D41" s="81" t="s">
        <v>109</v>
      </c>
      <c r="E41" s="83"/>
      <c r="F41" s="67">
        <f>'Inventory '!E938+'Inventory '!E1330</f>
        <v>74.819999999999993</v>
      </c>
      <c r="G41" s="68"/>
      <c r="H41" s="69"/>
      <c r="I41" s="70"/>
      <c r="J41" s="71"/>
      <c r="K41" s="75"/>
      <c r="L41" s="73"/>
      <c r="M41" s="39"/>
      <c r="N41" s="39"/>
      <c r="O41" s="39"/>
      <c r="P41" s="39"/>
      <c r="Q41" s="39"/>
      <c r="R41" s="39"/>
      <c r="S41" s="39"/>
      <c r="T41" s="39"/>
      <c r="U41" s="39"/>
      <c r="V41" s="39"/>
      <c r="W41" s="39"/>
      <c r="X41" s="39"/>
      <c r="Y41" s="39"/>
    </row>
    <row r="42" spans="1:25" ht="13">
      <c r="A42" s="65"/>
      <c r="B42" s="66" t="s">
        <v>173</v>
      </c>
      <c r="C42" s="66" t="s">
        <v>174</v>
      </c>
      <c r="D42" s="81" t="s">
        <v>109</v>
      </c>
      <c r="E42" s="83"/>
      <c r="F42" s="67">
        <f>'Inventory '!E900+'Inventory '!E1347</f>
        <v>74.489999999999995</v>
      </c>
      <c r="G42" s="68"/>
      <c r="H42" s="69"/>
      <c r="I42" s="70"/>
      <c r="J42" s="71"/>
      <c r="K42" s="75"/>
      <c r="L42" s="73"/>
      <c r="M42" s="39"/>
      <c r="N42" s="39"/>
      <c r="O42" s="39"/>
      <c r="P42" s="39"/>
      <c r="Q42" s="39"/>
      <c r="R42" s="39"/>
      <c r="S42" s="39"/>
      <c r="T42" s="39"/>
      <c r="U42" s="39"/>
      <c r="V42" s="39"/>
      <c r="W42" s="39"/>
      <c r="X42" s="39"/>
      <c r="Y42" s="39"/>
    </row>
    <row r="43" spans="1:25" ht="13">
      <c r="A43" s="65"/>
      <c r="B43" s="66" t="s">
        <v>175</v>
      </c>
      <c r="C43" s="66" t="s">
        <v>176</v>
      </c>
      <c r="D43" s="81" t="s">
        <v>109</v>
      </c>
      <c r="E43" s="82"/>
      <c r="F43" s="67">
        <f>'Inventory '!E1853</f>
        <v>71.14</v>
      </c>
      <c r="G43" s="68"/>
      <c r="H43" s="69"/>
      <c r="I43" s="70"/>
      <c r="J43" s="71"/>
      <c r="K43" s="75"/>
      <c r="L43" s="73"/>
      <c r="M43" s="39"/>
      <c r="N43" s="39"/>
      <c r="O43" s="39"/>
      <c r="P43" s="39"/>
      <c r="Q43" s="39"/>
      <c r="R43" s="39"/>
      <c r="S43" s="39"/>
      <c r="T43" s="39"/>
      <c r="U43" s="39"/>
      <c r="V43" s="39"/>
      <c r="W43" s="39"/>
      <c r="X43" s="39"/>
      <c r="Y43" s="39"/>
    </row>
    <row r="44" spans="1:25" ht="13">
      <c r="A44" s="65"/>
      <c r="B44" s="66" t="s">
        <v>177</v>
      </c>
      <c r="C44" s="66" t="s">
        <v>178</v>
      </c>
      <c r="D44" s="81" t="s">
        <v>109</v>
      </c>
      <c r="E44" s="83"/>
      <c r="F44" s="67">
        <f>'Inventory '!E922+'Inventory '!E1572</f>
        <v>70.400000000000006</v>
      </c>
      <c r="G44" s="68"/>
      <c r="H44" s="69"/>
      <c r="I44" s="70"/>
      <c r="J44" s="71"/>
      <c r="K44" s="75"/>
      <c r="L44" s="73"/>
      <c r="M44" s="39"/>
      <c r="N44" s="39"/>
      <c r="O44" s="39"/>
      <c r="P44" s="39"/>
      <c r="Q44" s="39"/>
      <c r="R44" s="39"/>
      <c r="S44" s="39"/>
      <c r="T44" s="39"/>
      <c r="U44" s="39"/>
      <c r="V44" s="39"/>
      <c r="W44" s="39"/>
      <c r="X44" s="39"/>
      <c r="Y44" s="39"/>
    </row>
    <row r="45" spans="1:25" ht="13">
      <c r="A45" s="65"/>
      <c r="B45" s="66" t="s">
        <v>179</v>
      </c>
      <c r="C45" s="66" t="s">
        <v>180</v>
      </c>
      <c r="D45" s="81" t="s">
        <v>109</v>
      </c>
      <c r="E45" s="83"/>
      <c r="F45" s="67">
        <f>'Inventory '!E944</f>
        <v>69.510000000000005</v>
      </c>
      <c r="G45" s="68"/>
      <c r="H45" s="69"/>
      <c r="I45" s="70"/>
      <c r="J45" s="71"/>
      <c r="K45" s="75"/>
      <c r="L45" s="73"/>
      <c r="M45" s="39"/>
      <c r="N45" s="39"/>
      <c r="O45" s="39"/>
      <c r="P45" s="39"/>
      <c r="Q45" s="39"/>
      <c r="R45" s="39"/>
      <c r="S45" s="39"/>
      <c r="T45" s="39"/>
      <c r="U45" s="39"/>
      <c r="V45" s="39"/>
      <c r="W45" s="39"/>
      <c r="X45" s="39"/>
      <c r="Y45" s="39"/>
    </row>
    <row r="46" spans="1:25" ht="13">
      <c r="A46" s="65"/>
      <c r="B46" s="66" t="s">
        <v>182</v>
      </c>
      <c r="C46" s="66" t="s">
        <v>183</v>
      </c>
      <c r="D46" s="81" t="s">
        <v>109</v>
      </c>
      <c r="E46" s="83"/>
      <c r="F46" s="67">
        <f>'Inventory '!E934+'Inventory '!E1359</f>
        <v>65.94</v>
      </c>
      <c r="G46" s="68"/>
      <c r="H46" s="69"/>
      <c r="I46" s="70"/>
      <c r="J46" s="71"/>
      <c r="K46" s="75"/>
      <c r="L46" s="73"/>
      <c r="M46" s="39"/>
      <c r="N46" s="39"/>
      <c r="O46" s="39"/>
      <c r="P46" s="39"/>
      <c r="Q46" s="39"/>
      <c r="R46" s="39"/>
      <c r="S46" s="39"/>
      <c r="T46" s="39"/>
      <c r="U46" s="39"/>
      <c r="V46" s="39"/>
      <c r="W46" s="39"/>
      <c r="X46" s="39"/>
      <c r="Y46" s="39"/>
    </row>
    <row r="47" spans="1:25" ht="13">
      <c r="A47" s="65"/>
      <c r="B47" s="66" t="s">
        <v>184</v>
      </c>
      <c r="C47" s="66" t="s">
        <v>185</v>
      </c>
      <c r="D47" s="81" t="s">
        <v>109</v>
      </c>
      <c r="E47" s="83"/>
      <c r="F47" s="67">
        <f>'Inventory '!E910+'Inventory '!E1351+'Inventory '!E1576</f>
        <v>65.16</v>
      </c>
      <c r="G47" s="68"/>
      <c r="H47" s="69"/>
      <c r="I47" s="70"/>
      <c r="J47" s="71"/>
      <c r="K47" s="75"/>
      <c r="L47" s="73"/>
      <c r="M47" s="39"/>
      <c r="N47" s="39"/>
      <c r="O47" s="39"/>
      <c r="P47" s="39"/>
      <c r="Q47" s="39"/>
      <c r="R47" s="39"/>
      <c r="S47" s="39"/>
      <c r="T47" s="39"/>
      <c r="U47" s="39"/>
      <c r="V47" s="39"/>
      <c r="W47" s="39"/>
      <c r="X47" s="39"/>
      <c r="Y47" s="39"/>
    </row>
    <row r="48" spans="1:25" ht="13">
      <c r="A48" s="65"/>
      <c r="B48" s="66" t="s">
        <v>186</v>
      </c>
      <c r="C48" s="66" t="s">
        <v>187</v>
      </c>
      <c r="D48" s="81" t="s">
        <v>109</v>
      </c>
      <c r="E48" s="83"/>
      <c r="F48" s="67">
        <f>'Inventory '!E1769</f>
        <v>62.31</v>
      </c>
      <c r="G48" s="68"/>
      <c r="H48" s="69"/>
      <c r="I48" s="70"/>
      <c r="J48" s="71"/>
      <c r="K48" s="75"/>
      <c r="L48" s="73"/>
      <c r="M48" s="39"/>
      <c r="N48" s="39"/>
      <c r="O48" s="39"/>
      <c r="P48" s="39"/>
      <c r="Q48" s="39"/>
      <c r="R48" s="39"/>
      <c r="S48" s="39"/>
      <c r="T48" s="39"/>
      <c r="U48" s="39"/>
      <c r="V48" s="39"/>
      <c r="W48" s="39"/>
      <c r="X48" s="39"/>
      <c r="Y48" s="39"/>
    </row>
    <row r="49" spans="1:25" ht="13">
      <c r="A49" s="65"/>
      <c r="B49" s="66" t="s">
        <v>188</v>
      </c>
      <c r="C49" s="66" t="s">
        <v>189</v>
      </c>
      <c r="D49" s="81" t="s">
        <v>109</v>
      </c>
      <c r="E49" s="83"/>
      <c r="F49" s="67">
        <f>'Inventory '!E937+'Inventory '!E1329+'Inventory '!E1560</f>
        <v>59.48</v>
      </c>
      <c r="G49" s="68"/>
      <c r="H49" s="69"/>
      <c r="I49" s="70"/>
      <c r="J49" s="71"/>
      <c r="K49" s="75"/>
      <c r="L49" s="73"/>
      <c r="M49" s="39"/>
      <c r="N49" s="39"/>
      <c r="O49" s="39"/>
      <c r="P49" s="39"/>
      <c r="Q49" s="39"/>
      <c r="R49" s="39"/>
      <c r="S49" s="39"/>
      <c r="T49" s="39"/>
      <c r="U49" s="39"/>
      <c r="V49" s="39"/>
      <c r="W49" s="39"/>
      <c r="X49" s="39"/>
      <c r="Y49" s="39"/>
    </row>
    <row r="50" spans="1:25" ht="13">
      <c r="A50" s="65"/>
      <c r="B50" s="66" t="s">
        <v>134</v>
      </c>
      <c r="C50" s="66" t="s">
        <v>190</v>
      </c>
      <c r="D50" s="81" t="s">
        <v>109</v>
      </c>
      <c r="E50" s="82" t="s">
        <v>191</v>
      </c>
      <c r="F50" s="67">
        <f>'Inventory '!E658</f>
        <v>56.76</v>
      </c>
      <c r="G50" s="68"/>
      <c r="H50" s="69"/>
      <c r="I50" s="70"/>
      <c r="J50" s="71"/>
      <c r="K50" s="75"/>
      <c r="L50" s="73"/>
      <c r="M50" s="39"/>
      <c r="N50" s="39"/>
      <c r="O50" s="39"/>
      <c r="P50" s="39"/>
      <c r="Q50" s="39"/>
      <c r="R50" s="39"/>
      <c r="S50" s="39"/>
      <c r="T50" s="39"/>
      <c r="U50" s="39"/>
      <c r="V50" s="39"/>
      <c r="W50" s="39"/>
      <c r="X50" s="39"/>
      <c r="Y50" s="39"/>
    </row>
    <row r="51" spans="1:25" ht="13">
      <c r="A51" s="65"/>
      <c r="B51" s="66" t="s">
        <v>193</v>
      </c>
      <c r="C51" s="66" t="s">
        <v>194</v>
      </c>
      <c r="D51" s="81" t="s">
        <v>109</v>
      </c>
      <c r="E51" s="83"/>
      <c r="F51" s="67">
        <f>'Inventory '!E935</f>
        <v>47.82</v>
      </c>
      <c r="G51" s="68"/>
      <c r="H51" s="69"/>
      <c r="I51" s="70"/>
      <c r="J51" s="71"/>
      <c r="K51" s="75"/>
      <c r="L51" s="73"/>
      <c r="M51" s="39"/>
      <c r="N51" s="39"/>
      <c r="O51" s="39"/>
      <c r="P51" s="39"/>
      <c r="Q51" s="39"/>
      <c r="R51" s="39"/>
      <c r="S51" s="39"/>
      <c r="T51" s="39"/>
      <c r="U51" s="39"/>
      <c r="V51" s="39"/>
      <c r="W51" s="39"/>
      <c r="X51" s="39"/>
      <c r="Y51" s="39"/>
    </row>
    <row r="52" spans="1:25" ht="13">
      <c r="A52" s="65"/>
      <c r="B52" s="66" t="s">
        <v>195</v>
      </c>
      <c r="C52" s="66" t="s">
        <v>196</v>
      </c>
      <c r="D52" s="81" t="s">
        <v>109</v>
      </c>
      <c r="E52" s="83"/>
      <c r="F52" s="67">
        <f>'Inventory '!E917+'Inventory '!E1831</f>
        <v>45.54</v>
      </c>
      <c r="G52" s="68"/>
      <c r="H52" s="69"/>
      <c r="I52" s="70"/>
      <c r="J52" s="71"/>
      <c r="K52" s="75"/>
      <c r="L52" s="73"/>
      <c r="M52" s="39"/>
      <c r="N52" s="39"/>
      <c r="O52" s="39"/>
      <c r="P52" s="39"/>
      <c r="Q52" s="39"/>
      <c r="R52" s="39"/>
      <c r="S52" s="39"/>
      <c r="T52" s="39"/>
      <c r="U52" s="39"/>
      <c r="V52" s="39"/>
      <c r="W52" s="39"/>
      <c r="X52" s="39"/>
      <c r="Y52" s="39"/>
    </row>
    <row r="53" spans="1:25" ht="13">
      <c r="A53" s="65"/>
      <c r="B53" s="66" t="s">
        <v>197</v>
      </c>
      <c r="C53" s="66" t="s">
        <v>198</v>
      </c>
      <c r="D53" s="81" t="s">
        <v>109</v>
      </c>
      <c r="E53" s="83"/>
      <c r="F53" s="67">
        <f>'Inventory '!E943+'Inventory '!E1565</f>
        <v>40.479999999999997</v>
      </c>
      <c r="G53" s="68"/>
      <c r="H53" s="69"/>
      <c r="I53" s="70"/>
      <c r="J53" s="71"/>
      <c r="K53" s="75"/>
      <c r="L53" s="73"/>
      <c r="M53" s="39"/>
      <c r="N53" s="39"/>
      <c r="O53" s="39"/>
      <c r="P53" s="39"/>
      <c r="Q53" s="39"/>
      <c r="R53" s="39"/>
      <c r="S53" s="39"/>
      <c r="T53" s="39"/>
      <c r="U53" s="39"/>
      <c r="V53" s="39"/>
      <c r="W53" s="39"/>
      <c r="X53" s="39"/>
      <c r="Y53" s="39"/>
    </row>
    <row r="54" spans="1:25" ht="13">
      <c r="A54" s="65"/>
      <c r="B54" s="66" t="s">
        <v>199</v>
      </c>
      <c r="C54" s="66" t="s">
        <v>153</v>
      </c>
      <c r="D54" s="81" t="s">
        <v>109</v>
      </c>
      <c r="E54" s="83"/>
      <c r="F54" s="67">
        <f>'Inventory '!E1577</f>
        <v>38.32</v>
      </c>
      <c r="G54" s="68"/>
      <c r="H54" s="69"/>
      <c r="I54" s="70"/>
      <c r="J54" s="71"/>
      <c r="K54" s="75"/>
      <c r="L54" s="73"/>
      <c r="M54" s="39"/>
      <c r="N54" s="39"/>
      <c r="O54" s="39"/>
      <c r="P54" s="39"/>
      <c r="Q54" s="39"/>
      <c r="R54" s="39"/>
      <c r="S54" s="39"/>
      <c r="T54" s="39"/>
      <c r="U54" s="39"/>
      <c r="V54" s="39"/>
      <c r="W54" s="39"/>
      <c r="X54" s="39"/>
      <c r="Y54" s="39"/>
    </row>
    <row r="55" spans="1:25" ht="13">
      <c r="A55" s="65"/>
      <c r="B55" s="66" t="s">
        <v>200</v>
      </c>
      <c r="C55" s="66" t="s">
        <v>201</v>
      </c>
      <c r="D55" s="81" t="s">
        <v>109</v>
      </c>
      <c r="E55" s="83"/>
      <c r="F55" s="67">
        <f>'Inventory '!E898</f>
        <v>36.89</v>
      </c>
      <c r="G55" s="68"/>
      <c r="H55" s="69"/>
      <c r="I55" s="70"/>
      <c r="J55" s="71"/>
      <c r="K55" s="75"/>
      <c r="L55" s="73"/>
      <c r="M55" s="39"/>
      <c r="N55" s="39"/>
      <c r="O55" s="39"/>
      <c r="P55" s="39"/>
      <c r="Q55" s="39"/>
      <c r="R55" s="39"/>
      <c r="S55" s="39"/>
      <c r="T55" s="39"/>
      <c r="U55" s="39"/>
      <c r="V55" s="39"/>
      <c r="W55" s="39"/>
      <c r="X55" s="39"/>
      <c r="Y55" s="39"/>
    </row>
    <row r="56" spans="1:25" ht="13">
      <c r="A56" s="65"/>
      <c r="B56" s="66" t="s">
        <v>134</v>
      </c>
      <c r="C56" s="66" t="s">
        <v>202</v>
      </c>
      <c r="D56" s="81" t="s">
        <v>109</v>
      </c>
      <c r="E56" s="83"/>
      <c r="F56" s="67">
        <f>'Inventory '!E656</f>
        <v>36.54</v>
      </c>
      <c r="G56" s="68"/>
      <c r="H56" s="69"/>
      <c r="I56" s="70"/>
      <c r="J56" s="71"/>
      <c r="K56" s="75"/>
      <c r="L56" s="73"/>
      <c r="M56" s="39"/>
      <c r="N56" s="39"/>
      <c r="O56" s="39"/>
      <c r="P56" s="39"/>
      <c r="Q56" s="39"/>
      <c r="R56" s="39"/>
      <c r="S56" s="39"/>
      <c r="T56" s="39"/>
      <c r="U56" s="39"/>
      <c r="V56" s="39"/>
      <c r="W56" s="39"/>
      <c r="X56" s="39"/>
      <c r="Y56" s="39"/>
    </row>
    <row r="57" spans="1:25" ht="13">
      <c r="A57" s="65"/>
      <c r="B57" s="66" t="s">
        <v>203</v>
      </c>
      <c r="C57" s="66" t="s">
        <v>204</v>
      </c>
      <c r="D57" s="81" t="s">
        <v>109</v>
      </c>
      <c r="E57" s="83"/>
      <c r="F57" s="67">
        <f>'Inventory '!E946</f>
        <v>35.24</v>
      </c>
      <c r="G57" s="68"/>
      <c r="H57" s="69"/>
      <c r="I57" s="70"/>
      <c r="J57" s="71"/>
      <c r="K57" s="75"/>
      <c r="L57" s="73"/>
      <c r="M57" s="39"/>
      <c r="N57" s="39"/>
      <c r="O57" s="39"/>
      <c r="P57" s="39"/>
      <c r="Q57" s="39"/>
      <c r="R57" s="39"/>
      <c r="S57" s="39"/>
      <c r="T57" s="39"/>
      <c r="U57" s="39"/>
      <c r="V57" s="39"/>
      <c r="W57" s="39"/>
      <c r="X57" s="39"/>
      <c r="Y57" s="39"/>
    </row>
    <row r="58" spans="1:25" ht="13">
      <c r="A58" s="65"/>
      <c r="B58" s="66" t="s">
        <v>206</v>
      </c>
      <c r="C58" s="66" t="s">
        <v>207</v>
      </c>
      <c r="D58" s="81" t="s">
        <v>109</v>
      </c>
      <c r="E58" s="83"/>
      <c r="F58" s="67">
        <f>'Inventory '!E1348+'Inventory '!E1580</f>
        <v>34.04</v>
      </c>
      <c r="G58" s="68"/>
      <c r="H58" s="69"/>
      <c r="I58" s="70"/>
      <c r="J58" s="71"/>
      <c r="K58" s="75"/>
      <c r="L58" s="73"/>
      <c r="M58" s="39"/>
      <c r="N58" s="39"/>
      <c r="O58" s="39"/>
      <c r="P58" s="39"/>
      <c r="Q58" s="39"/>
      <c r="R58" s="39"/>
      <c r="S58" s="39"/>
      <c r="T58" s="39"/>
      <c r="U58" s="39"/>
      <c r="V58" s="39"/>
      <c r="W58" s="39"/>
      <c r="X58" s="39"/>
      <c r="Y58" s="39"/>
    </row>
    <row r="59" spans="1:25" ht="13">
      <c r="A59" s="65"/>
      <c r="B59" s="66" t="s">
        <v>208</v>
      </c>
      <c r="C59" s="66" t="s">
        <v>209</v>
      </c>
      <c r="D59" s="81" t="s">
        <v>109</v>
      </c>
      <c r="E59" s="83"/>
      <c r="F59" s="67">
        <f>'Inventory '!E1564</f>
        <v>32</v>
      </c>
      <c r="G59" s="68"/>
      <c r="H59" s="69"/>
      <c r="I59" s="70"/>
      <c r="J59" s="71"/>
      <c r="K59" s="75"/>
      <c r="L59" s="73"/>
      <c r="M59" s="39"/>
      <c r="N59" s="39"/>
      <c r="O59" s="39"/>
      <c r="P59" s="39"/>
      <c r="Q59" s="39"/>
      <c r="R59" s="39"/>
      <c r="S59" s="39"/>
      <c r="T59" s="39"/>
      <c r="U59" s="39"/>
      <c r="V59" s="39"/>
      <c r="W59" s="39"/>
      <c r="X59" s="39"/>
      <c r="Y59" s="39"/>
    </row>
    <row r="60" spans="1:25" ht="13">
      <c r="A60" s="65"/>
      <c r="B60" s="66" t="s">
        <v>210</v>
      </c>
      <c r="C60" s="66" t="s">
        <v>211</v>
      </c>
      <c r="D60" s="81" t="s">
        <v>109</v>
      </c>
      <c r="E60" s="83"/>
      <c r="F60" s="67">
        <f>'Inventory '!E1829</f>
        <v>31.48</v>
      </c>
      <c r="G60" s="68"/>
      <c r="H60" s="69"/>
      <c r="I60" s="70"/>
      <c r="J60" s="71"/>
      <c r="K60" s="75"/>
      <c r="L60" s="73"/>
      <c r="M60" s="39"/>
      <c r="N60" s="39"/>
      <c r="O60" s="39"/>
      <c r="P60" s="39"/>
      <c r="Q60" s="39"/>
      <c r="R60" s="39"/>
      <c r="S60" s="39"/>
      <c r="T60" s="39"/>
      <c r="U60" s="39"/>
      <c r="V60" s="39"/>
      <c r="W60" s="39"/>
      <c r="X60" s="39"/>
      <c r="Y60" s="39"/>
    </row>
    <row r="61" spans="1:25" ht="13">
      <c r="A61" s="65"/>
      <c r="B61" s="66" t="s">
        <v>134</v>
      </c>
      <c r="C61" s="66" t="s">
        <v>212</v>
      </c>
      <c r="D61" s="81" t="s">
        <v>109</v>
      </c>
      <c r="E61" s="82" t="s">
        <v>213</v>
      </c>
      <c r="F61" s="67">
        <f>'Inventory '!E437</f>
        <v>28.38</v>
      </c>
      <c r="G61" s="68"/>
      <c r="H61" s="69"/>
      <c r="I61" s="70"/>
      <c r="J61" s="71"/>
      <c r="K61" s="75"/>
      <c r="L61" s="73"/>
      <c r="M61" s="39"/>
      <c r="N61" s="39"/>
      <c r="O61" s="39"/>
      <c r="P61" s="39"/>
      <c r="Q61" s="39"/>
      <c r="R61" s="39"/>
      <c r="S61" s="39"/>
      <c r="T61" s="39"/>
      <c r="U61" s="39"/>
      <c r="V61" s="39"/>
      <c r="W61" s="39"/>
      <c r="X61" s="39"/>
      <c r="Y61" s="39"/>
    </row>
    <row r="62" spans="1:25" ht="13">
      <c r="A62" s="65"/>
      <c r="B62" s="66" t="s">
        <v>214</v>
      </c>
      <c r="C62" s="66" t="s">
        <v>215</v>
      </c>
      <c r="D62" s="81" t="s">
        <v>109</v>
      </c>
      <c r="E62" s="83"/>
      <c r="F62" s="67">
        <f>'Inventory '!E1547</f>
        <v>27.6</v>
      </c>
      <c r="G62" s="68"/>
      <c r="H62" s="69"/>
      <c r="I62" s="70"/>
      <c r="J62" s="71"/>
      <c r="K62" s="75"/>
      <c r="L62" s="73"/>
      <c r="M62" s="39"/>
      <c r="N62" s="39"/>
      <c r="O62" s="39"/>
      <c r="P62" s="39"/>
      <c r="Q62" s="39"/>
      <c r="R62" s="39"/>
      <c r="S62" s="39"/>
      <c r="T62" s="39"/>
      <c r="U62" s="39"/>
      <c r="V62" s="39"/>
      <c r="W62" s="39"/>
      <c r="X62" s="39"/>
      <c r="Y62" s="39"/>
    </row>
    <row r="63" spans="1:25" ht="13">
      <c r="A63" s="65"/>
      <c r="B63" s="66" t="s">
        <v>216</v>
      </c>
      <c r="C63" s="66" t="s">
        <v>217</v>
      </c>
      <c r="D63" s="81" t="s">
        <v>109</v>
      </c>
      <c r="E63" s="83"/>
      <c r="F63" s="67">
        <f>'Inventory '!E1815</f>
        <v>24.36</v>
      </c>
      <c r="G63" s="68"/>
      <c r="H63" s="69"/>
      <c r="I63" s="70"/>
      <c r="J63" s="71"/>
      <c r="K63" s="75"/>
      <c r="L63" s="73"/>
      <c r="M63" s="39"/>
      <c r="N63" s="39"/>
      <c r="O63" s="39"/>
      <c r="P63" s="39"/>
      <c r="Q63" s="39"/>
      <c r="R63" s="39"/>
      <c r="S63" s="39"/>
      <c r="T63" s="39"/>
      <c r="U63" s="39"/>
      <c r="V63" s="39"/>
      <c r="W63" s="39"/>
      <c r="X63" s="39"/>
      <c r="Y63" s="39"/>
    </row>
    <row r="64" spans="1:25" ht="13">
      <c r="A64" s="65"/>
      <c r="B64" s="66" t="s">
        <v>218</v>
      </c>
      <c r="C64" s="66" t="s">
        <v>219</v>
      </c>
      <c r="D64" s="81" t="s">
        <v>109</v>
      </c>
      <c r="E64" s="83"/>
      <c r="F64" s="67">
        <f>'Inventory '!E1546</f>
        <v>23.4</v>
      </c>
      <c r="G64" s="68"/>
      <c r="H64" s="69"/>
      <c r="I64" s="70"/>
      <c r="J64" s="71"/>
      <c r="K64" s="75"/>
      <c r="L64" s="73"/>
      <c r="M64" s="39"/>
      <c r="N64" s="39"/>
      <c r="O64" s="39"/>
      <c r="P64" s="39"/>
      <c r="Q64" s="39"/>
      <c r="R64" s="39"/>
      <c r="S64" s="39"/>
      <c r="T64" s="39"/>
      <c r="U64" s="39"/>
      <c r="V64" s="39"/>
      <c r="W64" s="39"/>
      <c r="X64" s="39"/>
      <c r="Y64" s="39"/>
    </row>
    <row r="65" spans="1:25" ht="13">
      <c r="A65" s="65"/>
      <c r="B65" s="66" t="s">
        <v>220</v>
      </c>
      <c r="C65" s="66" t="s">
        <v>221</v>
      </c>
      <c r="D65" s="81" t="s">
        <v>109</v>
      </c>
      <c r="E65" s="83"/>
      <c r="F65" s="67">
        <f>'Inventory '!E912</f>
        <v>20.7</v>
      </c>
      <c r="G65" s="68"/>
      <c r="H65" s="69"/>
      <c r="I65" s="70"/>
      <c r="J65" s="71"/>
      <c r="K65" s="75"/>
      <c r="L65" s="73"/>
      <c r="M65" s="39"/>
      <c r="N65" s="39"/>
      <c r="O65" s="39"/>
      <c r="P65" s="39"/>
      <c r="Q65" s="39"/>
      <c r="R65" s="39"/>
      <c r="S65" s="39"/>
      <c r="T65" s="39"/>
      <c r="U65" s="39"/>
      <c r="V65" s="39"/>
      <c r="W65" s="39"/>
      <c r="X65" s="39"/>
      <c r="Y65" s="39"/>
    </row>
    <row r="66" spans="1:25" ht="13">
      <c r="A66" s="65"/>
      <c r="B66" s="66" t="s">
        <v>222</v>
      </c>
      <c r="C66" s="66" t="s">
        <v>223</v>
      </c>
      <c r="D66" s="81" t="s">
        <v>109</v>
      </c>
      <c r="E66" s="83"/>
      <c r="F66" s="67">
        <f>'Inventory '!E904</f>
        <v>17.09</v>
      </c>
      <c r="G66" s="68"/>
      <c r="H66" s="69"/>
      <c r="I66" s="70"/>
      <c r="J66" s="71"/>
      <c r="K66" s="75"/>
      <c r="L66" s="73"/>
      <c r="M66" s="39"/>
      <c r="N66" s="39"/>
      <c r="O66" s="39"/>
      <c r="P66" s="39"/>
      <c r="Q66" s="39"/>
      <c r="R66" s="39"/>
      <c r="S66" s="39"/>
      <c r="T66" s="39"/>
      <c r="U66" s="39"/>
      <c r="V66" s="39"/>
      <c r="W66" s="39"/>
      <c r="X66" s="39"/>
      <c r="Y66" s="39"/>
    </row>
    <row r="67" spans="1:25" ht="13">
      <c r="A67" s="65"/>
      <c r="B67" s="66" t="s">
        <v>224</v>
      </c>
      <c r="C67" s="66" t="s">
        <v>225</v>
      </c>
      <c r="D67" s="81" t="s">
        <v>109</v>
      </c>
      <c r="E67" s="83"/>
      <c r="F67" s="67">
        <f>'Inventory '!E1334</f>
        <v>14.06</v>
      </c>
      <c r="G67" s="68"/>
      <c r="H67" s="69"/>
      <c r="I67" s="70"/>
      <c r="J67" s="71"/>
      <c r="K67" s="75"/>
      <c r="L67" s="73"/>
      <c r="M67" s="39"/>
      <c r="N67" s="39"/>
      <c r="O67" s="39"/>
      <c r="P67" s="39"/>
      <c r="Q67" s="39"/>
      <c r="R67" s="39"/>
      <c r="S67" s="39"/>
      <c r="T67" s="39"/>
      <c r="U67" s="39"/>
      <c r="V67" s="39"/>
      <c r="W67" s="39"/>
      <c r="X67" s="39"/>
      <c r="Y67" s="39"/>
    </row>
    <row r="68" spans="1:25" ht="13">
      <c r="A68" s="65"/>
      <c r="B68" s="141" t="s">
        <v>226</v>
      </c>
      <c r="C68" s="141" t="s">
        <v>227</v>
      </c>
      <c r="D68" s="142" t="s">
        <v>109</v>
      </c>
      <c r="E68" s="143"/>
      <c r="F68" s="144">
        <f>'Inventory '!E915</f>
        <v>13.03</v>
      </c>
      <c r="G68" s="68"/>
      <c r="H68" s="69"/>
      <c r="I68" s="70"/>
      <c r="J68" s="71"/>
      <c r="K68" s="75"/>
      <c r="L68" s="73"/>
      <c r="M68" s="39"/>
      <c r="N68" s="39"/>
      <c r="O68" s="39"/>
      <c r="P68" s="39"/>
      <c r="Q68" s="39"/>
      <c r="R68" s="39"/>
      <c r="S68" s="39"/>
      <c r="T68" s="39"/>
      <c r="U68" s="39"/>
      <c r="V68" s="39"/>
      <c r="W68" s="39"/>
      <c r="X68" s="39"/>
      <c r="Y68" s="39"/>
    </row>
    <row r="69" spans="1:25" ht="13">
      <c r="A69" s="65"/>
      <c r="B69" s="145" t="s">
        <v>228</v>
      </c>
      <c r="C69" s="145" t="s">
        <v>229</v>
      </c>
      <c r="D69" s="146" t="s">
        <v>109</v>
      </c>
      <c r="E69" s="147"/>
      <c r="F69" s="148">
        <f>'Inventory '!E1346</f>
        <v>10.62</v>
      </c>
      <c r="G69" s="68"/>
      <c r="H69" s="69"/>
      <c r="I69" s="70"/>
      <c r="J69" s="71"/>
      <c r="K69" s="75"/>
      <c r="L69" s="73"/>
      <c r="M69" s="39"/>
      <c r="N69" s="39"/>
      <c r="O69" s="39"/>
      <c r="P69" s="39"/>
      <c r="Q69" s="39"/>
      <c r="R69" s="39"/>
      <c r="S69" s="39"/>
      <c r="T69" s="39"/>
      <c r="U69" s="39"/>
      <c r="V69" s="39"/>
      <c r="W69" s="39"/>
      <c r="X69" s="39"/>
      <c r="Y69" s="39"/>
    </row>
    <row r="70" spans="1:25" ht="13">
      <c r="A70" s="65"/>
      <c r="B70" s="149" t="s">
        <v>842</v>
      </c>
      <c r="C70" s="149" t="s">
        <v>843</v>
      </c>
      <c r="D70" s="149" t="s">
        <v>844</v>
      </c>
      <c r="E70" s="150">
        <v>43709</v>
      </c>
      <c r="F70" s="149">
        <v>5792.72</v>
      </c>
      <c r="G70" s="68"/>
      <c r="H70" s="69"/>
      <c r="I70" s="70"/>
      <c r="J70" s="71"/>
      <c r="K70" s="75"/>
      <c r="L70" s="73"/>
      <c r="M70" s="39"/>
      <c r="N70" s="39"/>
      <c r="O70" s="39"/>
      <c r="P70" s="39"/>
      <c r="Q70" s="39"/>
      <c r="R70" s="39"/>
      <c r="S70" s="39"/>
      <c r="T70" s="39"/>
      <c r="U70" s="39"/>
      <c r="V70" s="39"/>
      <c r="W70" s="39"/>
      <c r="X70" s="39"/>
      <c r="Y70" s="39"/>
    </row>
    <row r="71" spans="1:25" ht="13">
      <c r="A71" s="65"/>
      <c r="B71" s="149" t="s">
        <v>845</v>
      </c>
      <c r="C71" s="149" t="s">
        <v>846</v>
      </c>
      <c r="D71" s="149" t="s">
        <v>844</v>
      </c>
      <c r="E71" s="150">
        <v>43709</v>
      </c>
      <c r="F71" s="149">
        <v>1783.65</v>
      </c>
      <c r="G71" s="68"/>
      <c r="H71" s="69"/>
      <c r="I71" s="70"/>
      <c r="J71" s="71"/>
      <c r="K71" s="75"/>
      <c r="L71" s="73"/>
      <c r="M71" s="39"/>
      <c r="N71" s="39"/>
      <c r="O71" s="39"/>
      <c r="P71" s="39"/>
      <c r="Q71" s="39"/>
      <c r="R71" s="39"/>
      <c r="S71" s="39"/>
      <c r="T71" s="39"/>
      <c r="U71" s="39"/>
      <c r="V71" s="39"/>
      <c r="W71" s="39"/>
      <c r="X71" s="39"/>
      <c r="Y71" s="39"/>
    </row>
    <row r="72" spans="1:25" ht="13">
      <c r="A72" s="65"/>
      <c r="B72" s="149" t="s">
        <v>847</v>
      </c>
      <c r="C72" s="149" t="s">
        <v>848</v>
      </c>
      <c r="D72" s="149" t="s">
        <v>849</v>
      </c>
      <c r="E72" s="150">
        <v>43709</v>
      </c>
      <c r="F72" s="149">
        <v>610.79999999999995</v>
      </c>
      <c r="G72" s="68"/>
      <c r="H72" s="69"/>
      <c r="I72" s="70"/>
      <c r="J72" s="71"/>
      <c r="K72" s="75"/>
      <c r="L72" s="73"/>
      <c r="M72" s="39"/>
      <c r="N72" s="39"/>
      <c r="O72" s="39"/>
      <c r="P72" s="39"/>
      <c r="Q72" s="39"/>
      <c r="R72" s="39"/>
      <c r="S72" s="39"/>
      <c r="T72" s="39"/>
      <c r="U72" s="39"/>
      <c r="V72" s="39"/>
      <c r="W72" s="39"/>
      <c r="X72" s="39"/>
      <c r="Y72" s="39"/>
    </row>
    <row r="73" spans="1:25" ht="13">
      <c r="A73" s="65"/>
      <c r="B73" s="149" t="s">
        <v>850</v>
      </c>
      <c r="C73" s="149" t="s">
        <v>851</v>
      </c>
      <c r="D73" s="149" t="s">
        <v>849</v>
      </c>
      <c r="E73" s="150">
        <v>43709</v>
      </c>
      <c r="F73" s="149">
        <v>398.2</v>
      </c>
      <c r="G73" s="68"/>
      <c r="H73" s="69"/>
      <c r="I73" s="70"/>
      <c r="J73" s="71"/>
      <c r="K73" s="75"/>
      <c r="L73" s="73"/>
      <c r="M73" s="39"/>
      <c r="N73" s="39"/>
      <c r="O73" s="39"/>
      <c r="P73" s="39"/>
      <c r="Q73" s="39"/>
      <c r="R73" s="39"/>
      <c r="S73" s="39"/>
      <c r="T73" s="39"/>
      <c r="U73" s="39"/>
      <c r="V73" s="39"/>
      <c r="W73" s="39"/>
      <c r="X73" s="39"/>
      <c r="Y73" s="39"/>
    </row>
    <row r="74" spans="1:25" ht="13">
      <c r="A74" s="65"/>
      <c r="B74" s="149" t="s">
        <v>852</v>
      </c>
      <c r="C74" s="149" t="s">
        <v>853</v>
      </c>
      <c r="D74" s="149" t="s">
        <v>849</v>
      </c>
      <c r="E74" s="150">
        <v>43709</v>
      </c>
      <c r="F74" s="149">
        <v>340.02</v>
      </c>
      <c r="G74" s="68"/>
      <c r="H74" s="69"/>
      <c r="I74" s="70"/>
      <c r="J74" s="71"/>
      <c r="K74" s="75"/>
      <c r="L74" s="73"/>
      <c r="M74" s="39"/>
      <c r="N74" s="39"/>
      <c r="O74" s="39"/>
      <c r="P74" s="39"/>
      <c r="Q74" s="39"/>
      <c r="R74" s="39"/>
      <c r="S74" s="39"/>
      <c r="T74" s="39"/>
      <c r="U74" s="39"/>
      <c r="V74" s="39"/>
      <c r="W74" s="39"/>
      <c r="X74" s="39"/>
      <c r="Y74" s="39"/>
    </row>
    <row r="75" spans="1:25" ht="13">
      <c r="A75" s="65"/>
      <c r="B75" s="149" t="s">
        <v>854</v>
      </c>
      <c r="C75" s="149" t="s">
        <v>855</v>
      </c>
      <c r="D75" s="149" t="s">
        <v>849</v>
      </c>
      <c r="E75" s="150">
        <v>43709</v>
      </c>
      <c r="F75" s="149">
        <v>281.01</v>
      </c>
      <c r="G75" s="68"/>
      <c r="H75" s="69"/>
      <c r="I75" s="70"/>
      <c r="J75" s="71"/>
      <c r="K75" s="75"/>
      <c r="L75" s="73"/>
      <c r="M75" s="39"/>
      <c r="N75" s="39"/>
      <c r="O75" s="39"/>
      <c r="P75" s="39"/>
      <c r="Q75" s="39"/>
      <c r="R75" s="39"/>
      <c r="S75" s="39"/>
      <c r="T75" s="39"/>
      <c r="U75" s="39"/>
      <c r="V75" s="39"/>
      <c r="W75" s="39"/>
      <c r="X75" s="39"/>
      <c r="Y75" s="39"/>
    </row>
    <row r="76" spans="1:25" ht="13">
      <c r="A76" s="65"/>
      <c r="B76" s="149" t="s">
        <v>856</v>
      </c>
      <c r="C76" s="149" t="s">
        <v>857</v>
      </c>
      <c r="D76" s="149" t="s">
        <v>849</v>
      </c>
      <c r="E76" s="150">
        <v>43709</v>
      </c>
      <c r="F76" s="149">
        <v>262.44</v>
      </c>
      <c r="G76" s="68"/>
      <c r="H76" s="69"/>
      <c r="I76" s="70"/>
      <c r="J76" s="71"/>
      <c r="K76" s="75"/>
      <c r="L76" s="73"/>
      <c r="M76" s="39"/>
      <c r="N76" s="39"/>
      <c r="O76" s="39"/>
      <c r="P76" s="39"/>
      <c r="Q76" s="39"/>
      <c r="R76" s="39"/>
      <c r="S76" s="39"/>
      <c r="T76" s="39"/>
      <c r="U76" s="39"/>
      <c r="V76" s="39"/>
      <c r="W76" s="39"/>
      <c r="X76" s="39"/>
      <c r="Y76" s="39"/>
    </row>
    <row r="77" spans="1:25" ht="13">
      <c r="A77" s="3"/>
      <c r="B77" s="149" t="s">
        <v>858</v>
      </c>
      <c r="C77" s="149" t="s">
        <v>859</v>
      </c>
      <c r="D77" s="149" t="s">
        <v>844</v>
      </c>
      <c r="E77" s="150">
        <v>43709</v>
      </c>
      <c r="F77" s="149">
        <v>183.2</v>
      </c>
      <c r="G77" s="3"/>
    </row>
    <row r="78" spans="1:25" ht="13">
      <c r="A78" s="3"/>
      <c r="B78" s="149" t="s">
        <v>860</v>
      </c>
      <c r="C78" s="149" t="s">
        <v>861</v>
      </c>
      <c r="D78" s="149" t="s">
        <v>849</v>
      </c>
      <c r="E78" s="150">
        <v>43709</v>
      </c>
      <c r="F78" s="149">
        <v>169.81</v>
      </c>
      <c r="G78" s="3"/>
    </row>
    <row r="79" spans="1:25" ht="13">
      <c r="A79" s="3"/>
      <c r="B79" s="149" t="s">
        <v>852</v>
      </c>
      <c r="C79" s="149" t="s">
        <v>862</v>
      </c>
      <c r="D79" s="149" t="s">
        <v>849</v>
      </c>
      <c r="E79" s="150">
        <v>43709</v>
      </c>
      <c r="F79" s="149">
        <v>106.56</v>
      </c>
      <c r="G79" s="3"/>
    </row>
    <row r="80" spans="1:25" ht="13">
      <c r="A80" s="3"/>
      <c r="B80" s="149" t="s">
        <v>850</v>
      </c>
      <c r="C80" s="149" t="s">
        <v>863</v>
      </c>
      <c r="D80" s="149" t="s">
        <v>849</v>
      </c>
      <c r="E80" s="150">
        <v>43709</v>
      </c>
      <c r="F80" s="149">
        <v>73.459999999999994</v>
      </c>
      <c r="G80" s="3"/>
    </row>
    <row r="81" spans="1:7" ht="13">
      <c r="A81" s="3"/>
      <c r="B81" s="149" t="s">
        <v>842</v>
      </c>
      <c r="C81" s="149" t="s">
        <v>864</v>
      </c>
      <c r="D81" s="149" t="s">
        <v>844</v>
      </c>
      <c r="E81" s="150">
        <v>43862</v>
      </c>
      <c r="F81" s="149">
        <v>6184.12</v>
      </c>
      <c r="G81" s="3"/>
    </row>
    <row r="82" spans="1:7" ht="13">
      <c r="A82" s="3"/>
      <c r="B82" s="149" t="s">
        <v>852</v>
      </c>
      <c r="C82" s="149" t="s">
        <v>853</v>
      </c>
      <c r="D82" s="149" t="s">
        <v>849</v>
      </c>
      <c r="E82" s="150">
        <v>43862</v>
      </c>
      <c r="F82" s="149">
        <v>2175.12</v>
      </c>
      <c r="G82" s="3"/>
    </row>
    <row r="83" spans="1:7" ht="13">
      <c r="A83" s="3"/>
      <c r="B83" s="149" t="s">
        <v>865</v>
      </c>
      <c r="C83" s="149" t="s">
        <v>866</v>
      </c>
      <c r="D83" s="149" t="s">
        <v>844</v>
      </c>
      <c r="E83" s="150">
        <v>43862</v>
      </c>
      <c r="F83" s="149">
        <v>1776</v>
      </c>
      <c r="G83" s="3"/>
    </row>
    <row r="84" spans="1:7" ht="13">
      <c r="A84" s="3"/>
      <c r="B84" s="149" t="s">
        <v>845</v>
      </c>
      <c r="C84" s="149" t="s">
        <v>846</v>
      </c>
      <c r="D84" s="149" t="s">
        <v>844</v>
      </c>
      <c r="E84" s="150">
        <v>43862</v>
      </c>
      <c r="F84" s="149">
        <v>1631.85</v>
      </c>
      <c r="G84" s="3"/>
    </row>
    <row r="85" spans="1:7" ht="13">
      <c r="A85" s="3"/>
      <c r="B85" s="149" t="s">
        <v>854</v>
      </c>
      <c r="C85" s="149" t="s">
        <v>855</v>
      </c>
      <c r="D85" s="149" t="s">
        <v>849</v>
      </c>
      <c r="E85" s="150">
        <v>43862</v>
      </c>
      <c r="F85" s="149">
        <v>745.68</v>
      </c>
      <c r="G85" s="3"/>
    </row>
    <row r="86" spans="1:7" ht="13">
      <c r="A86" s="3"/>
      <c r="B86" s="149" t="s">
        <v>858</v>
      </c>
      <c r="C86" s="149" t="s">
        <v>867</v>
      </c>
      <c r="D86" s="149" t="s">
        <v>844</v>
      </c>
      <c r="E86" s="150">
        <v>43862</v>
      </c>
      <c r="F86" s="149">
        <v>274.8</v>
      </c>
      <c r="G86" s="3"/>
    </row>
    <row r="87" spans="1:7" ht="13">
      <c r="A87" s="3"/>
      <c r="B87" s="149" t="s">
        <v>850</v>
      </c>
      <c r="C87" s="149" t="s">
        <v>851</v>
      </c>
      <c r="D87" s="149" t="s">
        <v>849</v>
      </c>
      <c r="E87" s="150">
        <v>43862</v>
      </c>
      <c r="F87" s="149">
        <v>253.55</v>
      </c>
      <c r="G87" s="3"/>
    </row>
    <row r="88" spans="1:7" ht="13">
      <c r="A88" s="3"/>
      <c r="B88" s="149" t="s">
        <v>850</v>
      </c>
      <c r="C88" s="149" t="s">
        <v>863</v>
      </c>
      <c r="D88" s="149" t="s">
        <v>849</v>
      </c>
      <c r="E88" s="150">
        <v>43862</v>
      </c>
      <c r="F88" s="149">
        <v>228.18</v>
      </c>
      <c r="G88" s="3"/>
    </row>
    <row r="89" spans="1:7" ht="13">
      <c r="A89" s="3"/>
      <c r="B89" s="151"/>
      <c r="C89" s="151"/>
      <c r="D89" s="151"/>
      <c r="E89" s="151"/>
      <c r="F89" s="152"/>
      <c r="G89" s="3"/>
    </row>
    <row r="90" spans="1:7" ht="13">
      <c r="A90" s="3"/>
      <c r="B90" s="151"/>
      <c r="C90" s="151"/>
      <c r="D90" s="151"/>
      <c r="E90" s="151"/>
      <c r="F90" s="152"/>
      <c r="G90" s="3"/>
    </row>
    <row r="91" spans="1:7" ht="13">
      <c r="A91" s="3"/>
      <c r="B91" s="3"/>
      <c r="C91" s="3"/>
      <c r="D91" s="3"/>
      <c r="E91" s="3"/>
      <c r="F91" s="14"/>
      <c r="G91" s="3"/>
    </row>
    <row r="92" spans="1:7" ht="13">
      <c r="A92" s="3"/>
      <c r="B92" s="3"/>
      <c r="C92" s="3"/>
      <c r="D92" s="3"/>
      <c r="E92" s="3"/>
      <c r="F92" s="14"/>
      <c r="G92" s="3"/>
    </row>
    <row r="93" spans="1:7" ht="13">
      <c r="A93" s="3"/>
      <c r="B93" s="3"/>
      <c r="C93" s="3"/>
      <c r="D93" s="3"/>
      <c r="E93" s="3"/>
      <c r="F93" s="14"/>
      <c r="G93" s="3"/>
    </row>
    <row r="94" spans="1:7" ht="13">
      <c r="A94" s="3"/>
      <c r="B94" s="3"/>
      <c r="C94" s="3"/>
      <c r="D94" s="3"/>
      <c r="E94" s="3"/>
      <c r="F94" s="14"/>
      <c r="G94" s="3"/>
    </row>
    <row r="95" spans="1:7" ht="13">
      <c r="A95" s="3"/>
      <c r="B95" s="3"/>
      <c r="C95" s="3"/>
      <c r="D95" s="3"/>
      <c r="E95" s="3"/>
      <c r="F95" s="14"/>
      <c r="G95" s="3"/>
    </row>
    <row r="96" spans="1:7" ht="13">
      <c r="A96" s="3"/>
      <c r="B96" s="3"/>
      <c r="C96" s="3"/>
      <c r="D96" s="3"/>
      <c r="E96" s="3"/>
      <c r="F96" s="14"/>
      <c r="G96" s="3"/>
    </row>
    <row r="97" spans="1:7" ht="13">
      <c r="A97" s="3"/>
      <c r="B97" s="3"/>
      <c r="C97" s="3"/>
      <c r="D97" s="3"/>
      <c r="E97" s="3"/>
      <c r="F97" s="14"/>
      <c r="G97" s="3"/>
    </row>
    <row r="98" spans="1:7" ht="13">
      <c r="A98" s="3"/>
      <c r="B98" s="3"/>
      <c r="C98" s="3"/>
      <c r="D98" s="3"/>
      <c r="E98" s="3"/>
      <c r="F98" s="14"/>
      <c r="G98" s="3"/>
    </row>
    <row r="99" spans="1:7" ht="13">
      <c r="A99" s="3"/>
      <c r="B99" s="3"/>
      <c r="C99" s="3"/>
      <c r="D99" s="3"/>
      <c r="E99" s="3"/>
      <c r="F99" s="14"/>
      <c r="G99" s="3"/>
    </row>
    <row r="100" spans="1:7" ht="13">
      <c r="A100" s="3"/>
      <c r="B100" s="3"/>
      <c r="C100" s="3"/>
      <c r="D100" s="3"/>
      <c r="E100" s="3"/>
      <c r="F100" s="14"/>
      <c r="G100" s="3"/>
    </row>
    <row r="101" spans="1:7" ht="13">
      <c r="A101" s="3"/>
      <c r="B101" s="3"/>
      <c r="C101" s="3"/>
      <c r="D101" s="3"/>
      <c r="E101" s="3"/>
      <c r="F101" s="14"/>
      <c r="G101" s="3"/>
    </row>
    <row r="102" spans="1:7" ht="13">
      <c r="A102" s="3"/>
      <c r="B102" s="3"/>
      <c r="C102" s="3"/>
      <c r="D102" s="3"/>
      <c r="E102" s="3"/>
      <c r="F102" s="14"/>
      <c r="G102" s="3"/>
    </row>
    <row r="103" spans="1:7" ht="13">
      <c r="A103" s="3"/>
      <c r="B103" s="3"/>
      <c r="C103" s="3"/>
      <c r="D103" s="3"/>
      <c r="E103" s="3"/>
      <c r="F103" s="14"/>
      <c r="G103" s="3"/>
    </row>
    <row r="104" spans="1:7" ht="13">
      <c r="A104" s="3"/>
      <c r="B104" s="3"/>
      <c r="C104" s="3"/>
      <c r="D104" s="3"/>
      <c r="E104" s="3"/>
      <c r="F104" s="14"/>
      <c r="G104" s="3"/>
    </row>
    <row r="105" spans="1:7" ht="13">
      <c r="A105" s="3"/>
      <c r="B105" s="3"/>
      <c r="C105" s="3"/>
      <c r="D105" s="3"/>
      <c r="E105" s="3"/>
      <c r="F105" s="14"/>
      <c r="G105" s="3"/>
    </row>
    <row r="106" spans="1:7" ht="13">
      <c r="A106" s="3"/>
      <c r="B106" s="3"/>
      <c r="C106" s="3"/>
      <c r="D106" s="3"/>
      <c r="E106" s="3"/>
      <c r="F106" s="14"/>
      <c r="G106" s="3"/>
    </row>
    <row r="107" spans="1:7" ht="13">
      <c r="A107" s="3"/>
      <c r="B107" s="3"/>
      <c r="C107" s="3"/>
      <c r="D107" s="3"/>
      <c r="E107" s="3"/>
      <c r="F107" s="14"/>
      <c r="G107" s="3"/>
    </row>
    <row r="108" spans="1:7" ht="13">
      <c r="A108" s="3"/>
      <c r="B108" s="3"/>
      <c r="C108" s="3"/>
      <c r="D108" s="3"/>
      <c r="E108" s="3"/>
      <c r="F108" s="14"/>
      <c r="G108" s="3"/>
    </row>
    <row r="109" spans="1:7" ht="13">
      <c r="A109" s="3"/>
      <c r="B109" s="3"/>
      <c r="C109" s="3"/>
      <c r="D109" s="3"/>
      <c r="E109" s="3"/>
      <c r="F109" s="14"/>
      <c r="G109" s="3"/>
    </row>
    <row r="110" spans="1:7" ht="13">
      <c r="A110" s="3"/>
      <c r="B110" s="3"/>
      <c r="C110" s="3"/>
      <c r="D110" s="3"/>
      <c r="E110" s="3"/>
      <c r="F110" s="14"/>
      <c r="G110" s="3"/>
    </row>
    <row r="111" spans="1:7" ht="13">
      <c r="A111" s="3"/>
      <c r="B111" s="3"/>
      <c r="C111" s="3"/>
      <c r="D111" s="3"/>
      <c r="E111" s="3"/>
      <c r="F111" s="14"/>
      <c r="G111" s="3"/>
    </row>
    <row r="112" spans="1:7" ht="13">
      <c r="A112" s="3"/>
      <c r="B112" s="3"/>
      <c r="C112" s="3"/>
      <c r="D112" s="3"/>
      <c r="E112" s="3"/>
      <c r="F112" s="14"/>
      <c r="G112" s="3"/>
    </row>
    <row r="113" spans="1:7" ht="13">
      <c r="A113" s="3"/>
      <c r="B113" s="3"/>
      <c r="C113" s="3"/>
      <c r="D113" s="3"/>
      <c r="E113" s="3"/>
      <c r="F113" s="14"/>
      <c r="G113" s="3"/>
    </row>
    <row r="114" spans="1:7" ht="13">
      <c r="A114" s="3"/>
      <c r="B114" s="3"/>
      <c r="C114" s="3"/>
      <c r="D114" s="3"/>
      <c r="E114" s="3"/>
      <c r="F114" s="14"/>
      <c r="G114" s="3"/>
    </row>
    <row r="115" spans="1:7" ht="13">
      <c r="A115" s="3"/>
      <c r="B115" s="3"/>
      <c r="C115" s="3"/>
      <c r="D115" s="3"/>
      <c r="E115" s="3"/>
      <c r="F115" s="14"/>
      <c r="G115" s="3"/>
    </row>
    <row r="116" spans="1:7" ht="13">
      <c r="A116" s="3"/>
      <c r="B116" s="3"/>
      <c r="C116" s="3"/>
      <c r="D116" s="3"/>
      <c r="E116" s="3"/>
      <c r="F116" s="14"/>
      <c r="G116" s="3"/>
    </row>
    <row r="117" spans="1:7" ht="13">
      <c r="A117" s="3"/>
      <c r="B117" s="3"/>
      <c r="C117" s="3"/>
      <c r="D117" s="3"/>
      <c r="E117" s="3"/>
      <c r="F117" s="14"/>
      <c r="G117" s="3"/>
    </row>
    <row r="118" spans="1:7" ht="13">
      <c r="A118" s="3"/>
      <c r="B118" s="3"/>
      <c r="C118" s="3"/>
      <c r="D118" s="3"/>
      <c r="E118" s="3"/>
      <c r="F118" s="14"/>
      <c r="G118" s="3"/>
    </row>
    <row r="119" spans="1:7" ht="13">
      <c r="A119" s="3"/>
      <c r="B119" s="3"/>
      <c r="C119" s="3"/>
      <c r="D119" s="3"/>
      <c r="E119" s="3"/>
      <c r="F119" s="14"/>
      <c r="G119" s="3"/>
    </row>
    <row r="120" spans="1:7" ht="13">
      <c r="A120" s="3"/>
      <c r="B120" s="3"/>
      <c r="C120" s="3"/>
      <c r="D120" s="3"/>
      <c r="E120" s="3"/>
      <c r="F120" s="14"/>
      <c r="G120" s="3"/>
    </row>
    <row r="121" spans="1:7" ht="13">
      <c r="A121" s="3"/>
      <c r="B121" s="3"/>
      <c r="C121" s="3"/>
      <c r="D121" s="3"/>
      <c r="E121" s="3"/>
      <c r="F121" s="14"/>
      <c r="G121" s="3"/>
    </row>
    <row r="122" spans="1:7" ht="13">
      <c r="A122" s="3"/>
      <c r="B122" s="3"/>
      <c r="C122" s="3"/>
      <c r="D122" s="3"/>
      <c r="E122" s="3"/>
      <c r="F122" s="14"/>
      <c r="G122" s="3"/>
    </row>
    <row r="123" spans="1:7" ht="13">
      <c r="A123" s="3"/>
      <c r="B123" s="3"/>
      <c r="C123" s="3"/>
      <c r="D123" s="3"/>
      <c r="E123" s="3"/>
      <c r="F123" s="14"/>
      <c r="G123" s="3"/>
    </row>
    <row r="124" spans="1:7" ht="13">
      <c r="A124" s="3"/>
      <c r="B124" s="3"/>
      <c r="C124" s="3"/>
      <c r="D124" s="3"/>
      <c r="E124" s="3"/>
      <c r="F124" s="14"/>
      <c r="G124" s="3"/>
    </row>
    <row r="125" spans="1:7" ht="13">
      <c r="A125" s="3"/>
      <c r="B125" s="3"/>
      <c r="C125" s="3"/>
      <c r="D125" s="3"/>
      <c r="E125" s="3"/>
      <c r="F125" s="14"/>
      <c r="G125" s="3"/>
    </row>
    <row r="126" spans="1:7" ht="13">
      <c r="A126" s="3"/>
      <c r="B126" s="3"/>
      <c r="C126" s="3"/>
      <c r="D126" s="3"/>
      <c r="E126" s="3"/>
      <c r="F126" s="14"/>
      <c r="G126" s="3"/>
    </row>
    <row r="127" spans="1:7" ht="13">
      <c r="A127" s="3"/>
      <c r="B127" s="3"/>
      <c r="C127" s="3"/>
      <c r="D127" s="3"/>
      <c r="E127" s="3"/>
      <c r="F127" s="14"/>
      <c r="G127" s="3"/>
    </row>
    <row r="128" spans="1:7" ht="13">
      <c r="A128" s="3"/>
      <c r="B128" s="3"/>
      <c r="C128" s="3"/>
      <c r="D128" s="3"/>
      <c r="E128" s="3"/>
      <c r="F128" s="14"/>
      <c r="G128" s="3"/>
    </row>
    <row r="129" spans="1:7" ht="13">
      <c r="A129" s="3"/>
      <c r="B129" s="3"/>
      <c r="C129" s="3"/>
      <c r="D129" s="3"/>
      <c r="E129" s="3"/>
      <c r="F129" s="14"/>
      <c r="G129" s="3"/>
    </row>
    <row r="130" spans="1:7" ht="13">
      <c r="A130" s="3"/>
      <c r="B130" s="3"/>
      <c r="C130" s="3"/>
      <c r="D130" s="3"/>
      <c r="E130" s="3"/>
      <c r="F130" s="14"/>
      <c r="G130" s="3"/>
    </row>
    <row r="131" spans="1:7" ht="13">
      <c r="A131" s="3"/>
      <c r="B131" s="3"/>
      <c r="C131" s="3"/>
      <c r="D131" s="3"/>
      <c r="E131" s="3"/>
      <c r="F131" s="14"/>
      <c r="G131" s="3"/>
    </row>
    <row r="132" spans="1:7" ht="13">
      <c r="A132" s="3"/>
      <c r="B132" s="3"/>
      <c r="C132" s="3"/>
      <c r="D132" s="3"/>
      <c r="E132" s="3"/>
      <c r="F132" s="14"/>
      <c r="G132" s="3"/>
    </row>
    <row r="133" spans="1:7" ht="13">
      <c r="A133" s="3"/>
      <c r="B133" s="3"/>
      <c r="C133" s="3"/>
      <c r="D133" s="3"/>
      <c r="E133" s="3"/>
      <c r="F133" s="14"/>
      <c r="G133" s="3"/>
    </row>
    <row r="134" spans="1:7" ht="13">
      <c r="A134" s="3"/>
      <c r="B134" s="3"/>
      <c r="C134" s="3"/>
      <c r="D134" s="3"/>
      <c r="E134" s="3"/>
      <c r="F134" s="14"/>
      <c r="G134" s="3"/>
    </row>
    <row r="135" spans="1:7" ht="13">
      <c r="A135" s="3"/>
      <c r="B135" s="3"/>
      <c r="C135" s="3"/>
      <c r="D135" s="3"/>
      <c r="E135" s="3"/>
      <c r="F135" s="14"/>
      <c r="G135" s="3"/>
    </row>
    <row r="136" spans="1:7" ht="13">
      <c r="A136" s="3"/>
      <c r="B136" s="3"/>
      <c r="C136" s="3"/>
      <c r="D136" s="3"/>
      <c r="E136" s="3"/>
      <c r="F136" s="14"/>
      <c r="G136" s="3"/>
    </row>
    <row r="137" spans="1:7" ht="13">
      <c r="A137" s="3"/>
      <c r="B137" s="3"/>
      <c r="C137" s="3"/>
      <c r="D137" s="3"/>
      <c r="E137" s="3"/>
      <c r="F137" s="14"/>
      <c r="G137" s="3"/>
    </row>
    <row r="138" spans="1:7" ht="13">
      <c r="A138" s="3"/>
      <c r="B138" s="3"/>
      <c r="C138" s="3"/>
      <c r="D138" s="3"/>
      <c r="E138" s="3"/>
      <c r="F138" s="14"/>
      <c r="G138" s="3"/>
    </row>
    <row r="139" spans="1:7" ht="13">
      <c r="A139" s="3"/>
      <c r="B139" s="3"/>
      <c r="C139" s="3"/>
      <c r="D139" s="3"/>
      <c r="E139" s="3"/>
      <c r="F139" s="14"/>
      <c r="G139" s="3"/>
    </row>
    <row r="140" spans="1:7" ht="13">
      <c r="A140" s="3"/>
      <c r="B140" s="3"/>
      <c r="C140" s="3"/>
      <c r="D140" s="3"/>
      <c r="E140" s="3"/>
      <c r="F140" s="14"/>
      <c r="G140" s="3"/>
    </row>
    <row r="141" spans="1:7" ht="13">
      <c r="A141" s="3"/>
      <c r="B141" s="3"/>
      <c r="C141" s="3"/>
      <c r="D141" s="3"/>
      <c r="E141" s="3"/>
      <c r="F141" s="14"/>
      <c r="G141" s="3"/>
    </row>
    <row r="142" spans="1:7" ht="13">
      <c r="A142" s="3"/>
      <c r="B142" s="3"/>
      <c r="C142" s="3"/>
      <c r="D142" s="3"/>
      <c r="E142" s="3"/>
      <c r="F142" s="14"/>
      <c r="G142" s="3"/>
    </row>
    <row r="143" spans="1:7" ht="13">
      <c r="A143" s="3"/>
      <c r="B143" s="3"/>
      <c r="C143" s="3"/>
      <c r="D143" s="3"/>
      <c r="E143" s="3"/>
      <c r="F143" s="14"/>
      <c r="G143" s="3"/>
    </row>
    <row r="144" spans="1:7" ht="13">
      <c r="A144" s="3"/>
      <c r="B144" s="3"/>
      <c r="C144" s="3"/>
      <c r="D144" s="3"/>
      <c r="E144" s="3"/>
      <c r="F144" s="14"/>
      <c r="G144" s="3"/>
    </row>
    <row r="145" spans="1:7" ht="13">
      <c r="A145" s="3"/>
      <c r="B145" s="3"/>
      <c r="C145" s="3"/>
      <c r="D145" s="3"/>
      <c r="E145" s="3"/>
      <c r="F145" s="14"/>
      <c r="G145" s="3"/>
    </row>
    <row r="146" spans="1:7" ht="13">
      <c r="A146" s="3"/>
      <c r="B146" s="3"/>
      <c r="C146" s="3"/>
      <c r="D146" s="3"/>
      <c r="E146" s="3"/>
      <c r="F146" s="14"/>
      <c r="G146" s="3"/>
    </row>
    <row r="147" spans="1:7" ht="13">
      <c r="A147" s="3"/>
      <c r="B147" s="3"/>
      <c r="C147" s="3"/>
      <c r="D147" s="3"/>
      <c r="E147" s="3"/>
      <c r="F147" s="14"/>
      <c r="G147" s="3"/>
    </row>
    <row r="148" spans="1:7" ht="13">
      <c r="A148" s="3"/>
      <c r="B148" s="3"/>
      <c r="C148" s="3"/>
      <c r="D148" s="3"/>
      <c r="E148" s="3"/>
      <c r="F148" s="14"/>
      <c r="G148" s="3"/>
    </row>
    <row r="149" spans="1:7" ht="13">
      <c r="A149" s="3"/>
      <c r="B149" s="3"/>
      <c r="C149" s="3"/>
      <c r="D149" s="3"/>
      <c r="E149" s="3"/>
      <c r="F149" s="14"/>
      <c r="G149" s="3"/>
    </row>
    <row r="150" spans="1:7" ht="13">
      <c r="A150" s="3"/>
      <c r="B150" s="3"/>
      <c r="C150" s="3"/>
      <c r="D150" s="3"/>
      <c r="E150" s="3"/>
      <c r="F150" s="14"/>
      <c r="G150" s="3"/>
    </row>
    <row r="151" spans="1:7" ht="13">
      <c r="A151" s="3"/>
      <c r="B151" s="3"/>
      <c r="C151" s="3"/>
      <c r="D151" s="3"/>
      <c r="E151" s="3"/>
      <c r="F151" s="14"/>
      <c r="G151" s="3"/>
    </row>
    <row r="152" spans="1:7" ht="13">
      <c r="A152" s="3"/>
      <c r="B152" s="3"/>
      <c r="C152" s="3"/>
      <c r="D152" s="3"/>
      <c r="E152" s="3"/>
      <c r="F152" s="14"/>
      <c r="G152" s="3"/>
    </row>
    <row r="153" spans="1:7" ht="13">
      <c r="A153" s="3"/>
      <c r="B153" s="3"/>
      <c r="C153" s="3"/>
      <c r="D153" s="3"/>
      <c r="E153" s="3"/>
      <c r="F153" s="14"/>
      <c r="G153" s="3"/>
    </row>
    <row r="154" spans="1:7" ht="13">
      <c r="A154" s="3"/>
      <c r="B154" s="3"/>
      <c r="C154" s="3"/>
      <c r="D154" s="3"/>
      <c r="E154" s="3"/>
      <c r="F154" s="14"/>
      <c r="G154" s="3"/>
    </row>
    <row r="155" spans="1:7" ht="13">
      <c r="A155" s="3"/>
      <c r="B155" s="3"/>
      <c r="C155" s="3"/>
      <c r="D155" s="3"/>
      <c r="E155" s="3"/>
      <c r="F155" s="14"/>
      <c r="G155" s="3"/>
    </row>
    <row r="156" spans="1:7" ht="13">
      <c r="A156" s="3"/>
      <c r="B156" s="3"/>
      <c r="C156" s="3"/>
      <c r="D156" s="3"/>
      <c r="E156" s="3"/>
      <c r="F156" s="14"/>
      <c r="G156" s="3"/>
    </row>
    <row r="157" spans="1:7" ht="13">
      <c r="A157" s="3"/>
      <c r="B157" s="3"/>
      <c r="C157" s="3"/>
      <c r="D157" s="3"/>
      <c r="E157" s="3"/>
      <c r="F157" s="14"/>
      <c r="G157" s="3"/>
    </row>
    <row r="158" spans="1:7" ht="13">
      <c r="A158" s="3"/>
      <c r="B158" s="3"/>
      <c r="C158" s="3"/>
      <c r="D158" s="3"/>
      <c r="E158" s="3"/>
      <c r="F158" s="14"/>
      <c r="G158" s="3"/>
    </row>
    <row r="159" spans="1:7" ht="13">
      <c r="A159" s="3"/>
      <c r="B159" s="3"/>
      <c r="C159" s="3"/>
      <c r="D159" s="3"/>
      <c r="E159" s="3"/>
      <c r="F159" s="14"/>
      <c r="G159" s="3"/>
    </row>
    <row r="160" spans="1:7" ht="13">
      <c r="A160" s="3"/>
      <c r="B160" s="3"/>
      <c r="C160" s="3"/>
      <c r="D160" s="3"/>
      <c r="E160" s="3"/>
      <c r="F160" s="14"/>
      <c r="G160" s="3"/>
    </row>
    <row r="161" spans="1:7" ht="13">
      <c r="A161" s="3"/>
      <c r="B161" s="3"/>
      <c r="C161" s="3"/>
      <c r="D161" s="3"/>
      <c r="E161" s="3"/>
      <c r="F161" s="14"/>
      <c r="G161" s="3"/>
    </row>
    <row r="162" spans="1:7" ht="13">
      <c r="A162" s="3"/>
      <c r="B162" s="3"/>
      <c r="C162" s="3"/>
      <c r="D162" s="3"/>
      <c r="E162" s="3"/>
      <c r="F162" s="14"/>
      <c r="G162" s="3"/>
    </row>
    <row r="163" spans="1:7" ht="13">
      <c r="A163" s="3"/>
      <c r="B163" s="3"/>
      <c r="C163" s="3"/>
      <c r="D163" s="3"/>
      <c r="E163" s="3"/>
      <c r="F163" s="14"/>
      <c r="G163" s="3"/>
    </row>
    <row r="164" spans="1:7" ht="13">
      <c r="A164" s="3"/>
      <c r="B164" s="3"/>
      <c r="C164" s="3"/>
      <c r="D164" s="3"/>
      <c r="E164" s="3"/>
      <c r="F164" s="14"/>
      <c r="G164" s="3"/>
    </row>
    <row r="165" spans="1:7" ht="13">
      <c r="A165" s="3"/>
      <c r="B165" s="3"/>
      <c r="C165" s="3"/>
      <c r="D165" s="3"/>
      <c r="E165" s="3"/>
      <c r="F165" s="14"/>
      <c r="G165" s="3"/>
    </row>
    <row r="166" spans="1:7" ht="13">
      <c r="A166" s="3"/>
      <c r="B166" s="3"/>
      <c r="C166" s="3"/>
      <c r="D166" s="3"/>
      <c r="E166" s="3"/>
      <c r="F166" s="14"/>
      <c r="G166" s="3"/>
    </row>
    <row r="167" spans="1:7" ht="13">
      <c r="A167" s="3"/>
      <c r="B167" s="3"/>
      <c r="C167" s="3"/>
      <c r="D167" s="3"/>
      <c r="E167" s="3"/>
      <c r="F167" s="14"/>
      <c r="G167" s="3"/>
    </row>
    <row r="168" spans="1:7" ht="13">
      <c r="A168" s="3"/>
      <c r="B168" s="3"/>
      <c r="C168" s="3"/>
      <c r="D168" s="3"/>
      <c r="E168" s="3"/>
      <c r="F168" s="14"/>
      <c r="G168" s="3"/>
    </row>
    <row r="169" spans="1:7" ht="13">
      <c r="A169" s="3"/>
      <c r="B169" s="3"/>
      <c r="C169" s="3"/>
      <c r="D169" s="3"/>
      <c r="E169" s="3"/>
      <c r="F169" s="14"/>
      <c r="G169" s="3"/>
    </row>
    <row r="170" spans="1:7" ht="13">
      <c r="A170" s="3"/>
      <c r="B170" s="3"/>
      <c r="C170" s="3"/>
      <c r="D170" s="3"/>
      <c r="E170" s="3"/>
      <c r="F170" s="14"/>
      <c r="G170" s="3"/>
    </row>
    <row r="171" spans="1:7" ht="13">
      <c r="A171" s="3"/>
      <c r="B171" s="3"/>
      <c r="C171" s="3"/>
      <c r="D171" s="3"/>
      <c r="E171" s="3"/>
      <c r="F171" s="14"/>
      <c r="G171" s="3"/>
    </row>
    <row r="172" spans="1:7" ht="13">
      <c r="A172" s="3"/>
      <c r="B172" s="3"/>
      <c r="C172" s="3"/>
      <c r="D172" s="3"/>
      <c r="E172" s="3"/>
      <c r="F172" s="14"/>
      <c r="G172" s="3"/>
    </row>
    <row r="173" spans="1:7" ht="13">
      <c r="A173" s="3"/>
      <c r="B173" s="3"/>
      <c r="C173" s="3"/>
      <c r="D173" s="3"/>
      <c r="E173" s="3"/>
      <c r="F173" s="14"/>
      <c r="G173" s="3"/>
    </row>
    <row r="174" spans="1:7" ht="13">
      <c r="A174" s="3"/>
      <c r="B174" s="3"/>
      <c r="C174" s="3"/>
      <c r="D174" s="3"/>
      <c r="E174" s="3"/>
      <c r="F174" s="14"/>
      <c r="G174" s="3"/>
    </row>
    <row r="175" spans="1:7" ht="13">
      <c r="A175" s="3"/>
      <c r="B175" s="3"/>
      <c r="C175" s="3"/>
      <c r="D175" s="3"/>
      <c r="E175" s="3"/>
      <c r="F175" s="14"/>
      <c r="G175" s="3"/>
    </row>
    <row r="176" spans="1:7" ht="13">
      <c r="A176" s="3"/>
      <c r="B176" s="3"/>
      <c r="C176" s="3"/>
      <c r="D176" s="3"/>
      <c r="E176" s="3"/>
      <c r="F176" s="14"/>
      <c r="G176" s="3"/>
    </row>
    <row r="177" spans="1:7" ht="13">
      <c r="A177" s="3"/>
      <c r="B177" s="3"/>
      <c r="C177" s="3"/>
      <c r="D177" s="3"/>
      <c r="E177" s="3"/>
      <c r="F177" s="14"/>
      <c r="G177" s="3"/>
    </row>
    <row r="178" spans="1:7" ht="13">
      <c r="A178" s="3"/>
      <c r="B178" s="3"/>
      <c r="C178" s="3"/>
      <c r="D178" s="3"/>
      <c r="E178" s="3"/>
      <c r="F178" s="14"/>
      <c r="G178" s="3"/>
    </row>
    <row r="179" spans="1:7" ht="13">
      <c r="A179" s="3"/>
      <c r="B179" s="3"/>
      <c r="C179" s="3"/>
      <c r="D179" s="3"/>
      <c r="E179" s="3"/>
      <c r="F179" s="14"/>
      <c r="G179" s="3"/>
    </row>
    <row r="180" spans="1:7" ht="13">
      <c r="A180" s="3"/>
      <c r="B180" s="3"/>
      <c r="C180" s="3"/>
      <c r="D180" s="3"/>
      <c r="E180" s="3"/>
      <c r="F180" s="14"/>
      <c r="G180" s="3"/>
    </row>
    <row r="181" spans="1:7" ht="13">
      <c r="A181" s="3"/>
      <c r="B181" s="3"/>
      <c r="C181" s="3"/>
      <c r="D181" s="3"/>
      <c r="E181" s="3"/>
      <c r="F181" s="14"/>
      <c r="G181" s="3"/>
    </row>
    <row r="182" spans="1:7" ht="13">
      <c r="A182" s="3"/>
      <c r="B182" s="3"/>
      <c r="C182" s="3"/>
      <c r="D182" s="3"/>
      <c r="E182" s="3"/>
      <c r="F182" s="14"/>
      <c r="G182" s="3"/>
    </row>
    <row r="183" spans="1:7" ht="13">
      <c r="A183" s="3"/>
      <c r="B183" s="3"/>
      <c r="C183" s="3"/>
      <c r="D183" s="3"/>
      <c r="E183" s="3"/>
      <c r="F183" s="14"/>
      <c r="G183" s="3"/>
    </row>
    <row r="184" spans="1:7" ht="13">
      <c r="A184" s="3"/>
      <c r="B184" s="3"/>
      <c r="C184" s="3"/>
      <c r="D184" s="3"/>
      <c r="E184" s="3"/>
      <c r="F184" s="14"/>
      <c r="G184" s="3"/>
    </row>
    <row r="185" spans="1:7" ht="13">
      <c r="A185" s="3"/>
      <c r="B185" s="3"/>
      <c r="C185" s="3"/>
      <c r="D185" s="3"/>
      <c r="E185" s="3"/>
      <c r="F185" s="14"/>
      <c r="G185" s="3"/>
    </row>
    <row r="186" spans="1:7" ht="13">
      <c r="A186" s="3"/>
      <c r="B186" s="3"/>
      <c r="C186" s="3"/>
      <c r="D186" s="3"/>
      <c r="E186" s="3"/>
      <c r="F186" s="14"/>
      <c r="G186" s="3"/>
    </row>
    <row r="187" spans="1:7" ht="13">
      <c r="A187" s="3"/>
      <c r="B187" s="3"/>
      <c r="C187" s="3"/>
      <c r="D187" s="3"/>
      <c r="E187" s="3"/>
      <c r="F187" s="14"/>
      <c r="G187" s="3"/>
    </row>
    <row r="188" spans="1:7" ht="13">
      <c r="A188" s="3"/>
      <c r="B188" s="3"/>
      <c r="C188" s="3"/>
      <c r="D188" s="3"/>
      <c r="E188" s="3"/>
      <c r="F188" s="14"/>
      <c r="G188" s="3"/>
    </row>
    <row r="189" spans="1:7" ht="13">
      <c r="A189" s="3"/>
      <c r="B189" s="3"/>
      <c r="C189" s="3"/>
      <c r="D189" s="3"/>
      <c r="E189" s="3"/>
      <c r="F189" s="14"/>
      <c r="G189" s="3"/>
    </row>
    <row r="190" spans="1:7" ht="13">
      <c r="A190" s="3"/>
      <c r="B190" s="3"/>
      <c r="C190" s="3"/>
      <c r="D190" s="3"/>
      <c r="E190" s="3"/>
      <c r="F190" s="14"/>
      <c r="G190" s="3"/>
    </row>
    <row r="191" spans="1:7" ht="13">
      <c r="A191" s="3"/>
      <c r="B191" s="3"/>
      <c r="C191" s="3"/>
      <c r="D191" s="3"/>
      <c r="E191" s="3"/>
      <c r="F191" s="14"/>
      <c r="G191" s="3"/>
    </row>
    <row r="192" spans="1:7" ht="13">
      <c r="A192" s="3"/>
      <c r="B192" s="3"/>
      <c r="C192" s="3"/>
      <c r="D192" s="3"/>
      <c r="E192" s="3"/>
      <c r="F192" s="14"/>
      <c r="G192" s="3"/>
    </row>
    <row r="193" spans="1:7" ht="13">
      <c r="A193" s="3"/>
      <c r="B193" s="3"/>
      <c r="C193" s="3"/>
      <c r="D193" s="3"/>
      <c r="E193" s="3"/>
      <c r="F193" s="14"/>
      <c r="G193" s="3"/>
    </row>
    <row r="194" spans="1:7" ht="13">
      <c r="A194" s="3"/>
      <c r="B194" s="3"/>
      <c r="C194" s="3"/>
      <c r="D194" s="3"/>
      <c r="E194" s="3"/>
      <c r="F194" s="14"/>
      <c r="G194" s="3"/>
    </row>
    <row r="195" spans="1:7" ht="13">
      <c r="A195" s="3"/>
      <c r="B195" s="3"/>
      <c r="C195" s="3"/>
      <c r="D195" s="3"/>
      <c r="E195" s="3"/>
      <c r="F195" s="14"/>
      <c r="G195" s="3"/>
    </row>
    <row r="196" spans="1:7" ht="13">
      <c r="A196" s="3"/>
      <c r="B196" s="3"/>
      <c r="C196" s="3"/>
      <c r="D196" s="3"/>
      <c r="E196" s="3"/>
      <c r="F196" s="14"/>
      <c r="G196" s="3"/>
    </row>
    <row r="197" spans="1:7" ht="13">
      <c r="A197" s="3"/>
      <c r="B197" s="3"/>
      <c r="C197" s="3"/>
      <c r="D197" s="3"/>
      <c r="E197" s="3"/>
      <c r="F197" s="14"/>
      <c r="G197" s="3"/>
    </row>
    <row r="198" spans="1:7" ht="13">
      <c r="A198" s="3"/>
      <c r="B198" s="3"/>
      <c r="C198" s="3"/>
      <c r="D198" s="3"/>
      <c r="E198" s="3"/>
      <c r="F198" s="14"/>
      <c r="G198" s="3"/>
    </row>
    <row r="199" spans="1:7" ht="13">
      <c r="A199" s="3"/>
      <c r="B199" s="3"/>
      <c r="C199" s="3"/>
      <c r="D199" s="3"/>
      <c r="E199" s="3"/>
      <c r="F199" s="14"/>
      <c r="G199" s="3"/>
    </row>
    <row r="200" spans="1:7" ht="13">
      <c r="A200" s="3"/>
      <c r="B200" s="3"/>
      <c r="C200" s="3"/>
      <c r="D200" s="3"/>
      <c r="E200" s="3"/>
      <c r="F200" s="14"/>
      <c r="G200" s="3"/>
    </row>
    <row r="201" spans="1:7" ht="13">
      <c r="A201" s="3"/>
      <c r="B201" s="3"/>
      <c r="C201" s="3"/>
      <c r="D201" s="3"/>
      <c r="E201" s="3"/>
      <c r="F201" s="14"/>
      <c r="G201" s="3"/>
    </row>
    <row r="202" spans="1:7" ht="13">
      <c r="A202" s="3"/>
      <c r="B202" s="3"/>
      <c r="C202" s="3"/>
      <c r="D202" s="3"/>
      <c r="E202" s="3"/>
      <c r="F202" s="14"/>
      <c r="G202" s="3"/>
    </row>
    <row r="203" spans="1:7" ht="13">
      <c r="A203" s="3"/>
      <c r="B203" s="3"/>
      <c r="C203" s="3"/>
      <c r="D203" s="3"/>
      <c r="E203" s="3"/>
      <c r="F203" s="14"/>
      <c r="G203" s="3"/>
    </row>
    <row r="204" spans="1:7" ht="13">
      <c r="A204" s="3"/>
      <c r="B204" s="3"/>
      <c r="C204" s="3"/>
      <c r="D204" s="3"/>
      <c r="E204" s="3"/>
      <c r="F204" s="14"/>
      <c r="G204" s="3"/>
    </row>
    <row r="205" spans="1:7" ht="13">
      <c r="A205" s="3"/>
      <c r="B205" s="3"/>
      <c r="C205" s="3"/>
      <c r="D205" s="3"/>
      <c r="E205" s="3"/>
      <c r="F205" s="14"/>
      <c r="G205" s="3"/>
    </row>
    <row r="206" spans="1:7" ht="13">
      <c r="A206" s="3"/>
      <c r="B206" s="3"/>
      <c r="C206" s="3"/>
      <c r="D206" s="3"/>
      <c r="E206" s="3"/>
      <c r="F206" s="14"/>
      <c r="G206" s="3"/>
    </row>
    <row r="207" spans="1:7" ht="13">
      <c r="A207" s="3"/>
      <c r="B207" s="3"/>
      <c r="C207" s="3"/>
      <c r="D207" s="3"/>
      <c r="E207" s="3"/>
      <c r="F207" s="14"/>
      <c r="G207" s="3"/>
    </row>
    <row r="208" spans="1:7" ht="13">
      <c r="A208" s="3"/>
      <c r="B208" s="3"/>
      <c r="C208" s="3"/>
      <c r="D208" s="3"/>
      <c r="E208" s="3"/>
      <c r="F208" s="14"/>
      <c r="G208" s="3"/>
    </row>
    <row r="209" spans="1:7" ht="13">
      <c r="A209" s="3"/>
      <c r="B209" s="3"/>
      <c r="C209" s="3"/>
      <c r="D209" s="3"/>
      <c r="E209" s="3"/>
      <c r="F209" s="14"/>
      <c r="G209" s="3"/>
    </row>
    <row r="210" spans="1:7" ht="13">
      <c r="A210" s="3"/>
      <c r="B210" s="3"/>
      <c r="C210" s="3"/>
      <c r="D210" s="3"/>
      <c r="E210" s="3"/>
      <c r="F210" s="14"/>
      <c r="G210" s="3"/>
    </row>
    <row r="211" spans="1:7" ht="13">
      <c r="A211" s="3"/>
      <c r="B211" s="3"/>
      <c r="C211" s="3"/>
      <c r="D211" s="3"/>
      <c r="E211" s="3"/>
      <c r="F211" s="14"/>
      <c r="G211" s="3"/>
    </row>
    <row r="212" spans="1:7" ht="13">
      <c r="A212" s="3"/>
      <c r="B212" s="3"/>
      <c r="C212" s="3"/>
      <c r="D212" s="3"/>
      <c r="E212" s="3"/>
      <c r="F212" s="14"/>
      <c r="G212" s="3"/>
    </row>
    <row r="213" spans="1:7" ht="13">
      <c r="A213" s="3"/>
      <c r="B213" s="3"/>
      <c r="C213" s="3"/>
      <c r="D213" s="3"/>
      <c r="E213" s="3"/>
      <c r="F213" s="14"/>
      <c r="G213" s="3"/>
    </row>
    <row r="214" spans="1:7" ht="13">
      <c r="A214" s="3"/>
      <c r="B214" s="3"/>
      <c r="C214" s="3"/>
      <c r="D214" s="3"/>
      <c r="E214" s="3"/>
      <c r="F214" s="14"/>
      <c r="G214" s="3"/>
    </row>
    <row r="215" spans="1:7" ht="13">
      <c r="A215" s="3"/>
      <c r="B215" s="3"/>
      <c r="C215" s="3"/>
      <c r="D215" s="3"/>
      <c r="E215" s="3"/>
      <c r="F215" s="14"/>
      <c r="G215" s="3"/>
    </row>
    <row r="216" spans="1:7" ht="13">
      <c r="A216" s="3"/>
      <c r="B216" s="3"/>
      <c r="C216" s="3"/>
      <c r="D216" s="3"/>
      <c r="E216" s="3"/>
      <c r="F216" s="14"/>
      <c r="G216" s="3"/>
    </row>
    <row r="217" spans="1:7" ht="13">
      <c r="A217" s="3"/>
      <c r="B217" s="3"/>
      <c r="C217" s="3"/>
      <c r="D217" s="3"/>
      <c r="E217" s="3"/>
      <c r="F217" s="14"/>
      <c r="G217" s="3"/>
    </row>
    <row r="218" spans="1:7" ht="13">
      <c r="A218" s="3"/>
      <c r="B218" s="3"/>
      <c r="C218" s="3"/>
      <c r="D218" s="3"/>
      <c r="E218" s="3"/>
      <c r="F218" s="14"/>
      <c r="G218" s="3"/>
    </row>
    <row r="219" spans="1:7" ht="13">
      <c r="A219" s="3"/>
      <c r="B219" s="3"/>
      <c r="C219" s="3"/>
      <c r="D219" s="3"/>
      <c r="E219" s="3"/>
      <c r="F219" s="14"/>
      <c r="G219" s="3"/>
    </row>
    <row r="220" spans="1:7" ht="13">
      <c r="A220" s="3"/>
      <c r="B220" s="3"/>
      <c r="C220" s="3"/>
      <c r="D220" s="3"/>
      <c r="E220" s="3"/>
      <c r="F220" s="14"/>
      <c r="G220" s="3"/>
    </row>
    <row r="221" spans="1:7" ht="13">
      <c r="A221" s="3"/>
      <c r="B221" s="3"/>
      <c r="C221" s="3"/>
      <c r="D221" s="3"/>
      <c r="E221" s="3"/>
      <c r="F221" s="14"/>
      <c r="G221" s="3"/>
    </row>
    <row r="222" spans="1:7" ht="13">
      <c r="A222" s="3"/>
      <c r="B222" s="3"/>
      <c r="C222" s="3"/>
      <c r="D222" s="3"/>
      <c r="E222" s="3"/>
      <c r="F222" s="14"/>
      <c r="G222" s="3"/>
    </row>
    <row r="223" spans="1:7" ht="13">
      <c r="A223" s="3"/>
      <c r="B223" s="3"/>
      <c r="C223" s="3"/>
      <c r="D223" s="3"/>
      <c r="E223" s="3"/>
      <c r="F223" s="14"/>
      <c r="G223" s="3"/>
    </row>
    <row r="224" spans="1:7" ht="13">
      <c r="A224" s="3"/>
      <c r="B224" s="3"/>
      <c r="C224" s="3"/>
      <c r="D224" s="3"/>
      <c r="E224" s="3"/>
      <c r="F224" s="14"/>
      <c r="G224" s="3"/>
    </row>
    <row r="225" spans="1:7" ht="13">
      <c r="A225" s="3"/>
      <c r="B225" s="3"/>
      <c r="C225" s="3"/>
      <c r="D225" s="3"/>
      <c r="E225" s="3"/>
      <c r="F225" s="14"/>
      <c r="G225" s="3"/>
    </row>
    <row r="226" spans="1:7" ht="13">
      <c r="A226" s="3"/>
      <c r="B226" s="3"/>
      <c r="C226" s="3"/>
      <c r="D226" s="3"/>
      <c r="E226" s="3"/>
      <c r="F226" s="14"/>
      <c r="G226" s="3"/>
    </row>
    <row r="227" spans="1:7" ht="13">
      <c r="A227" s="3"/>
      <c r="B227" s="3"/>
      <c r="C227" s="3"/>
      <c r="D227" s="3"/>
      <c r="E227" s="3"/>
      <c r="F227" s="14"/>
      <c r="G227" s="3"/>
    </row>
    <row r="228" spans="1:7" ht="13">
      <c r="A228" s="3"/>
      <c r="B228" s="3"/>
      <c r="C228" s="3"/>
      <c r="D228" s="3"/>
      <c r="E228" s="3"/>
      <c r="F228" s="14"/>
      <c r="G228" s="3"/>
    </row>
    <row r="229" spans="1:7" ht="13">
      <c r="A229" s="3"/>
      <c r="B229" s="3"/>
      <c r="C229" s="3"/>
      <c r="D229" s="3"/>
      <c r="E229" s="3"/>
      <c r="F229" s="14"/>
      <c r="G229" s="3"/>
    </row>
    <row r="230" spans="1:7" ht="13">
      <c r="A230" s="3"/>
      <c r="B230" s="3"/>
      <c r="C230" s="3"/>
      <c r="D230" s="3"/>
      <c r="E230" s="3"/>
      <c r="F230" s="14"/>
      <c r="G230" s="3"/>
    </row>
    <row r="231" spans="1:7" ht="13">
      <c r="A231" s="3"/>
      <c r="B231" s="3"/>
      <c r="C231" s="3"/>
      <c r="D231" s="3"/>
      <c r="E231" s="3"/>
      <c r="F231" s="14"/>
      <c r="G231" s="3"/>
    </row>
    <row r="232" spans="1:7" ht="13">
      <c r="A232" s="3"/>
      <c r="B232" s="3"/>
      <c r="C232" s="3"/>
      <c r="D232" s="3"/>
      <c r="E232" s="3"/>
      <c r="F232" s="14"/>
      <c r="G232" s="3"/>
    </row>
    <row r="233" spans="1:7" ht="13">
      <c r="A233" s="3"/>
      <c r="B233" s="3"/>
      <c r="C233" s="3"/>
      <c r="D233" s="3"/>
      <c r="E233" s="3"/>
      <c r="F233" s="14"/>
      <c r="G233" s="3"/>
    </row>
    <row r="234" spans="1:7" ht="13">
      <c r="A234" s="3"/>
      <c r="B234" s="3"/>
      <c r="C234" s="3"/>
      <c r="D234" s="3"/>
      <c r="E234" s="3"/>
      <c r="F234" s="14"/>
      <c r="G234" s="3"/>
    </row>
    <row r="235" spans="1:7" ht="13">
      <c r="A235" s="3"/>
      <c r="B235" s="3"/>
      <c r="C235" s="3"/>
      <c r="D235" s="3"/>
      <c r="E235" s="3"/>
      <c r="F235" s="14"/>
      <c r="G235" s="3"/>
    </row>
    <row r="236" spans="1:7" ht="13">
      <c r="A236" s="3"/>
      <c r="B236" s="3"/>
      <c r="C236" s="3"/>
      <c r="D236" s="3"/>
      <c r="E236" s="3"/>
      <c r="F236" s="14"/>
      <c r="G236" s="3"/>
    </row>
    <row r="237" spans="1:7" ht="13">
      <c r="A237" s="3"/>
      <c r="B237" s="3"/>
      <c r="C237" s="3"/>
      <c r="D237" s="3"/>
      <c r="E237" s="3"/>
      <c r="F237" s="14"/>
      <c r="G237" s="3"/>
    </row>
    <row r="238" spans="1:7" ht="13">
      <c r="A238" s="3"/>
      <c r="B238" s="3"/>
      <c r="C238" s="3"/>
      <c r="D238" s="3"/>
      <c r="E238" s="3"/>
      <c r="F238" s="14"/>
      <c r="G238" s="3"/>
    </row>
    <row r="239" spans="1:7" ht="13">
      <c r="A239" s="3"/>
      <c r="B239" s="3"/>
      <c r="C239" s="3"/>
      <c r="D239" s="3"/>
      <c r="E239" s="3"/>
      <c r="F239" s="14"/>
      <c r="G239" s="3"/>
    </row>
    <row r="240" spans="1:7" ht="13">
      <c r="A240" s="3"/>
      <c r="B240" s="3"/>
      <c r="C240" s="3"/>
      <c r="D240" s="3"/>
      <c r="E240" s="3"/>
      <c r="F240" s="14"/>
      <c r="G240" s="3"/>
    </row>
    <row r="241" spans="1:7" ht="13">
      <c r="A241" s="3"/>
      <c r="B241" s="3"/>
      <c r="C241" s="3"/>
      <c r="D241" s="3"/>
      <c r="E241" s="3"/>
      <c r="F241" s="14"/>
      <c r="G241" s="3"/>
    </row>
    <row r="242" spans="1:7" ht="13">
      <c r="A242" s="3"/>
      <c r="B242" s="3"/>
      <c r="C242" s="3"/>
      <c r="D242" s="3"/>
      <c r="E242" s="3"/>
      <c r="F242" s="14"/>
      <c r="G242" s="3"/>
    </row>
    <row r="243" spans="1:7" ht="13">
      <c r="A243" s="3"/>
      <c r="B243" s="3"/>
      <c r="C243" s="3"/>
      <c r="D243" s="3"/>
      <c r="E243" s="3"/>
      <c r="F243" s="14"/>
      <c r="G243" s="3"/>
    </row>
    <row r="244" spans="1:7" ht="13">
      <c r="A244" s="3"/>
      <c r="B244" s="3"/>
      <c r="C244" s="3"/>
      <c r="D244" s="3"/>
      <c r="E244" s="3"/>
      <c r="F244" s="14"/>
      <c r="G244" s="3"/>
    </row>
    <row r="245" spans="1:7" ht="13">
      <c r="A245" s="3"/>
      <c r="B245" s="3"/>
      <c r="C245" s="3"/>
      <c r="D245" s="3"/>
      <c r="E245" s="3"/>
      <c r="F245" s="14"/>
      <c r="G245" s="3"/>
    </row>
    <row r="246" spans="1:7" ht="13">
      <c r="A246" s="3"/>
      <c r="B246" s="3"/>
      <c r="C246" s="3"/>
      <c r="D246" s="3"/>
      <c r="E246" s="3"/>
      <c r="F246" s="14"/>
      <c r="G246" s="3"/>
    </row>
    <row r="247" spans="1:7" ht="13">
      <c r="A247" s="3"/>
      <c r="B247" s="3"/>
      <c r="C247" s="3"/>
      <c r="D247" s="3"/>
      <c r="E247" s="3"/>
      <c r="F247" s="14"/>
      <c r="G247" s="3"/>
    </row>
    <row r="248" spans="1:7" ht="13">
      <c r="A248" s="3"/>
      <c r="B248" s="3"/>
      <c r="C248" s="3"/>
      <c r="D248" s="3"/>
      <c r="E248" s="3"/>
      <c r="F248" s="14"/>
      <c r="G248" s="3"/>
    </row>
    <row r="249" spans="1:7" ht="13">
      <c r="A249" s="3"/>
      <c r="B249" s="3"/>
      <c r="C249" s="3"/>
      <c r="D249" s="3"/>
      <c r="E249" s="3"/>
      <c r="F249" s="14"/>
      <c r="G249" s="3"/>
    </row>
    <row r="250" spans="1:7" ht="13">
      <c r="A250" s="3"/>
      <c r="B250" s="3"/>
      <c r="C250" s="3"/>
      <c r="D250" s="3"/>
      <c r="E250" s="3"/>
      <c r="F250" s="14"/>
      <c r="G250" s="3"/>
    </row>
    <row r="251" spans="1:7" ht="13">
      <c r="A251" s="3"/>
      <c r="B251" s="3"/>
      <c r="C251" s="3"/>
      <c r="D251" s="3"/>
      <c r="E251" s="3"/>
      <c r="F251" s="14"/>
      <c r="G251" s="3"/>
    </row>
    <row r="252" spans="1:7" ht="13">
      <c r="A252" s="3"/>
      <c r="B252" s="3"/>
      <c r="C252" s="3"/>
      <c r="D252" s="3"/>
      <c r="E252" s="3"/>
      <c r="F252" s="14"/>
      <c r="G252" s="3"/>
    </row>
    <row r="253" spans="1:7" ht="13">
      <c r="A253" s="3"/>
      <c r="B253" s="3"/>
      <c r="C253" s="3"/>
      <c r="D253" s="3"/>
      <c r="E253" s="3"/>
      <c r="F253" s="14"/>
      <c r="G253" s="3"/>
    </row>
    <row r="254" spans="1:7" ht="13">
      <c r="A254" s="3"/>
      <c r="B254" s="3"/>
      <c r="C254" s="3"/>
      <c r="D254" s="3"/>
      <c r="E254" s="3"/>
      <c r="F254" s="14"/>
      <c r="G254" s="3"/>
    </row>
    <row r="255" spans="1:7" ht="13">
      <c r="A255" s="3"/>
      <c r="B255" s="3"/>
      <c r="C255" s="3"/>
      <c r="D255" s="3"/>
      <c r="E255" s="3"/>
      <c r="F255" s="14"/>
      <c r="G255" s="3"/>
    </row>
    <row r="256" spans="1:7" ht="13">
      <c r="A256" s="3"/>
      <c r="B256" s="3"/>
      <c r="C256" s="3"/>
      <c r="D256" s="3"/>
      <c r="E256" s="3"/>
      <c r="F256" s="14"/>
      <c r="G256" s="3"/>
    </row>
    <row r="257" spans="1:7" ht="13">
      <c r="A257" s="3"/>
      <c r="B257" s="3"/>
      <c r="C257" s="3"/>
      <c r="D257" s="3"/>
      <c r="E257" s="3"/>
      <c r="F257" s="14"/>
      <c r="G257" s="3"/>
    </row>
    <row r="258" spans="1:7" ht="13">
      <c r="A258" s="3"/>
      <c r="B258" s="3"/>
      <c r="C258" s="3"/>
      <c r="D258" s="3"/>
      <c r="E258" s="3"/>
      <c r="F258" s="14"/>
      <c r="G258" s="3"/>
    </row>
    <row r="259" spans="1:7" ht="13">
      <c r="A259" s="3"/>
      <c r="B259" s="3"/>
      <c r="C259" s="3"/>
      <c r="D259" s="3"/>
      <c r="E259" s="3"/>
      <c r="F259" s="14"/>
      <c r="G259" s="3"/>
    </row>
    <row r="260" spans="1:7" ht="13">
      <c r="A260" s="3"/>
      <c r="B260" s="3"/>
      <c r="C260" s="3"/>
      <c r="D260" s="3"/>
      <c r="E260" s="3"/>
      <c r="F260" s="14"/>
      <c r="G260" s="3"/>
    </row>
    <row r="261" spans="1:7" ht="13">
      <c r="A261" s="3"/>
      <c r="B261" s="3"/>
      <c r="C261" s="3"/>
      <c r="D261" s="3"/>
      <c r="E261" s="3"/>
      <c r="F261" s="14"/>
      <c r="G261" s="3"/>
    </row>
    <row r="262" spans="1:7" ht="13">
      <c r="A262" s="3"/>
      <c r="B262" s="3"/>
      <c r="C262" s="3"/>
      <c r="D262" s="3"/>
      <c r="E262" s="3"/>
      <c r="F262" s="14"/>
      <c r="G262" s="3"/>
    </row>
    <row r="263" spans="1:7" ht="13">
      <c r="A263" s="3"/>
      <c r="B263" s="3"/>
      <c r="C263" s="3"/>
      <c r="D263" s="3"/>
      <c r="E263" s="3"/>
      <c r="F263" s="14"/>
      <c r="G263" s="3"/>
    </row>
    <row r="264" spans="1:7" ht="13">
      <c r="A264" s="3"/>
      <c r="B264" s="3"/>
      <c r="C264" s="3"/>
      <c r="D264" s="3"/>
      <c r="E264" s="3"/>
      <c r="F264" s="14"/>
      <c r="G264" s="3"/>
    </row>
    <row r="265" spans="1:7" ht="13">
      <c r="A265" s="3"/>
      <c r="B265" s="3"/>
      <c r="C265" s="3"/>
      <c r="D265" s="3"/>
      <c r="E265" s="3"/>
      <c r="F265" s="14"/>
      <c r="G265" s="3"/>
    </row>
    <row r="266" spans="1:7" ht="13">
      <c r="A266" s="3"/>
      <c r="B266" s="3"/>
      <c r="C266" s="3"/>
      <c r="D266" s="3"/>
      <c r="E266" s="3"/>
      <c r="F266" s="14"/>
      <c r="G266" s="3"/>
    </row>
    <row r="267" spans="1:7" ht="13">
      <c r="A267" s="3"/>
      <c r="B267" s="3"/>
      <c r="C267" s="3"/>
      <c r="D267" s="3"/>
      <c r="E267" s="3"/>
      <c r="F267" s="14"/>
      <c r="G267" s="3"/>
    </row>
    <row r="268" spans="1:7" ht="13">
      <c r="A268" s="3"/>
      <c r="B268" s="3"/>
      <c r="C268" s="3"/>
      <c r="D268" s="3"/>
      <c r="E268" s="3"/>
      <c r="F268" s="14"/>
      <c r="G268" s="3"/>
    </row>
    <row r="269" spans="1:7" ht="13">
      <c r="A269" s="3"/>
      <c r="B269" s="3"/>
      <c r="C269" s="3"/>
      <c r="D269" s="3"/>
      <c r="E269" s="3"/>
      <c r="F269" s="14"/>
      <c r="G269" s="3"/>
    </row>
    <row r="270" spans="1:7" ht="13">
      <c r="A270" s="3"/>
      <c r="B270" s="3"/>
      <c r="C270" s="3"/>
      <c r="D270" s="3"/>
      <c r="E270" s="3"/>
      <c r="F270" s="14"/>
      <c r="G270" s="3"/>
    </row>
    <row r="271" spans="1:7" ht="13">
      <c r="A271" s="3"/>
      <c r="B271" s="3"/>
      <c r="C271" s="3"/>
      <c r="D271" s="3"/>
      <c r="E271" s="3"/>
      <c r="F271" s="14"/>
      <c r="G271" s="3"/>
    </row>
    <row r="272" spans="1:7" ht="13">
      <c r="A272" s="3"/>
      <c r="B272" s="3"/>
      <c r="C272" s="3"/>
      <c r="D272" s="3"/>
      <c r="E272" s="3"/>
      <c r="F272" s="14"/>
      <c r="G272" s="3"/>
    </row>
    <row r="273" spans="1:7" ht="13">
      <c r="A273" s="3"/>
      <c r="B273" s="3"/>
      <c r="C273" s="3"/>
      <c r="D273" s="3"/>
      <c r="E273" s="3"/>
      <c r="F273" s="14"/>
      <c r="G273" s="3"/>
    </row>
    <row r="274" spans="1:7" ht="13">
      <c r="A274" s="3"/>
      <c r="B274" s="3"/>
      <c r="C274" s="3"/>
      <c r="D274" s="3"/>
      <c r="E274" s="3"/>
      <c r="F274" s="14"/>
      <c r="G274" s="3"/>
    </row>
    <row r="275" spans="1:7" ht="13">
      <c r="A275" s="3"/>
      <c r="B275" s="3"/>
      <c r="C275" s="3"/>
      <c r="D275" s="3"/>
      <c r="E275" s="3"/>
      <c r="F275" s="14"/>
      <c r="G275" s="3"/>
    </row>
    <row r="276" spans="1:7" ht="13">
      <c r="A276" s="3"/>
      <c r="B276" s="3"/>
      <c r="C276" s="3"/>
      <c r="D276" s="3"/>
      <c r="E276" s="3"/>
      <c r="F276" s="14"/>
      <c r="G276" s="3"/>
    </row>
    <row r="277" spans="1:7" ht="13">
      <c r="A277" s="3"/>
      <c r="B277" s="3"/>
      <c r="C277" s="3"/>
      <c r="D277" s="3"/>
      <c r="E277" s="3"/>
      <c r="F277" s="14"/>
      <c r="G277" s="3"/>
    </row>
    <row r="278" spans="1:7" ht="13">
      <c r="A278" s="3"/>
      <c r="B278" s="3"/>
      <c r="C278" s="3"/>
      <c r="D278" s="3"/>
      <c r="E278" s="3"/>
      <c r="F278" s="14"/>
      <c r="G278" s="3"/>
    </row>
    <row r="279" spans="1:7" ht="13">
      <c r="A279" s="3"/>
      <c r="B279" s="3"/>
      <c r="C279" s="3"/>
      <c r="D279" s="3"/>
      <c r="E279" s="3"/>
      <c r="F279" s="14"/>
      <c r="G279" s="3"/>
    </row>
    <row r="280" spans="1:7" ht="13">
      <c r="A280" s="3"/>
      <c r="B280" s="3"/>
      <c r="C280" s="3"/>
      <c r="D280" s="3"/>
      <c r="E280" s="3"/>
      <c r="F280" s="14"/>
      <c r="G280" s="3"/>
    </row>
    <row r="281" spans="1:7" ht="13">
      <c r="A281" s="3"/>
      <c r="B281" s="3"/>
      <c r="C281" s="3"/>
      <c r="D281" s="3"/>
      <c r="E281" s="3"/>
      <c r="F281" s="14"/>
      <c r="G281" s="3"/>
    </row>
    <row r="282" spans="1:7" ht="13">
      <c r="A282" s="3"/>
      <c r="B282" s="3"/>
      <c r="C282" s="3"/>
      <c r="D282" s="3"/>
      <c r="E282" s="3"/>
      <c r="F282" s="14"/>
      <c r="G282" s="3"/>
    </row>
    <row r="283" spans="1:7" ht="13">
      <c r="A283" s="3"/>
      <c r="B283" s="3"/>
      <c r="C283" s="3"/>
      <c r="D283" s="3"/>
      <c r="E283" s="3"/>
      <c r="F283" s="14"/>
      <c r="G283" s="3"/>
    </row>
    <row r="284" spans="1:7" ht="13">
      <c r="A284" s="3"/>
      <c r="B284" s="3"/>
      <c r="C284" s="3"/>
      <c r="D284" s="3"/>
      <c r="E284" s="3"/>
      <c r="F284" s="14"/>
      <c r="G284" s="3"/>
    </row>
    <row r="285" spans="1:7" ht="13">
      <c r="A285" s="3"/>
      <c r="B285" s="3"/>
      <c r="C285" s="3"/>
      <c r="D285" s="3"/>
      <c r="E285" s="3"/>
      <c r="F285" s="14"/>
      <c r="G285" s="3"/>
    </row>
    <row r="286" spans="1:7" ht="13">
      <c r="A286" s="3"/>
      <c r="B286" s="3"/>
      <c r="C286" s="3"/>
      <c r="D286" s="3"/>
      <c r="E286" s="3"/>
      <c r="F286" s="14"/>
      <c r="G286" s="3"/>
    </row>
    <row r="287" spans="1:7" ht="13">
      <c r="A287" s="3"/>
      <c r="B287" s="3"/>
      <c r="C287" s="3"/>
      <c r="D287" s="3"/>
      <c r="E287" s="3"/>
      <c r="F287" s="14"/>
      <c r="G287" s="3"/>
    </row>
    <row r="288" spans="1:7" ht="13">
      <c r="A288" s="3"/>
      <c r="B288" s="3"/>
      <c r="C288" s="3"/>
      <c r="D288" s="3"/>
      <c r="E288" s="3"/>
      <c r="F288" s="14"/>
      <c r="G288" s="3"/>
    </row>
    <row r="289" spans="1:7" ht="13">
      <c r="A289" s="3"/>
      <c r="B289" s="3"/>
      <c r="C289" s="3"/>
      <c r="D289" s="3"/>
      <c r="E289" s="3"/>
      <c r="F289" s="14"/>
      <c r="G289" s="3"/>
    </row>
    <row r="290" spans="1:7" ht="13">
      <c r="A290" s="3"/>
      <c r="B290" s="3"/>
      <c r="C290" s="3"/>
      <c r="D290" s="3"/>
      <c r="E290" s="3"/>
      <c r="F290" s="14"/>
      <c r="G290" s="3"/>
    </row>
    <row r="291" spans="1:7" ht="13">
      <c r="A291" s="3"/>
      <c r="B291" s="3"/>
      <c r="C291" s="3"/>
      <c r="D291" s="3"/>
      <c r="E291" s="3"/>
      <c r="F291" s="14"/>
      <c r="G291" s="3"/>
    </row>
    <row r="292" spans="1:7" ht="13">
      <c r="A292" s="3"/>
      <c r="B292" s="3"/>
      <c r="C292" s="3"/>
      <c r="D292" s="3"/>
      <c r="E292" s="3"/>
      <c r="F292" s="14"/>
      <c r="G292" s="3"/>
    </row>
    <row r="293" spans="1:7" ht="13">
      <c r="A293" s="3"/>
      <c r="B293" s="3"/>
      <c r="C293" s="3"/>
      <c r="D293" s="3"/>
      <c r="E293" s="3"/>
      <c r="F293" s="14"/>
      <c r="G293" s="3"/>
    </row>
    <row r="294" spans="1:7" ht="13">
      <c r="A294" s="3"/>
      <c r="B294" s="3"/>
      <c r="C294" s="3"/>
      <c r="D294" s="3"/>
      <c r="E294" s="3"/>
      <c r="F294" s="14"/>
      <c r="G294" s="3"/>
    </row>
    <row r="295" spans="1:7" ht="13">
      <c r="A295" s="3"/>
      <c r="B295" s="3"/>
      <c r="C295" s="3"/>
      <c r="D295" s="3"/>
      <c r="E295" s="3"/>
      <c r="F295" s="14"/>
      <c r="G295" s="3"/>
    </row>
    <row r="296" spans="1:7" ht="13">
      <c r="A296" s="3"/>
      <c r="B296" s="3"/>
      <c r="C296" s="3"/>
      <c r="D296" s="3"/>
      <c r="E296" s="3"/>
      <c r="F296" s="14"/>
      <c r="G296" s="3"/>
    </row>
    <row r="297" spans="1:7" ht="13">
      <c r="A297" s="3"/>
      <c r="B297" s="3"/>
      <c r="C297" s="3"/>
      <c r="D297" s="3"/>
      <c r="E297" s="3"/>
      <c r="F297" s="14"/>
      <c r="G297" s="3"/>
    </row>
    <row r="298" spans="1:7" ht="13">
      <c r="A298" s="3"/>
      <c r="B298" s="3"/>
      <c r="C298" s="3"/>
      <c r="D298" s="3"/>
      <c r="E298" s="3"/>
      <c r="F298" s="14"/>
      <c r="G298" s="3"/>
    </row>
    <row r="299" spans="1:7" ht="13">
      <c r="A299" s="3"/>
      <c r="B299" s="3"/>
      <c r="C299" s="3"/>
      <c r="D299" s="3"/>
      <c r="E299" s="3"/>
      <c r="F299" s="14"/>
      <c r="G299" s="3"/>
    </row>
    <row r="300" spans="1:7" ht="13">
      <c r="A300" s="3"/>
      <c r="B300" s="3"/>
      <c r="C300" s="3"/>
      <c r="D300" s="3"/>
      <c r="E300" s="3"/>
      <c r="F300" s="14"/>
      <c r="G300" s="3"/>
    </row>
    <row r="301" spans="1:7" ht="13">
      <c r="A301" s="3"/>
      <c r="B301" s="3"/>
      <c r="C301" s="3"/>
      <c r="D301" s="3"/>
      <c r="E301" s="3"/>
      <c r="F301" s="14"/>
      <c r="G301" s="3"/>
    </row>
    <row r="302" spans="1:7" ht="13">
      <c r="A302" s="3"/>
      <c r="B302" s="3"/>
      <c r="C302" s="3"/>
      <c r="D302" s="3"/>
      <c r="E302" s="3"/>
      <c r="F302" s="14"/>
      <c r="G302" s="3"/>
    </row>
    <row r="303" spans="1:7" ht="13">
      <c r="A303" s="3"/>
      <c r="B303" s="3"/>
      <c r="C303" s="3"/>
      <c r="D303" s="3"/>
      <c r="E303" s="3"/>
      <c r="F303" s="14"/>
      <c r="G303" s="3"/>
    </row>
    <row r="304" spans="1:7" ht="13">
      <c r="A304" s="3"/>
      <c r="B304" s="3"/>
      <c r="C304" s="3"/>
      <c r="D304" s="3"/>
      <c r="E304" s="3"/>
      <c r="F304" s="14"/>
      <c r="G304" s="3"/>
    </row>
    <row r="305" spans="1:7" ht="13">
      <c r="A305" s="3"/>
      <c r="B305" s="3"/>
      <c r="C305" s="3"/>
      <c r="D305" s="3"/>
      <c r="E305" s="3"/>
      <c r="F305" s="14"/>
      <c r="G305" s="3"/>
    </row>
    <row r="306" spans="1:7" ht="13">
      <c r="A306" s="3"/>
      <c r="B306" s="3"/>
      <c r="C306" s="3"/>
      <c r="D306" s="3"/>
      <c r="E306" s="3"/>
      <c r="F306" s="14"/>
      <c r="G306" s="3"/>
    </row>
    <row r="307" spans="1:7" ht="13">
      <c r="A307" s="3"/>
      <c r="B307" s="3"/>
      <c r="C307" s="3"/>
      <c r="D307" s="3"/>
      <c r="E307" s="3"/>
      <c r="F307" s="14"/>
      <c r="G307" s="3"/>
    </row>
    <row r="308" spans="1:7" ht="13">
      <c r="A308" s="3"/>
      <c r="B308" s="3"/>
      <c r="C308" s="3"/>
      <c r="D308" s="3"/>
      <c r="E308" s="3"/>
      <c r="F308" s="14"/>
      <c r="G308" s="3"/>
    </row>
    <row r="309" spans="1:7" ht="13">
      <c r="A309" s="3"/>
      <c r="B309" s="3"/>
      <c r="C309" s="3"/>
      <c r="D309" s="3"/>
      <c r="E309" s="3"/>
      <c r="F309" s="14"/>
      <c r="G309" s="3"/>
    </row>
    <row r="310" spans="1:7" ht="13">
      <c r="A310" s="3"/>
      <c r="B310" s="3"/>
      <c r="C310" s="3"/>
      <c r="D310" s="3"/>
      <c r="E310" s="3"/>
      <c r="F310" s="14"/>
      <c r="G310" s="3"/>
    </row>
    <row r="311" spans="1:7" ht="13">
      <c r="A311" s="3"/>
      <c r="B311" s="3"/>
      <c r="C311" s="3"/>
      <c r="D311" s="3"/>
      <c r="E311" s="3"/>
      <c r="F311" s="14"/>
      <c r="G311" s="3"/>
    </row>
    <row r="312" spans="1:7" ht="13">
      <c r="A312" s="3"/>
      <c r="B312" s="3"/>
      <c r="C312" s="3"/>
      <c r="D312" s="3"/>
      <c r="E312" s="3"/>
      <c r="F312" s="14"/>
      <c r="G312" s="3"/>
    </row>
    <row r="313" spans="1:7" ht="13">
      <c r="A313" s="3"/>
      <c r="B313" s="3"/>
      <c r="C313" s="3"/>
      <c r="D313" s="3"/>
      <c r="E313" s="3"/>
      <c r="F313" s="14"/>
      <c r="G313" s="3"/>
    </row>
    <row r="314" spans="1:7" ht="13">
      <c r="A314" s="3"/>
      <c r="B314" s="3"/>
      <c r="C314" s="3"/>
      <c r="D314" s="3"/>
      <c r="E314" s="3"/>
      <c r="F314" s="14"/>
      <c r="G314" s="3"/>
    </row>
    <row r="315" spans="1:7" ht="13">
      <c r="A315" s="3"/>
      <c r="B315" s="3"/>
      <c r="C315" s="3"/>
      <c r="D315" s="3"/>
      <c r="E315" s="3"/>
      <c r="F315" s="14"/>
      <c r="G315" s="3"/>
    </row>
    <row r="316" spans="1:7" ht="13">
      <c r="A316" s="3"/>
      <c r="B316" s="3"/>
      <c r="C316" s="3"/>
      <c r="D316" s="3"/>
      <c r="E316" s="3"/>
      <c r="F316" s="14"/>
      <c r="G316" s="3"/>
    </row>
    <row r="317" spans="1:7" ht="13">
      <c r="A317" s="3"/>
      <c r="B317" s="3"/>
      <c r="C317" s="3"/>
      <c r="D317" s="3"/>
      <c r="E317" s="3"/>
      <c r="F317" s="14"/>
      <c r="G317" s="3"/>
    </row>
    <row r="318" spans="1:7" ht="13">
      <c r="A318" s="3"/>
      <c r="B318" s="3"/>
      <c r="C318" s="3"/>
      <c r="D318" s="3"/>
      <c r="E318" s="3"/>
      <c r="F318" s="14"/>
      <c r="G318" s="3"/>
    </row>
    <row r="319" spans="1:7" ht="13">
      <c r="A319" s="3"/>
      <c r="B319" s="3"/>
      <c r="C319" s="3"/>
      <c r="D319" s="3"/>
      <c r="E319" s="3"/>
      <c r="F319" s="14"/>
      <c r="G319" s="3"/>
    </row>
    <row r="320" spans="1:7" ht="13">
      <c r="A320" s="3"/>
      <c r="B320" s="3"/>
      <c r="C320" s="3"/>
      <c r="D320" s="3"/>
      <c r="E320" s="3"/>
      <c r="F320" s="14"/>
      <c r="G320" s="3"/>
    </row>
    <row r="321" spans="1:7" ht="13">
      <c r="A321" s="3"/>
      <c r="B321" s="3"/>
      <c r="C321" s="3"/>
      <c r="D321" s="3"/>
      <c r="E321" s="3"/>
      <c r="F321" s="14"/>
      <c r="G321" s="3"/>
    </row>
    <row r="322" spans="1:7" ht="13">
      <c r="A322" s="3"/>
      <c r="B322" s="3"/>
      <c r="C322" s="3"/>
      <c r="D322" s="3"/>
      <c r="E322" s="3"/>
      <c r="F322" s="14"/>
      <c r="G322" s="3"/>
    </row>
    <row r="323" spans="1:7" ht="13">
      <c r="A323" s="3"/>
      <c r="B323" s="3"/>
      <c r="C323" s="3"/>
      <c r="D323" s="3"/>
      <c r="E323" s="3"/>
      <c r="F323" s="14"/>
      <c r="G323" s="3"/>
    </row>
    <row r="324" spans="1:7" ht="13">
      <c r="A324" s="3"/>
      <c r="B324" s="3"/>
      <c r="C324" s="3"/>
      <c r="D324" s="3"/>
      <c r="E324" s="3"/>
      <c r="F324" s="14"/>
      <c r="G324" s="3"/>
    </row>
    <row r="325" spans="1:7" ht="13">
      <c r="A325" s="3"/>
      <c r="B325" s="3"/>
      <c r="C325" s="3"/>
      <c r="D325" s="3"/>
      <c r="E325" s="3"/>
      <c r="F325" s="14"/>
      <c r="G325" s="3"/>
    </row>
    <row r="326" spans="1:7" ht="13">
      <c r="A326" s="3"/>
      <c r="B326" s="3"/>
      <c r="C326" s="3"/>
      <c r="D326" s="3"/>
      <c r="E326" s="3"/>
      <c r="F326" s="14"/>
      <c r="G326" s="3"/>
    </row>
    <row r="327" spans="1:7" ht="13">
      <c r="A327" s="3"/>
      <c r="B327" s="3"/>
      <c r="C327" s="3"/>
      <c r="D327" s="3"/>
      <c r="E327" s="3"/>
      <c r="F327" s="14"/>
      <c r="G327" s="3"/>
    </row>
    <row r="328" spans="1:7" ht="13">
      <c r="A328" s="3"/>
      <c r="B328" s="3"/>
      <c r="C328" s="3"/>
      <c r="D328" s="3"/>
      <c r="E328" s="3"/>
      <c r="F328" s="14"/>
      <c r="G328" s="3"/>
    </row>
    <row r="329" spans="1:7" ht="13">
      <c r="A329" s="3"/>
      <c r="B329" s="3"/>
      <c r="C329" s="3"/>
      <c r="D329" s="3"/>
      <c r="E329" s="3"/>
      <c r="F329" s="14"/>
      <c r="G329" s="3"/>
    </row>
    <row r="330" spans="1:7" ht="13">
      <c r="A330" s="3"/>
      <c r="B330" s="3"/>
      <c r="C330" s="3"/>
      <c r="D330" s="3"/>
      <c r="E330" s="3"/>
      <c r="F330" s="14"/>
      <c r="G330" s="3"/>
    </row>
    <row r="331" spans="1:7" ht="13">
      <c r="A331" s="3"/>
      <c r="B331" s="3"/>
      <c r="C331" s="3"/>
      <c r="D331" s="3"/>
      <c r="E331" s="3"/>
      <c r="F331" s="14"/>
      <c r="G331" s="3"/>
    </row>
    <row r="332" spans="1:7" ht="13">
      <c r="A332" s="3"/>
      <c r="B332" s="3"/>
      <c r="C332" s="3"/>
      <c r="D332" s="3"/>
      <c r="E332" s="3"/>
      <c r="F332" s="14"/>
      <c r="G332" s="3"/>
    </row>
    <row r="333" spans="1:7" ht="13">
      <c r="A333" s="3"/>
      <c r="B333" s="3"/>
      <c r="C333" s="3"/>
      <c r="D333" s="3"/>
      <c r="E333" s="3"/>
      <c r="F333" s="14"/>
      <c r="G333" s="3"/>
    </row>
    <row r="334" spans="1:7" ht="13">
      <c r="A334" s="3"/>
      <c r="B334" s="3"/>
      <c r="C334" s="3"/>
      <c r="D334" s="3"/>
      <c r="E334" s="3"/>
      <c r="F334" s="14"/>
      <c r="G334" s="3"/>
    </row>
    <row r="335" spans="1:7" ht="13">
      <c r="A335" s="3"/>
      <c r="B335" s="3"/>
      <c r="C335" s="3"/>
      <c r="D335" s="3"/>
      <c r="E335" s="3"/>
      <c r="F335" s="14"/>
      <c r="G335" s="3"/>
    </row>
    <row r="336" spans="1:7" ht="13">
      <c r="A336" s="3"/>
      <c r="B336" s="3"/>
      <c r="C336" s="3"/>
      <c r="D336" s="3"/>
      <c r="E336" s="3"/>
      <c r="F336" s="14"/>
      <c r="G336" s="3"/>
    </row>
    <row r="337" spans="1:7" ht="13">
      <c r="A337" s="3"/>
      <c r="B337" s="3"/>
      <c r="C337" s="3"/>
      <c r="D337" s="3"/>
      <c r="E337" s="3"/>
      <c r="F337" s="14"/>
      <c r="G337" s="3"/>
    </row>
    <row r="338" spans="1:7" ht="13">
      <c r="A338" s="3"/>
      <c r="B338" s="3"/>
      <c r="C338" s="3"/>
      <c r="D338" s="3"/>
      <c r="E338" s="3"/>
      <c r="F338" s="14"/>
      <c r="G338" s="3"/>
    </row>
    <row r="339" spans="1:7" ht="13">
      <c r="A339" s="3"/>
      <c r="B339" s="3"/>
      <c r="C339" s="3"/>
      <c r="D339" s="3"/>
      <c r="E339" s="3"/>
      <c r="F339" s="14"/>
      <c r="G339" s="3"/>
    </row>
    <row r="340" spans="1:7" ht="13">
      <c r="A340" s="3"/>
      <c r="B340" s="3"/>
      <c r="C340" s="3"/>
      <c r="D340" s="3"/>
      <c r="E340" s="3"/>
      <c r="F340" s="14"/>
      <c r="G340" s="3"/>
    </row>
    <row r="341" spans="1:7" ht="13">
      <c r="A341" s="3"/>
      <c r="B341" s="3"/>
      <c r="C341" s="3"/>
      <c r="D341" s="3"/>
      <c r="E341" s="3"/>
      <c r="F341" s="14"/>
      <c r="G341" s="3"/>
    </row>
    <row r="342" spans="1:7" ht="13">
      <c r="A342" s="3"/>
      <c r="B342" s="3"/>
      <c r="C342" s="3"/>
      <c r="D342" s="3"/>
      <c r="E342" s="3"/>
      <c r="F342" s="14"/>
      <c r="G342" s="3"/>
    </row>
    <row r="343" spans="1:7" ht="13">
      <c r="A343" s="3"/>
      <c r="B343" s="3"/>
      <c r="C343" s="3"/>
      <c r="D343" s="3"/>
      <c r="E343" s="3"/>
      <c r="F343" s="14"/>
      <c r="G343" s="3"/>
    </row>
    <row r="344" spans="1:7" ht="13">
      <c r="A344" s="3"/>
      <c r="B344" s="3"/>
      <c r="C344" s="3"/>
      <c r="D344" s="3"/>
      <c r="E344" s="3"/>
      <c r="F344" s="14"/>
      <c r="G344" s="3"/>
    </row>
    <row r="345" spans="1:7" ht="13">
      <c r="A345" s="3"/>
      <c r="B345" s="3"/>
      <c r="C345" s="3"/>
      <c r="D345" s="3"/>
      <c r="E345" s="3"/>
      <c r="F345" s="14"/>
      <c r="G345" s="3"/>
    </row>
    <row r="346" spans="1:7" ht="13">
      <c r="A346" s="3"/>
      <c r="B346" s="3"/>
      <c r="C346" s="3"/>
      <c r="D346" s="3"/>
      <c r="E346" s="3"/>
      <c r="F346" s="14"/>
      <c r="G346" s="3"/>
    </row>
    <row r="347" spans="1:7" ht="13">
      <c r="A347" s="3"/>
      <c r="B347" s="3"/>
      <c r="C347" s="3"/>
      <c r="D347" s="3"/>
      <c r="E347" s="3"/>
      <c r="F347" s="14"/>
      <c r="G347" s="3"/>
    </row>
    <row r="348" spans="1:7" ht="13">
      <c r="A348" s="3"/>
      <c r="B348" s="3"/>
      <c r="C348" s="3"/>
      <c r="D348" s="3"/>
      <c r="E348" s="3"/>
      <c r="F348" s="14"/>
      <c r="G348" s="3"/>
    </row>
    <row r="349" spans="1:7" ht="13">
      <c r="A349" s="3"/>
      <c r="B349" s="3"/>
      <c r="C349" s="3"/>
      <c r="D349" s="3"/>
      <c r="E349" s="3"/>
      <c r="F349" s="14"/>
      <c r="G349" s="3"/>
    </row>
    <row r="350" spans="1:7" ht="13">
      <c r="A350" s="3"/>
      <c r="B350" s="3"/>
      <c r="C350" s="3"/>
      <c r="D350" s="3"/>
      <c r="E350" s="3"/>
      <c r="F350" s="14"/>
      <c r="G350" s="3"/>
    </row>
    <row r="351" spans="1:7" ht="13">
      <c r="A351" s="3"/>
      <c r="B351" s="3"/>
      <c r="C351" s="3"/>
      <c r="D351" s="3"/>
      <c r="E351" s="3"/>
      <c r="F351" s="14"/>
      <c r="G351" s="3"/>
    </row>
    <row r="352" spans="1:7" ht="13">
      <c r="A352" s="3"/>
      <c r="B352" s="3"/>
      <c r="C352" s="3"/>
      <c r="D352" s="3"/>
      <c r="E352" s="3"/>
      <c r="F352" s="14"/>
      <c r="G352" s="3"/>
    </row>
    <row r="353" spans="1:7" ht="13">
      <c r="A353" s="3"/>
      <c r="B353" s="3"/>
      <c r="C353" s="3"/>
      <c r="D353" s="3"/>
      <c r="E353" s="3"/>
      <c r="F353" s="14"/>
      <c r="G353" s="3"/>
    </row>
    <row r="354" spans="1:7" ht="13">
      <c r="A354" s="3"/>
      <c r="B354" s="3"/>
      <c r="C354" s="3"/>
      <c r="D354" s="3"/>
      <c r="E354" s="3"/>
      <c r="F354" s="14"/>
      <c r="G354" s="3"/>
    </row>
    <row r="355" spans="1:7" ht="13">
      <c r="A355" s="3"/>
      <c r="B355" s="3"/>
      <c r="C355" s="3"/>
      <c r="D355" s="3"/>
      <c r="E355" s="3"/>
      <c r="F355" s="14"/>
      <c r="G355" s="3"/>
    </row>
    <row r="356" spans="1:7" ht="13">
      <c r="A356" s="3"/>
      <c r="B356" s="3"/>
      <c r="C356" s="3"/>
      <c r="D356" s="3"/>
      <c r="E356" s="3"/>
      <c r="F356" s="14"/>
      <c r="G356" s="3"/>
    </row>
    <row r="357" spans="1:7" ht="13">
      <c r="A357" s="3"/>
      <c r="B357" s="3"/>
      <c r="C357" s="3"/>
      <c r="D357" s="3"/>
      <c r="E357" s="3"/>
      <c r="F357" s="14"/>
      <c r="G357" s="3"/>
    </row>
    <row r="358" spans="1:7" ht="13">
      <c r="A358" s="3"/>
      <c r="B358" s="3"/>
      <c r="C358" s="3"/>
      <c r="D358" s="3"/>
      <c r="E358" s="3"/>
      <c r="F358" s="14"/>
      <c r="G358" s="3"/>
    </row>
    <row r="359" spans="1:7" ht="13">
      <c r="A359" s="3"/>
      <c r="B359" s="3"/>
      <c r="C359" s="3"/>
      <c r="D359" s="3"/>
      <c r="E359" s="3"/>
      <c r="F359" s="14"/>
      <c r="G359" s="3"/>
    </row>
    <row r="360" spans="1:7" ht="13">
      <c r="A360" s="3"/>
      <c r="B360" s="3"/>
      <c r="C360" s="3"/>
      <c r="D360" s="3"/>
      <c r="E360" s="3"/>
      <c r="F360" s="14"/>
      <c r="G360" s="3"/>
    </row>
    <row r="361" spans="1:7" ht="13">
      <c r="A361" s="3"/>
      <c r="B361" s="3"/>
      <c r="C361" s="3"/>
      <c r="D361" s="3"/>
      <c r="E361" s="3"/>
      <c r="F361" s="14"/>
      <c r="G361" s="3"/>
    </row>
    <row r="362" spans="1:7" ht="13">
      <c r="A362" s="3"/>
      <c r="B362" s="3"/>
      <c r="C362" s="3"/>
      <c r="D362" s="3"/>
      <c r="E362" s="3"/>
      <c r="F362" s="14"/>
      <c r="G362" s="3"/>
    </row>
    <row r="363" spans="1:7" ht="13">
      <c r="A363" s="3"/>
      <c r="B363" s="3"/>
      <c r="C363" s="3"/>
      <c r="D363" s="3"/>
      <c r="E363" s="3"/>
      <c r="F363" s="14"/>
      <c r="G363" s="3"/>
    </row>
    <row r="364" spans="1:7" ht="13">
      <c r="A364" s="3"/>
      <c r="B364" s="3"/>
      <c r="C364" s="3"/>
      <c r="D364" s="3"/>
      <c r="E364" s="3"/>
      <c r="F364" s="14"/>
      <c r="G364" s="3"/>
    </row>
    <row r="365" spans="1:7" ht="13">
      <c r="A365" s="3"/>
      <c r="B365" s="3"/>
      <c r="C365" s="3"/>
      <c r="D365" s="3"/>
      <c r="E365" s="3"/>
      <c r="F365" s="14"/>
      <c r="G365" s="3"/>
    </row>
    <row r="366" spans="1:7" ht="13">
      <c r="A366" s="3"/>
      <c r="B366" s="3"/>
      <c r="C366" s="3"/>
      <c r="D366" s="3"/>
      <c r="E366" s="3"/>
      <c r="F366" s="14"/>
      <c r="G366" s="3"/>
    </row>
    <row r="367" spans="1:7" ht="13">
      <c r="A367" s="3"/>
      <c r="B367" s="3"/>
      <c r="C367" s="3"/>
      <c r="D367" s="3"/>
      <c r="E367" s="3"/>
      <c r="F367" s="14"/>
      <c r="G367" s="3"/>
    </row>
    <row r="368" spans="1:7" ht="13">
      <c r="A368" s="3"/>
      <c r="B368" s="3"/>
      <c r="C368" s="3"/>
      <c r="D368" s="3"/>
      <c r="E368" s="3"/>
      <c r="F368" s="14"/>
      <c r="G368" s="3"/>
    </row>
    <row r="369" spans="1:7" ht="13">
      <c r="A369" s="3"/>
      <c r="B369" s="3"/>
      <c r="C369" s="3"/>
      <c r="D369" s="3"/>
      <c r="E369" s="3"/>
      <c r="F369" s="14"/>
      <c r="G369" s="3"/>
    </row>
    <row r="370" spans="1:7" ht="13">
      <c r="A370" s="3"/>
      <c r="B370" s="3"/>
      <c r="C370" s="3"/>
      <c r="D370" s="3"/>
      <c r="E370" s="3"/>
      <c r="F370" s="14"/>
      <c r="G370" s="3"/>
    </row>
    <row r="371" spans="1:7" ht="13">
      <c r="A371" s="3"/>
      <c r="B371" s="3"/>
      <c r="C371" s="3"/>
      <c r="D371" s="3"/>
      <c r="E371" s="3"/>
      <c r="F371" s="14"/>
      <c r="G371" s="3"/>
    </row>
    <row r="372" spans="1:7" ht="13">
      <c r="A372" s="3"/>
      <c r="B372" s="3"/>
      <c r="C372" s="3"/>
      <c r="D372" s="3"/>
      <c r="E372" s="3"/>
      <c r="F372" s="14"/>
      <c r="G372" s="3"/>
    </row>
    <row r="373" spans="1:7" ht="13">
      <c r="A373" s="3"/>
      <c r="B373" s="3"/>
      <c r="C373" s="3"/>
      <c r="D373" s="3"/>
      <c r="E373" s="3"/>
      <c r="F373" s="14"/>
      <c r="G373" s="3"/>
    </row>
    <row r="374" spans="1:7" ht="13">
      <c r="A374" s="3"/>
      <c r="B374" s="3"/>
      <c r="C374" s="3"/>
      <c r="D374" s="3"/>
      <c r="E374" s="3"/>
      <c r="F374" s="14"/>
      <c r="G374" s="3"/>
    </row>
    <row r="375" spans="1:7" ht="13">
      <c r="A375" s="3"/>
      <c r="B375" s="3"/>
      <c r="C375" s="3"/>
      <c r="D375" s="3"/>
      <c r="E375" s="3"/>
      <c r="F375" s="14"/>
      <c r="G375" s="3"/>
    </row>
    <row r="376" spans="1:7" ht="13">
      <c r="A376" s="3"/>
      <c r="B376" s="3"/>
      <c r="C376" s="3"/>
      <c r="D376" s="3"/>
      <c r="E376" s="3"/>
      <c r="F376" s="14"/>
      <c r="G376" s="3"/>
    </row>
    <row r="377" spans="1:7" ht="13">
      <c r="A377" s="3"/>
      <c r="B377" s="3"/>
      <c r="C377" s="3"/>
      <c r="D377" s="3"/>
      <c r="E377" s="3"/>
      <c r="F377" s="14"/>
      <c r="G377" s="3"/>
    </row>
    <row r="378" spans="1:7" ht="13">
      <c r="A378" s="3"/>
      <c r="B378" s="3"/>
      <c r="C378" s="3"/>
      <c r="D378" s="3"/>
      <c r="E378" s="3"/>
      <c r="F378" s="14"/>
      <c r="G378" s="3"/>
    </row>
    <row r="379" spans="1:7" ht="13">
      <c r="A379" s="3"/>
      <c r="B379" s="3"/>
      <c r="C379" s="3"/>
      <c r="D379" s="3"/>
      <c r="E379" s="3"/>
      <c r="F379" s="14"/>
      <c r="G379" s="3"/>
    </row>
    <row r="380" spans="1:7" ht="13">
      <c r="A380" s="3"/>
      <c r="B380" s="3"/>
      <c r="C380" s="3"/>
      <c r="D380" s="3"/>
      <c r="E380" s="3"/>
      <c r="F380" s="14"/>
      <c r="G380" s="3"/>
    </row>
    <row r="381" spans="1:7" ht="13">
      <c r="A381" s="3"/>
      <c r="B381" s="3"/>
      <c r="C381" s="3"/>
      <c r="D381" s="3"/>
      <c r="E381" s="3"/>
      <c r="F381" s="14"/>
      <c r="G381" s="3"/>
    </row>
    <row r="382" spans="1:7" ht="13">
      <c r="A382" s="3"/>
      <c r="B382" s="3"/>
      <c r="C382" s="3"/>
      <c r="D382" s="3"/>
      <c r="E382" s="3"/>
      <c r="F382" s="14"/>
      <c r="G382" s="3"/>
    </row>
    <row r="383" spans="1:7" ht="13">
      <c r="A383" s="3"/>
      <c r="B383" s="3"/>
      <c r="C383" s="3"/>
      <c r="D383" s="3"/>
      <c r="E383" s="3"/>
      <c r="F383" s="14"/>
      <c r="G383" s="3"/>
    </row>
    <row r="384" spans="1:7" ht="13">
      <c r="A384" s="3"/>
      <c r="B384" s="3"/>
      <c r="C384" s="3"/>
      <c r="D384" s="3"/>
      <c r="E384" s="3"/>
      <c r="F384" s="14"/>
      <c r="G384" s="3"/>
    </row>
    <row r="385" spans="1:7" ht="13">
      <c r="A385" s="3"/>
      <c r="B385" s="3"/>
      <c r="C385" s="3"/>
      <c r="D385" s="3"/>
      <c r="E385" s="3"/>
      <c r="F385" s="14"/>
      <c r="G385" s="3"/>
    </row>
    <row r="386" spans="1:7" ht="13">
      <c r="A386" s="3"/>
      <c r="B386" s="3"/>
      <c r="C386" s="3"/>
      <c r="D386" s="3"/>
      <c r="E386" s="3"/>
      <c r="F386" s="14"/>
      <c r="G386" s="3"/>
    </row>
    <row r="387" spans="1:7" ht="13">
      <c r="A387" s="3"/>
      <c r="B387" s="3"/>
      <c r="C387" s="3"/>
      <c r="D387" s="3"/>
      <c r="E387" s="3"/>
      <c r="F387" s="14"/>
      <c r="G387" s="3"/>
    </row>
    <row r="388" spans="1:7" ht="13">
      <c r="A388" s="3"/>
      <c r="B388" s="3"/>
      <c r="C388" s="3"/>
      <c r="D388" s="3"/>
      <c r="E388" s="3"/>
      <c r="F388" s="14"/>
      <c r="G388" s="3"/>
    </row>
    <row r="389" spans="1:7" ht="13">
      <c r="A389" s="3"/>
      <c r="B389" s="3"/>
      <c r="C389" s="3"/>
      <c r="D389" s="3"/>
      <c r="E389" s="3"/>
      <c r="F389" s="14"/>
      <c r="G389" s="3"/>
    </row>
    <row r="390" spans="1:7" ht="13">
      <c r="A390" s="3"/>
      <c r="B390" s="3"/>
      <c r="C390" s="3"/>
      <c r="D390" s="3"/>
      <c r="E390" s="3"/>
      <c r="F390" s="14"/>
      <c r="G390" s="3"/>
    </row>
    <row r="391" spans="1:7" ht="13">
      <c r="A391" s="3"/>
      <c r="B391" s="3"/>
      <c r="C391" s="3"/>
      <c r="D391" s="3"/>
      <c r="E391" s="3"/>
      <c r="F391" s="14"/>
      <c r="G391" s="3"/>
    </row>
    <row r="392" spans="1:7" ht="13">
      <c r="A392" s="3"/>
      <c r="B392" s="3"/>
      <c r="C392" s="3"/>
      <c r="D392" s="3"/>
      <c r="E392" s="3"/>
      <c r="F392" s="14"/>
      <c r="G392" s="3"/>
    </row>
    <row r="393" spans="1:7" ht="13">
      <c r="A393" s="3"/>
      <c r="B393" s="3"/>
      <c r="C393" s="3"/>
      <c r="D393" s="3"/>
      <c r="E393" s="3"/>
      <c r="F393" s="14"/>
      <c r="G393" s="3"/>
    </row>
    <row r="394" spans="1:7" ht="13">
      <c r="A394" s="3"/>
      <c r="B394" s="3"/>
      <c r="C394" s="3"/>
      <c r="D394" s="3"/>
      <c r="E394" s="3"/>
      <c r="F394" s="14"/>
      <c r="G394" s="3"/>
    </row>
    <row r="395" spans="1:7" ht="13">
      <c r="A395" s="3"/>
      <c r="B395" s="3"/>
      <c r="C395" s="3"/>
      <c r="D395" s="3"/>
      <c r="E395" s="3"/>
      <c r="F395" s="14"/>
      <c r="G395" s="3"/>
    </row>
    <row r="396" spans="1:7" ht="13">
      <c r="A396" s="3"/>
      <c r="B396" s="3"/>
      <c r="C396" s="3"/>
      <c r="D396" s="3"/>
      <c r="E396" s="3"/>
      <c r="F396" s="14"/>
      <c r="G396" s="3"/>
    </row>
    <row r="397" spans="1:7" ht="13">
      <c r="A397" s="3"/>
      <c r="B397" s="3"/>
      <c r="C397" s="3"/>
      <c r="D397" s="3"/>
      <c r="E397" s="3"/>
      <c r="F397" s="14"/>
      <c r="G397" s="3"/>
    </row>
    <row r="398" spans="1:7" ht="13">
      <c r="A398" s="3"/>
      <c r="B398" s="3"/>
      <c r="C398" s="3"/>
      <c r="D398" s="3"/>
      <c r="E398" s="3"/>
      <c r="F398" s="14"/>
      <c r="G398" s="3"/>
    </row>
    <row r="399" spans="1:7" ht="13">
      <c r="A399" s="3"/>
      <c r="B399" s="3"/>
      <c r="C399" s="3"/>
      <c r="D399" s="3"/>
      <c r="E399" s="3"/>
      <c r="F399" s="14"/>
      <c r="G399" s="3"/>
    </row>
    <row r="400" spans="1:7" ht="13">
      <c r="A400" s="3"/>
      <c r="B400" s="3"/>
      <c r="C400" s="3"/>
      <c r="D400" s="3"/>
      <c r="E400" s="3"/>
      <c r="F400" s="14"/>
      <c r="G400" s="3"/>
    </row>
    <row r="401" spans="1:7" ht="13">
      <c r="A401" s="3"/>
      <c r="B401" s="3"/>
      <c r="C401" s="3"/>
      <c r="D401" s="3"/>
      <c r="E401" s="3"/>
      <c r="F401" s="14"/>
      <c r="G401" s="3"/>
    </row>
    <row r="402" spans="1:7" ht="13">
      <c r="A402" s="3"/>
      <c r="B402" s="3"/>
      <c r="C402" s="3"/>
      <c r="D402" s="3"/>
      <c r="E402" s="3"/>
      <c r="F402" s="14"/>
      <c r="G402" s="3"/>
    </row>
    <row r="403" spans="1:7" ht="13">
      <c r="A403" s="3"/>
      <c r="B403" s="3"/>
      <c r="C403" s="3"/>
      <c r="D403" s="3"/>
      <c r="E403" s="3"/>
      <c r="F403" s="14"/>
      <c r="G403" s="3"/>
    </row>
    <row r="404" spans="1:7" ht="13">
      <c r="A404" s="3"/>
      <c r="B404" s="3"/>
      <c r="C404" s="3"/>
      <c r="D404" s="3"/>
      <c r="E404" s="3"/>
      <c r="F404" s="14"/>
      <c r="G404" s="3"/>
    </row>
    <row r="405" spans="1:7" ht="13">
      <c r="A405" s="3"/>
      <c r="B405" s="3"/>
      <c r="C405" s="3"/>
      <c r="D405" s="3"/>
      <c r="E405" s="3"/>
      <c r="F405" s="14"/>
      <c r="G405" s="3"/>
    </row>
    <row r="406" spans="1:7" ht="13">
      <c r="A406" s="3"/>
      <c r="B406" s="3"/>
      <c r="C406" s="3"/>
      <c r="D406" s="3"/>
      <c r="E406" s="3"/>
      <c r="F406" s="14"/>
      <c r="G406" s="3"/>
    </row>
    <row r="407" spans="1:7" ht="13">
      <c r="A407" s="3"/>
      <c r="B407" s="3"/>
      <c r="C407" s="3"/>
      <c r="D407" s="3"/>
      <c r="E407" s="3"/>
      <c r="F407" s="14"/>
      <c r="G407" s="3"/>
    </row>
    <row r="408" spans="1:7" ht="13">
      <c r="A408" s="3"/>
      <c r="B408" s="3"/>
      <c r="C408" s="3"/>
      <c r="D408" s="3"/>
      <c r="E408" s="3"/>
      <c r="F408" s="14"/>
      <c r="G408" s="3"/>
    </row>
    <row r="409" spans="1:7" ht="13">
      <c r="A409" s="3"/>
      <c r="B409" s="3"/>
      <c r="C409" s="3"/>
      <c r="D409" s="3"/>
      <c r="E409" s="3"/>
      <c r="F409" s="14"/>
      <c r="G409" s="3"/>
    </row>
    <row r="410" spans="1:7" ht="13">
      <c r="A410" s="3"/>
      <c r="B410" s="3"/>
      <c r="C410" s="3"/>
      <c r="D410" s="3"/>
      <c r="E410" s="3"/>
      <c r="F410" s="14"/>
      <c r="G410" s="3"/>
    </row>
    <row r="411" spans="1:7" ht="13">
      <c r="A411" s="3"/>
      <c r="B411" s="3"/>
      <c r="C411" s="3"/>
      <c r="D411" s="3"/>
      <c r="E411" s="3"/>
      <c r="F411" s="14"/>
      <c r="G411" s="3"/>
    </row>
    <row r="412" spans="1:7" ht="13">
      <c r="A412" s="3"/>
      <c r="B412" s="3"/>
      <c r="C412" s="3"/>
      <c r="D412" s="3"/>
      <c r="E412" s="3"/>
      <c r="F412" s="14"/>
      <c r="G412" s="3"/>
    </row>
    <row r="413" spans="1:7" ht="13">
      <c r="A413" s="3"/>
      <c r="B413" s="3"/>
      <c r="C413" s="3"/>
      <c r="D413" s="3"/>
      <c r="E413" s="3"/>
      <c r="F413" s="14"/>
      <c r="G413" s="3"/>
    </row>
    <row r="414" spans="1:7" ht="13">
      <c r="A414" s="3"/>
      <c r="B414" s="3"/>
      <c r="C414" s="3"/>
      <c r="D414" s="3"/>
      <c r="E414" s="3"/>
      <c r="F414" s="14"/>
      <c r="G414" s="3"/>
    </row>
    <row r="415" spans="1:7" ht="13">
      <c r="A415" s="3"/>
      <c r="B415" s="3"/>
      <c r="C415" s="3"/>
      <c r="D415" s="3"/>
      <c r="E415" s="3"/>
      <c r="F415" s="14"/>
      <c r="G415" s="3"/>
    </row>
    <row r="416" spans="1:7" ht="13">
      <c r="A416" s="3"/>
      <c r="B416" s="3"/>
      <c r="C416" s="3"/>
      <c r="D416" s="3"/>
      <c r="E416" s="3"/>
      <c r="F416" s="14"/>
      <c r="G416" s="3"/>
    </row>
    <row r="417" spans="1:7" ht="13">
      <c r="A417" s="3"/>
      <c r="B417" s="3"/>
      <c r="C417" s="3"/>
      <c r="D417" s="3"/>
      <c r="E417" s="3"/>
      <c r="F417" s="14"/>
      <c r="G417" s="3"/>
    </row>
    <row r="418" spans="1:7" ht="13">
      <c r="A418" s="3"/>
      <c r="B418" s="3"/>
      <c r="C418" s="3"/>
      <c r="D418" s="3"/>
      <c r="E418" s="3"/>
      <c r="F418" s="14"/>
      <c r="G418" s="3"/>
    </row>
    <row r="419" spans="1:7" ht="13">
      <c r="A419" s="3"/>
      <c r="B419" s="3"/>
      <c r="C419" s="3"/>
      <c r="D419" s="3"/>
      <c r="E419" s="3"/>
      <c r="F419" s="14"/>
      <c r="G419" s="3"/>
    </row>
    <row r="420" spans="1:7" ht="13">
      <c r="A420" s="3"/>
      <c r="B420" s="3"/>
      <c r="C420" s="3"/>
      <c r="D420" s="3"/>
      <c r="E420" s="3"/>
      <c r="F420" s="14"/>
      <c r="G420" s="3"/>
    </row>
    <row r="421" spans="1:7" ht="13">
      <c r="A421" s="3"/>
      <c r="B421" s="3"/>
      <c r="C421" s="3"/>
      <c r="D421" s="3"/>
      <c r="E421" s="3"/>
      <c r="F421" s="14"/>
      <c r="G421" s="3"/>
    </row>
    <row r="422" spans="1:7" ht="13">
      <c r="A422" s="3"/>
      <c r="B422" s="3"/>
      <c r="C422" s="3"/>
      <c r="D422" s="3"/>
      <c r="E422" s="3"/>
      <c r="F422" s="14"/>
      <c r="G422" s="3"/>
    </row>
    <row r="423" spans="1:7" ht="13">
      <c r="A423" s="3"/>
      <c r="B423" s="3"/>
      <c r="C423" s="3"/>
      <c r="D423" s="3"/>
      <c r="E423" s="3"/>
      <c r="F423" s="14"/>
      <c r="G423" s="3"/>
    </row>
    <row r="424" spans="1:7" ht="13">
      <c r="A424" s="3"/>
      <c r="B424" s="3"/>
      <c r="C424" s="3"/>
      <c r="D424" s="3"/>
      <c r="E424" s="3"/>
      <c r="F424" s="14"/>
      <c r="G424" s="3"/>
    </row>
    <row r="425" spans="1:7" ht="13">
      <c r="A425" s="3"/>
      <c r="B425" s="3"/>
      <c r="C425" s="3"/>
      <c r="D425" s="3"/>
      <c r="E425" s="3"/>
      <c r="F425" s="14"/>
      <c r="G425" s="3"/>
    </row>
    <row r="426" spans="1:7" ht="13">
      <c r="A426" s="3"/>
      <c r="B426" s="3"/>
      <c r="C426" s="3"/>
      <c r="D426" s="3"/>
      <c r="E426" s="3"/>
      <c r="F426" s="14"/>
      <c r="G426" s="3"/>
    </row>
    <row r="427" spans="1:7" ht="13">
      <c r="A427" s="3"/>
      <c r="B427" s="3"/>
      <c r="C427" s="3"/>
      <c r="D427" s="3"/>
      <c r="E427" s="3"/>
      <c r="F427" s="14"/>
      <c r="G427" s="3"/>
    </row>
    <row r="428" spans="1:7" ht="13">
      <c r="A428" s="3"/>
      <c r="B428" s="3"/>
      <c r="C428" s="3"/>
      <c r="D428" s="3"/>
      <c r="E428" s="3"/>
      <c r="F428" s="14"/>
      <c r="G428" s="3"/>
    </row>
    <row r="429" spans="1:7" ht="13">
      <c r="A429" s="3"/>
      <c r="B429" s="3"/>
      <c r="C429" s="3"/>
      <c r="D429" s="3"/>
      <c r="E429" s="3"/>
      <c r="F429" s="14"/>
      <c r="G429" s="3"/>
    </row>
    <row r="430" spans="1:7" ht="13">
      <c r="A430" s="3"/>
      <c r="B430" s="3"/>
      <c r="C430" s="3"/>
      <c r="D430" s="3"/>
      <c r="E430" s="3"/>
      <c r="F430" s="14"/>
      <c r="G430" s="3"/>
    </row>
    <row r="431" spans="1:7" ht="13">
      <c r="A431" s="3"/>
      <c r="B431" s="3"/>
      <c r="C431" s="3"/>
      <c r="D431" s="3"/>
      <c r="E431" s="3"/>
      <c r="F431" s="14"/>
      <c r="G431" s="3"/>
    </row>
    <row r="432" spans="1:7" ht="13">
      <c r="A432" s="3"/>
      <c r="B432" s="3"/>
      <c r="C432" s="3"/>
      <c r="D432" s="3"/>
      <c r="E432" s="3"/>
      <c r="F432" s="14"/>
      <c r="G432" s="3"/>
    </row>
    <row r="433" spans="1:7" ht="13">
      <c r="A433" s="3"/>
      <c r="B433" s="3"/>
      <c r="C433" s="3"/>
      <c r="D433" s="3"/>
      <c r="E433" s="3"/>
      <c r="F433" s="14"/>
      <c r="G433" s="3"/>
    </row>
    <row r="434" spans="1:7" ht="13">
      <c r="A434" s="3"/>
      <c r="B434" s="3"/>
      <c r="C434" s="3"/>
      <c r="D434" s="3"/>
      <c r="E434" s="3"/>
      <c r="F434" s="14"/>
      <c r="G434" s="3"/>
    </row>
    <row r="435" spans="1:7" ht="13">
      <c r="A435" s="3"/>
      <c r="B435" s="3"/>
      <c r="C435" s="3"/>
      <c r="D435" s="3"/>
      <c r="E435" s="3"/>
      <c r="F435" s="14"/>
      <c r="G435" s="3"/>
    </row>
    <row r="436" spans="1:7" ht="13">
      <c r="A436" s="3"/>
      <c r="B436" s="3"/>
      <c r="C436" s="3"/>
      <c r="D436" s="3"/>
      <c r="E436" s="3"/>
      <c r="F436" s="14"/>
      <c r="G436" s="3"/>
    </row>
    <row r="437" spans="1:7" ht="13">
      <c r="A437" s="3"/>
      <c r="B437" s="3"/>
      <c r="C437" s="3"/>
      <c r="D437" s="3"/>
      <c r="E437" s="3"/>
      <c r="F437" s="14"/>
      <c r="G437" s="3"/>
    </row>
    <row r="438" spans="1:7" ht="13">
      <c r="A438" s="3"/>
      <c r="B438" s="3"/>
      <c r="C438" s="3"/>
      <c r="D438" s="3"/>
      <c r="E438" s="3"/>
      <c r="F438" s="14"/>
      <c r="G438" s="3"/>
    </row>
    <row r="439" spans="1:7" ht="13">
      <c r="A439" s="3"/>
      <c r="B439" s="3"/>
      <c r="C439" s="3"/>
      <c r="D439" s="3"/>
      <c r="E439" s="3"/>
      <c r="F439" s="14"/>
      <c r="G439" s="3"/>
    </row>
    <row r="440" spans="1:7" ht="13">
      <c r="A440" s="3"/>
      <c r="B440" s="3"/>
      <c r="C440" s="3"/>
      <c r="D440" s="3"/>
      <c r="E440" s="3"/>
      <c r="F440" s="14"/>
      <c r="G440" s="3"/>
    </row>
    <row r="441" spans="1:7" ht="13">
      <c r="A441" s="3"/>
      <c r="B441" s="3"/>
      <c r="C441" s="3"/>
      <c r="D441" s="3"/>
      <c r="E441" s="3"/>
      <c r="F441" s="14"/>
      <c r="G441" s="3"/>
    </row>
    <row r="442" spans="1:7" ht="13">
      <c r="A442" s="3"/>
      <c r="B442" s="3"/>
      <c r="C442" s="3"/>
      <c r="D442" s="3"/>
      <c r="E442" s="3"/>
      <c r="F442" s="14"/>
      <c r="G442" s="3"/>
    </row>
    <row r="443" spans="1:7" ht="13">
      <c r="A443" s="3"/>
      <c r="B443" s="3"/>
      <c r="C443" s="3"/>
      <c r="D443" s="3"/>
      <c r="E443" s="3"/>
      <c r="F443" s="14"/>
      <c r="G443" s="3"/>
    </row>
    <row r="444" spans="1:7" ht="13">
      <c r="A444" s="3"/>
      <c r="B444" s="3"/>
      <c r="C444" s="3"/>
      <c r="D444" s="3"/>
      <c r="E444" s="3"/>
      <c r="F444" s="14"/>
      <c r="G444" s="3"/>
    </row>
    <row r="445" spans="1:7" ht="13">
      <c r="A445" s="3"/>
      <c r="B445" s="3"/>
      <c r="C445" s="3"/>
      <c r="D445" s="3"/>
      <c r="E445" s="3"/>
      <c r="F445" s="14"/>
      <c r="G445" s="3"/>
    </row>
    <row r="446" spans="1:7" ht="13">
      <c r="A446" s="3"/>
      <c r="B446" s="3"/>
      <c r="C446" s="3"/>
      <c r="D446" s="3"/>
      <c r="E446" s="3"/>
      <c r="F446" s="14"/>
      <c r="G446" s="3"/>
    </row>
    <row r="447" spans="1:7" ht="13">
      <c r="A447" s="3"/>
      <c r="B447" s="3"/>
      <c r="C447" s="3"/>
      <c r="D447" s="3"/>
      <c r="E447" s="3"/>
      <c r="F447" s="14"/>
      <c r="G447" s="3"/>
    </row>
    <row r="448" spans="1:7" ht="13">
      <c r="A448" s="3"/>
      <c r="B448" s="3"/>
      <c r="C448" s="3"/>
      <c r="D448" s="3"/>
      <c r="E448" s="3"/>
      <c r="F448" s="14"/>
      <c r="G448" s="3"/>
    </row>
    <row r="449" spans="1:7" ht="13">
      <c r="A449" s="3"/>
      <c r="B449" s="3"/>
      <c r="C449" s="3"/>
      <c r="D449" s="3"/>
      <c r="E449" s="3"/>
      <c r="F449" s="14"/>
      <c r="G449" s="3"/>
    </row>
    <row r="450" spans="1:7" ht="13">
      <c r="A450" s="3"/>
      <c r="B450" s="3"/>
      <c r="C450" s="3"/>
      <c r="D450" s="3"/>
      <c r="E450" s="3"/>
      <c r="F450" s="14"/>
      <c r="G450" s="3"/>
    </row>
    <row r="451" spans="1:7" ht="13">
      <c r="A451" s="3"/>
      <c r="B451" s="3"/>
      <c r="C451" s="3"/>
      <c r="D451" s="3"/>
      <c r="E451" s="3"/>
      <c r="F451" s="14"/>
      <c r="G451" s="3"/>
    </row>
    <row r="452" spans="1:7" ht="13">
      <c r="A452" s="3"/>
      <c r="B452" s="3"/>
      <c r="C452" s="3"/>
      <c r="D452" s="3"/>
      <c r="E452" s="3"/>
      <c r="F452" s="14"/>
      <c r="G452" s="3"/>
    </row>
    <row r="453" spans="1:7" ht="13">
      <c r="A453" s="3"/>
      <c r="B453" s="3"/>
      <c r="C453" s="3"/>
      <c r="D453" s="3"/>
      <c r="E453" s="3"/>
      <c r="F453" s="14"/>
      <c r="G453" s="3"/>
    </row>
    <row r="454" spans="1:7" ht="13">
      <c r="A454" s="3"/>
      <c r="B454" s="3"/>
      <c r="C454" s="3"/>
      <c r="D454" s="3"/>
      <c r="E454" s="3"/>
      <c r="F454" s="14"/>
      <c r="G454" s="3"/>
    </row>
    <row r="455" spans="1:7" ht="13">
      <c r="A455" s="3"/>
      <c r="B455" s="3"/>
      <c r="C455" s="3"/>
      <c r="D455" s="3"/>
      <c r="E455" s="3"/>
      <c r="F455" s="14"/>
      <c r="G455" s="3"/>
    </row>
    <row r="456" spans="1:7" ht="13">
      <c r="A456" s="3"/>
      <c r="B456" s="3"/>
      <c r="C456" s="3"/>
      <c r="D456" s="3"/>
      <c r="E456" s="3"/>
      <c r="F456" s="14"/>
      <c r="G456" s="3"/>
    </row>
    <row r="457" spans="1:7" ht="13">
      <c r="A457" s="3"/>
      <c r="B457" s="3"/>
      <c r="C457" s="3"/>
      <c r="D457" s="3"/>
      <c r="E457" s="3"/>
      <c r="F457" s="14"/>
      <c r="G457" s="3"/>
    </row>
    <row r="458" spans="1:7" ht="13">
      <c r="A458" s="3"/>
      <c r="B458" s="3"/>
      <c r="C458" s="3"/>
      <c r="D458" s="3"/>
      <c r="E458" s="3"/>
      <c r="F458" s="14"/>
      <c r="G458" s="3"/>
    </row>
    <row r="459" spans="1:7" ht="13">
      <c r="A459" s="3"/>
      <c r="B459" s="3"/>
      <c r="C459" s="3"/>
      <c r="D459" s="3"/>
      <c r="E459" s="3"/>
      <c r="F459" s="14"/>
      <c r="G459" s="3"/>
    </row>
    <row r="460" spans="1:7" ht="13">
      <c r="A460" s="3"/>
      <c r="B460" s="3"/>
      <c r="C460" s="3"/>
      <c r="D460" s="3"/>
      <c r="E460" s="3"/>
      <c r="F460" s="14"/>
      <c r="G460" s="3"/>
    </row>
    <row r="461" spans="1:7" ht="13">
      <c r="A461" s="3"/>
      <c r="B461" s="3"/>
      <c r="C461" s="3"/>
      <c r="D461" s="3"/>
      <c r="E461" s="3"/>
      <c r="F461" s="14"/>
      <c r="G461" s="3"/>
    </row>
    <row r="462" spans="1:7" ht="13">
      <c r="A462" s="3"/>
      <c r="B462" s="3"/>
      <c r="C462" s="3"/>
      <c r="D462" s="3"/>
      <c r="E462" s="3"/>
      <c r="F462" s="14"/>
      <c r="G462" s="3"/>
    </row>
    <row r="463" spans="1:7" ht="13">
      <c r="A463" s="3"/>
      <c r="B463" s="3"/>
      <c r="C463" s="3"/>
      <c r="D463" s="3"/>
      <c r="E463" s="3"/>
      <c r="F463" s="14"/>
      <c r="G463" s="3"/>
    </row>
    <row r="464" spans="1:7" ht="13">
      <c r="A464" s="3"/>
      <c r="B464" s="3"/>
      <c r="C464" s="3"/>
      <c r="D464" s="3"/>
      <c r="E464" s="3"/>
      <c r="F464" s="14"/>
      <c r="G464" s="3"/>
    </row>
    <row r="465" spans="1:7" ht="13">
      <c r="A465" s="3"/>
      <c r="B465" s="3"/>
      <c r="C465" s="3"/>
      <c r="D465" s="3"/>
      <c r="E465" s="3"/>
      <c r="F465" s="14"/>
      <c r="G465" s="3"/>
    </row>
    <row r="466" spans="1:7" ht="13">
      <c r="A466" s="3"/>
      <c r="B466" s="3"/>
      <c r="C466" s="3"/>
      <c r="D466" s="3"/>
      <c r="E466" s="3"/>
      <c r="F466" s="14"/>
      <c r="G466" s="3"/>
    </row>
    <row r="467" spans="1:7" ht="13">
      <c r="A467" s="3"/>
      <c r="B467" s="3"/>
      <c r="C467" s="3"/>
      <c r="D467" s="3"/>
      <c r="E467" s="3"/>
      <c r="F467" s="14"/>
      <c r="G467" s="3"/>
    </row>
    <row r="468" spans="1:7" ht="13">
      <c r="A468" s="3"/>
      <c r="B468" s="3"/>
      <c r="C468" s="3"/>
      <c r="D468" s="3"/>
      <c r="E468" s="3"/>
      <c r="F468" s="14"/>
      <c r="G468" s="3"/>
    </row>
    <row r="469" spans="1:7" ht="13">
      <c r="A469" s="3"/>
      <c r="B469" s="3"/>
      <c r="C469" s="3"/>
      <c r="D469" s="3"/>
      <c r="E469" s="3"/>
      <c r="F469" s="14"/>
      <c r="G469" s="3"/>
    </row>
    <row r="470" spans="1:7" ht="13">
      <c r="A470" s="3"/>
      <c r="B470" s="3"/>
      <c r="C470" s="3"/>
      <c r="D470" s="3"/>
      <c r="E470" s="3"/>
      <c r="F470" s="14"/>
      <c r="G470" s="3"/>
    </row>
    <row r="471" spans="1:7" ht="13">
      <c r="A471" s="3"/>
      <c r="B471" s="3"/>
      <c r="C471" s="3"/>
      <c r="D471" s="3"/>
      <c r="E471" s="3"/>
      <c r="F471" s="14"/>
      <c r="G471" s="3"/>
    </row>
    <row r="472" spans="1:7" ht="13">
      <c r="A472" s="3"/>
      <c r="B472" s="3"/>
      <c r="C472" s="3"/>
      <c r="D472" s="3"/>
      <c r="E472" s="3"/>
      <c r="F472" s="14"/>
      <c r="G472" s="3"/>
    </row>
    <row r="473" spans="1:7" ht="13">
      <c r="A473" s="3"/>
      <c r="B473" s="3"/>
      <c r="C473" s="3"/>
      <c r="D473" s="3"/>
      <c r="E473" s="3"/>
      <c r="F473" s="14"/>
      <c r="G473" s="3"/>
    </row>
    <row r="474" spans="1:7" ht="13">
      <c r="A474" s="3"/>
      <c r="B474" s="3"/>
      <c r="C474" s="3"/>
      <c r="D474" s="3"/>
      <c r="E474" s="3"/>
      <c r="F474" s="14"/>
      <c r="G474" s="3"/>
    </row>
    <row r="475" spans="1:7" ht="13">
      <c r="A475" s="3"/>
      <c r="B475" s="3"/>
      <c r="C475" s="3"/>
      <c r="D475" s="3"/>
      <c r="E475" s="3"/>
      <c r="F475" s="14"/>
      <c r="G475" s="3"/>
    </row>
    <row r="476" spans="1:7" ht="13">
      <c r="A476" s="3"/>
      <c r="B476" s="3"/>
      <c r="C476" s="3"/>
      <c r="D476" s="3"/>
      <c r="E476" s="3"/>
      <c r="F476" s="14"/>
      <c r="G476" s="3"/>
    </row>
    <row r="477" spans="1:7" ht="13">
      <c r="A477" s="3"/>
      <c r="B477" s="3"/>
      <c r="C477" s="3"/>
      <c r="D477" s="3"/>
      <c r="E477" s="3"/>
      <c r="F477" s="14"/>
      <c r="G477" s="3"/>
    </row>
    <row r="478" spans="1:7" ht="13">
      <c r="A478" s="3"/>
      <c r="B478" s="3"/>
      <c r="C478" s="3"/>
      <c r="D478" s="3"/>
      <c r="E478" s="3"/>
      <c r="F478" s="14"/>
      <c r="G478" s="3"/>
    </row>
    <row r="479" spans="1:7" ht="13">
      <c r="A479" s="3"/>
      <c r="B479" s="3"/>
      <c r="C479" s="3"/>
      <c r="D479" s="3"/>
      <c r="E479" s="3"/>
      <c r="F479" s="14"/>
      <c r="G479" s="3"/>
    </row>
    <row r="480" spans="1:7" ht="13">
      <c r="A480" s="3"/>
      <c r="B480" s="3"/>
      <c r="C480" s="3"/>
      <c r="D480" s="3"/>
      <c r="E480" s="3"/>
      <c r="F480" s="14"/>
      <c r="G480" s="3"/>
    </row>
    <row r="481" spans="1:7" ht="13">
      <c r="A481" s="3"/>
      <c r="B481" s="3"/>
      <c r="C481" s="3"/>
      <c r="D481" s="3"/>
      <c r="E481" s="3"/>
      <c r="F481" s="14"/>
      <c r="G481" s="3"/>
    </row>
    <row r="482" spans="1:7" ht="13">
      <c r="A482" s="3"/>
      <c r="B482" s="3"/>
      <c r="C482" s="3"/>
      <c r="D482" s="3"/>
      <c r="E482" s="3"/>
      <c r="F482" s="14"/>
      <c r="G482" s="3"/>
    </row>
    <row r="483" spans="1:7" ht="13">
      <c r="A483" s="3"/>
      <c r="B483" s="3"/>
      <c r="C483" s="3"/>
      <c r="D483" s="3"/>
      <c r="E483" s="3"/>
      <c r="F483" s="14"/>
      <c r="G483" s="3"/>
    </row>
    <row r="484" spans="1:7" ht="13">
      <c r="A484" s="3"/>
      <c r="B484" s="3"/>
      <c r="C484" s="3"/>
      <c r="D484" s="3"/>
      <c r="E484" s="3"/>
      <c r="F484" s="14"/>
      <c r="G484" s="3"/>
    </row>
    <row r="485" spans="1:7" ht="13">
      <c r="A485" s="3"/>
      <c r="B485" s="3"/>
      <c r="C485" s="3"/>
      <c r="D485" s="3"/>
      <c r="E485" s="3"/>
      <c r="F485" s="14"/>
      <c r="G485" s="3"/>
    </row>
    <row r="486" spans="1:7" ht="13">
      <c r="A486" s="3"/>
      <c r="B486" s="3"/>
      <c r="C486" s="3"/>
      <c r="D486" s="3"/>
      <c r="E486" s="3"/>
      <c r="F486" s="14"/>
      <c r="G486" s="3"/>
    </row>
    <row r="487" spans="1:7" ht="13">
      <c r="A487" s="3"/>
      <c r="B487" s="3"/>
      <c r="C487" s="3"/>
      <c r="D487" s="3"/>
      <c r="E487" s="3"/>
      <c r="F487" s="14"/>
      <c r="G487" s="3"/>
    </row>
    <row r="488" spans="1:7" ht="13">
      <c r="A488" s="3"/>
      <c r="B488" s="3"/>
      <c r="C488" s="3"/>
      <c r="D488" s="3"/>
      <c r="E488" s="3"/>
      <c r="F488" s="14"/>
      <c r="G488" s="3"/>
    </row>
    <row r="489" spans="1:7" ht="13">
      <c r="A489" s="3"/>
      <c r="B489" s="3"/>
      <c r="C489" s="3"/>
      <c r="D489" s="3"/>
      <c r="E489" s="3"/>
      <c r="F489" s="14"/>
      <c r="G489" s="3"/>
    </row>
    <row r="490" spans="1:7" ht="13">
      <c r="A490" s="3"/>
      <c r="B490" s="3"/>
      <c r="C490" s="3"/>
      <c r="D490" s="3"/>
      <c r="E490" s="3"/>
      <c r="F490" s="14"/>
      <c r="G490" s="3"/>
    </row>
    <row r="491" spans="1:7" ht="13">
      <c r="A491" s="3"/>
      <c r="B491" s="3"/>
      <c r="C491" s="3"/>
      <c r="D491" s="3"/>
      <c r="E491" s="3"/>
      <c r="F491" s="14"/>
      <c r="G491" s="3"/>
    </row>
    <row r="492" spans="1:7" ht="13">
      <c r="A492" s="3"/>
      <c r="B492" s="3"/>
      <c r="C492" s="3"/>
      <c r="D492" s="3"/>
      <c r="E492" s="3"/>
      <c r="F492" s="14"/>
      <c r="G492" s="3"/>
    </row>
    <row r="493" spans="1:7" ht="13">
      <c r="A493" s="3"/>
      <c r="B493" s="3"/>
      <c r="C493" s="3"/>
      <c r="D493" s="3"/>
      <c r="E493" s="3"/>
      <c r="F493" s="14"/>
      <c r="G493" s="3"/>
    </row>
    <row r="494" spans="1:7" ht="13">
      <c r="A494" s="3"/>
      <c r="B494" s="3"/>
      <c r="C494" s="3"/>
      <c r="D494" s="3"/>
      <c r="E494" s="3"/>
      <c r="F494" s="14"/>
      <c r="G494" s="3"/>
    </row>
    <row r="495" spans="1:7" ht="13">
      <c r="A495" s="3"/>
      <c r="B495" s="3"/>
      <c r="C495" s="3"/>
      <c r="D495" s="3"/>
      <c r="E495" s="3"/>
      <c r="F495" s="14"/>
      <c r="G495" s="3"/>
    </row>
    <row r="496" spans="1:7" ht="13">
      <c r="A496" s="3"/>
      <c r="B496" s="3"/>
      <c r="C496" s="3"/>
      <c r="D496" s="3"/>
      <c r="E496" s="3"/>
      <c r="F496" s="14"/>
      <c r="G496" s="3"/>
    </row>
    <row r="497" spans="1:7" ht="13">
      <c r="A497" s="3"/>
      <c r="B497" s="3"/>
      <c r="C497" s="3"/>
      <c r="D497" s="3"/>
      <c r="E497" s="3"/>
      <c r="F497" s="14"/>
      <c r="G497" s="3"/>
    </row>
    <row r="498" spans="1:7" ht="13">
      <c r="A498" s="3"/>
      <c r="B498" s="3"/>
      <c r="C498" s="3"/>
      <c r="D498" s="3"/>
      <c r="E498" s="3"/>
      <c r="F498" s="14"/>
      <c r="G498" s="3"/>
    </row>
    <row r="499" spans="1:7" ht="13">
      <c r="A499" s="3"/>
      <c r="B499" s="3"/>
      <c r="C499" s="3"/>
      <c r="D499" s="3"/>
      <c r="E499" s="3"/>
      <c r="F499" s="14"/>
      <c r="G499" s="3"/>
    </row>
    <row r="500" spans="1:7" ht="13">
      <c r="A500" s="3"/>
      <c r="B500" s="3"/>
      <c r="C500" s="3"/>
      <c r="D500" s="3"/>
      <c r="E500" s="3"/>
      <c r="F500" s="14"/>
      <c r="G500" s="3"/>
    </row>
    <row r="501" spans="1:7" ht="13">
      <c r="A501" s="3"/>
      <c r="B501" s="3"/>
      <c r="C501" s="3"/>
      <c r="D501" s="3"/>
      <c r="E501" s="3"/>
      <c r="F501" s="14"/>
      <c r="G501" s="3"/>
    </row>
    <row r="502" spans="1:7" ht="13">
      <c r="A502" s="3"/>
      <c r="B502" s="3"/>
      <c r="C502" s="3"/>
      <c r="D502" s="3"/>
      <c r="E502" s="3"/>
      <c r="F502" s="14"/>
      <c r="G502" s="3"/>
    </row>
    <row r="503" spans="1:7" ht="13">
      <c r="A503" s="3"/>
      <c r="B503" s="3"/>
      <c r="C503" s="3"/>
      <c r="D503" s="3"/>
      <c r="E503" s="3"/>
      <c r="F503" s="14"/>
      <c r="G503" s="3"/>
    </row>
    <row r="504" spans="1:7" ht="13">
      <c r="A504" s="3"/>
      <c r="B504" s="3"/>
      <c r="C504" s="3"/>
      <c r="D504" s="3"/>
      <c r="E504" s="3"/>
      <c r="F504" s="14"/>
      <c r="G504" s="3"/>
    </row>
    <row r="505" spans="1:7" ht="13">
      <c r="A505" s="3"/>
      <c r="B505" s="3"/>
      <c r="C505" s="3"/>
      <c r="D505" s="3"/>
      <c r="E505" s="3"/>
      <c r="F505" s="14"/>
      <c r="G505" s="3"/>
    </row>
    <row r="506" spans="1:7" ht="13">
      <c r="A506" s="3"/>
      <c r="B506" s="3"/>
      <c r="C506" s="3"/>
      <c r="D506" s="3"/>
      <c r="E506" s="3"/>
      <c r="F506" s="14"/>
      <c r="G506" s="3"/>
    </row>
    <row r="507" spans="1:7" ht="13">
      <c r="A507" s="3"/>
      <c r="B507" s="3"/>
      <c r="C507" s="3"/>
      <c r="D507" s="3"/>
      <c r="E507" s="3"/>
      <c r="F507" s="14"/>
      <c r="G507" s="3"/>
    </row>
    <row r="508" spans="1:7" ht="13">
      <c r="A508" s="3"/>
      <c r="B508" s="3"/>
      <c r="C508" s="3"/>
      <c r="D508" s="3"/>
      <c r="E508" s="3"/>
      <c r="F508" s="14"/>
      <c r="G508" s="3"/>
    </row>
    <row r="509" spans="1:7" ht="13">
      <c r="A509" s="3"/>
      <c r="B509" s="3"/>
      <c r="C509" s="3"/>
      <c r="D509" s="3"/>
      <c r="E509" s="3"/>
      <c r="F509" s="14"/>
      <c r="G509" s="3"/>
    </row>
    <row r="510" spans="1:7" ht="13">
      <c r="A510" s="3"/>
      <c r="B510" s="3"/>
      <c r="C510" s="3"/>
      <c r="D510" s="3"/>
      <c r="E510" s="3"/>
      <c r="F510" s="14"/>
      <c r="G510" s="3"/>
    </row>
    <row r="511" spans="1:7" ht="13">
      <c r="A511" s="3"/>
      <c r="B511" s="3"/>
      <c r="C511" s="3"/>
      <c r="D511" s="3"/>
      <c r="E511" s="3"/>
      <c r="F511" s="14"/>
      <c r="G511" s="3"/>
    </row>
    <row r="512" spans="1:7" ht="13">
      <c r="A512" s="3"/>
      <c r="B512" s="3"/>
      <c r="C512" s="3"/>
      <c r="D512" s="3"/>
      <c r="E512" s="3"/>
      <c r="F512" s="14"/>
      <c r="G512" s="3"/>
    </row>
    <row r="513" spans="1:7" ht="13">
      <c r="A513" s="3"/>
      <c r="B513" s="3"/>
      <c r="C513" s="3"/>
      <c r="D513" s="3"/>
      <c r="E513" s="3"/>
      <c r="F513" s="14"/>
      <c r="G513" s="3"/>
    </row>
    <row r="514" spans="1:7" ht="13">
      <c r="A514" s="3"/>
      <c r="B514" s="3"/>
      <c r="C514" s="3"/>
      <c r="D514" s="3"/>
      <c r="E514" s="3"/>
      <c r="F514" s="14"/>
      <c r="G514" s="3"/>
    </row>
    <row r="515" spans="1:7" ht="13">
      <c r="A515" s="3"/>
      <c r="B515" s="3"/>
      <c r="C515" s="3"/>
      <c r="D515" s="3"/>
      <c r="E515" s="3"/>
      <c r="F515" s="14"/>
      <c r="G515" s="3"/>
    </row>
    <row r="516" spans="1:7" ht="13">
      <c r="A516" s="3"/>
      <c r="B516" s="3"/>
      <c r="C516" s="3"/>
      <c r="D516" s="3"/>
      <c r="E516" s="3"/>
      <c r="F516" s="14"/>
      <c r="G516" s="3"/>
    </row>
    <row r="517" spans="1:7" ht="13">
      <c r="A517" s="3"/>
      <c r="B517" s="3"/>
      <c r="C517" s="3"/>
      <c r="D517" s="3"/>
      <c r="E517" s="3"/>
      <c r="F517" s="14"/>
      <c r="G517" s="3"/>
    </row>
    <row r="518" spans="1:7" ht="13">
      <c r="A518" s="3"/>
      <c r="B518" s="3"/>
      <c r="C518" s="3"/>
      <c r="D518" s="3"/>
      <c r="E518" s="3"/>
      <c r="F518" s="14"/>
      <c r="G518" s="3"/>
    </row>
    <row r="519" spans="1:7" ht="13">
      <c r="A519" s="3"/>
      <c r="B519" s="3"/>
      <c r="C519" s="3"/>
      <c r="D519" s="3"/>
      <c r="E519" s="3"/>
      <c r="F519" s="14"/>
      <c r="G519" s="3"/>
    </row>
    <row r="520" spans="1:7" ht="13">
      <c r="A520" s="3"/>
      <c r="B520" s="3"/>
      <c r="C520" s="3"/>
      <c r="D520" s="3"/>
      <c r="E520" s="3"/>
      <c r="F520" s="14"/>
      <c r="G520" s="3"/>
    </row>
    <row r="521" spans="1:7" ht="13">
      <c r="A521" s="3"/>
      <c r="B521" s="3"/>
      <c r="C521" s="3"/>
      <c r="D521" s="3"/>
      <c r="E521" s="3"/>
      <c r="F521" s="14"/>
      <c r="G521" s="3"/>
    </row>
    <row r="522" spans="1:7" ht="13">
      <c r="A522" s="3"/>
      <c r="B522" s="3"/>
      <c r="C522" s="3"/>
      <c r="D522" s="3"/>
      <c r="E522" s="3"/>
      <c r="F522" s="14"/>
      <c r="G522" s="3"/>
    </row>
    <row r="523" spans="1:7" ht="13">
      <c r="A523" s="3"/>
      <c r="B523" s="3"/>
      <c r="C523" s="3"/>
      <c r="D523" s="3"/>
      <c r="E523" s="3"/>
      <c r="F523" s="14"/>
      <c r="G523" s="3"/>
    </row>
    <row r="524" spans="1:7" ht="13">
      <c r="A524" s="3"/>
      <c r="B524" s="3"/>
      <c r="C524" s="3"/>
      <c r="D524" s="3"/>
      <c r="E524" s="3"/>
      <c r="F524" s="14"/>
      <c r="G524" s="3"/>
    </row>
    <row r="525" spans="1:7" ht="13">
      <c r="A525" s="3"/>
      <c r="B525" s="3"/>
      <c r="C525" s="3"/>
      <c r="D525" s="3"/>
      <c r="E525" s="3"/>
      <c r="F525" s="14"/>
      <c r="G525" s="3"/>
    </row>
    <row r="526" spans="1:7" ht="13">
      <c r="A526" s="3"/>
      <c r="B526" s="3"/>
      <c r="C526" s="3"/>
      <c r="D526" s="3"/>
      <c r="E526" s="3"/>
      <c r="F526" s="14"/>
      <c r="G526" s="3"/>
    </row>
    <row r="527" spans="1:7" ht="13">
      <c r="A527" s="3"/>
      <c r="B527" s="3"/>
      <c r="C527" s="3"/>
      <c r="D527" s="3"/>
      <c r="E527" s="3"/>
      <c r="F527" s="14"/>
      <c r="G527" s="3"/>
    </row>
    <row r="528" spans="1:7" ht="13">
      <c r="A528" s="3"/>
      <c r="B528" s="3"/>
      <c r="C528" s="3"/>
      <c r="D528" s="3"/>
      <c r="E528" s="3"/>
      <c r="F528" s="14"/>
      <c r="G528" s="3"/>
    </row>
    <row r="529" spans="1:7" ht="13">
      <c r="A529" s="3"/>
      <c r="B529" s="3"/>
      <c r="C529" s="3"/>
      <c r="D529" s="3"/>
      <c r="E529" s="3"/>
      <c r="F529" s="14"/>
      <c r="G529" s="3"/>
    </row>
    <row r="530" spans="1:7" ht="13">
      <c r="A530" s="3"/>
      <c r="B530" s="3"/>
      <c r="C530" s="3"/>
      <c r="D530" s="3"/>
      <c r="E530" s="3"/>
      <c r="F530" s="14"/>
      <c r="G530" s="3"/>
    </row>
    <row r="531" spans="1:7" ht="13">
      <c r="A531" s="3"/>
      <c r="B531" s="3"/>
      <c r="C531" s="3"/>
      <c r="D531" s="3"/>
      <c r="E531" s="3"/>
      <c r="F531" s="14"/>
      <c r="G531" s="3"/>
    </row>
    <row r="532" spans="1:7" ht="13">
      <c r="A532" s="3"/>
      <c r="B532" s="3"/>
      <c r="C532" s="3"/>
      <c r="D532" s="3"/>
      <c r="E532" s="3"/>
      <c r="F532" s="14"/>
      <c r="G532" s="3"/>
    </row>
    <row r="533" spans="1:7" ht="13">
      <c r="A533" s="3"/>
      <c r="B533" s="3"/>
      <c r="C533" s="3"/>
      <c r="D533" s="3"/>
      <c r="E533" s="3"/>
      <c r="F533" s="14"/>
      <c r="G533" s="3"/>
    </row>
    <row r="534" spans="1:7" ht="13">
      <c r="A534" s="3"/>
      <c r="B534" s="3"/>
      <c r="C534" s="3"/>
      <c r="D534" s="3"/>
      <c r="E534" s="3"/>
      <c r="F534" s="14"/>
      <c r="G534" s="3"/>
    </row>
    <row r="535" spans="1:7" ht="13">
      <c r="A535" s="3"/>
      <c r="B535" s="3"/>
      <c r="C535" s="3"/>
      <c r="D535" s="3"/>
      <c r="E535" s="3"/>
      <c r="F535" s="14"/>
      <c r="G535" s="3"/>
    </row>
    <row r="536" spans="1:7" ht="13">
      <c r="A536" s="3"/>
      <c r="B536" s="3"/>
      <c r="C536" s="3"/>
      <c r="D536" s="3"/>
      <c r="E536" s="3"/>
      <c r="F536" s="14"/>
      <c r="G536" s="3"/>
    </row>
    <row r="537" spans="1:7" ht="13">
      <c r="A537" s="3"/>
      <c r="B537" s="3"/>
      <c r="C537" s="3"/>
      <c r="D537" s="3"/>
      <c r="E537" s="3"/>
      <c r="F537" s="14"/>
      <c r="G537" s="3"/>
    </row>
    <row r="538" spans="1:7" ht="13">
      <c r="A538" s="3"/>
      <c r="B538" s="3"/>
      <c r="C538" s="3"/>
      <c r="D538" s="3"/>
      <c r="E538" s="3"/>
      <c r="F538" s="14"/>
      <c r="G538" s="3"/>
    </row>
    <row r="539" spans="1:7" ht="13">
      <c r="A539" s="3"/>
      <c r="B539" s="3"/>
      <c r="C539" s="3"/>
      <c r="D539" s="3"/>
      <c r="E539" s="3"/>
      <c r="F539" s="14"/>
      <c r="G539" s="3"/>
    </row>
    <row r="540" spans="1:7" ht="13">
      <c r="A540" s="3"/>
      <c r="B540" s="3"/>
      <c r="C540" s="3"/>
      <c r="D540" s="3"/>
      <c r="E540" s="3"/>
      <c r="F540" s="14"/>
      <c r="G540" s="3"/>
    </row>
    <row r="541" spans="1:7" ht="13">
      <c r="A541" s="3"/>
      <c r="B541" s="3"/>
      <c r="C541" s="3"/>
      <c r="D541" s="3"/>
      <c r="E541" s="3"/>
      <c r="F541" s="14"/>
      <c r="G541" s="3"/>
    </row>
    <row r="542" spans="1:7" ht="13">
      <c r="A542" s="3"/>
      <c r="B542" s="3"/>
      <c r="C542" s="3"/>
      <c r="D542" s="3"/>
      <c r="E542" s="3"/>
      <c r="F542" s="14"/>
      <c r="G542" s="3"/>
    </row>
    <row r="543" spans="1:7" ht="13">
      <c r="A543" s="3"/>
      <c r="B543" s="3"/>
      <c r="C543" s="3"/>
      <c r="D543" s="3"/>
      <c r="E543" s="3"/>
      <c r="F543" s="14"/>
      <c r="G543" s="3"/>
    </row>
    <row r="544" spans="1:7" ht="13">
      <c r="A544" s="3"/>
      <c r="B544" s="3"/>
      <c r="C544" s="3"/>
      <c r="D544" s="3"/>
      <c r="E544" s="3"/>
      <c r="F544" s="14"/>
      <c r="G544" s="3"/>
    </row>
    <row r="545" spans="1:7" ht="13">
      <c r="A545" s="3"/>
      <c r="B545" s="3"/>
      <c r="C545" s="3"/>
      <c r="D545" s="3"/>
      <c r="E545" s="3"/>
      <c r="F545" s="14"/>
      <c r="G545" s="3"/>
    </row>
    <row r="546" spans="1:7" ht="13">
      <c r="A546" s="3"/>
      <c r="B546" s="3"/>
      <c r="C546" s="3"/>
      <c r="D546" s="3"/>
      <c r="E546" s="3"/>
      <c r="F546" s="14"/>
      <c r="G546" s="3"/>
    </row>
    <row r="547" spans="1:7" ht="13">
      <c r="A547" s="3"/>
      <c r="B547" s="3"/>
      <c r="C547" s="3"/>
      <c r="D547" s="3"/>
      <c r="E547" s="3"/>
      <c r="F547" s="14"/>
      <c r="G547" s="3"/>
    </row>
    <row r="548" spans="1:7" ht="13">
      <c r="A548" s="3"/>
      <c r="B548" s="3"/>
      <c r="C548" s="3"/>
      <c r="D548" s="3"/>
      <c r="E548" s="3"/>
      <c r="F548" s="14"/>
      <c r="G548" s="3"/>
    </row>
    <row r="549" spans="1:7" ht="13">
      <c r="A549" s="3"/>
      <c r="B549" s="3"/>
      <c r="C549" s="3"/>
      <c r="D549" s="3"/>
      <c r="E549" s="3"/>
      <c r="F549" s="14"/>
      <c r="G549" s="3"/>
    </row>
    <row r="550" spans="1:7" ht="13">
      <c r="A550" s="3"/>
      <c r="B550" s="3"/>
      <c r="C550" s="3"/>
      <c r="D550" s="3"/>
      <c r="E550" s="3"/>
      <c r="F550" s="14"/>
      <c r="G550" s="3"/>
    </row>
    <row r="551" spans="1:7" ht="13">
      <c r="A551" s="3"/>
      <c r="B551" s="3"/>
      <c r="C551" s="3"/>
      <c r="D551" s="3"/>
      <c r="E551" s="3"/>
      <c r="F551" s="14"/>
      <c r="G551" s="3"/>
    </row>
    <row r="552" spans="1:7" ht="13">
      <c r="A552" s="3"/>
      <c r="B552" s="3"/>
      <c r="C552" s="3"/>
      <c r="D552" s="3"/>
      <c r="E552" s="3"/>
      <c r="F552" s="14"/>
      <c r="G552" s="3"/>
    </row>
    <row r="553" spans="1:7" ht="13">
      <c r="A553" s="3"/>
      <c r="B553" s="3"/>
      <c r="C553" s="3"/>
      <c r="D553" s="3"/>
      <c r="E553" s="3"/>
      <c r="F553" s="14"/>
      <c r="G553" s="3"/>
    </row>
    <row r="554" spans="1:7" ht="13">
      <c r="A554" s="3"/>
      <c r="B554" s="3"/>
      <c r="C554" s="3"/>
      <c r="D554" s="3"/>
      <c r="E554" s="3"/>
      <c r="F554" s="14"/>
      <c r="G554" s="3"/>
    </row>
    <row r="555" spans="1:7" ht="13">
      <c r="A555" s="3"/>
      <c r="B555" s="3"/>
      <c r="C555" s="3"/>
      <c r="D555" s="3"/>
      <c r="E555" s="3"/>
      <c r="F555" s="14"/>
      <c r="G555" s="3"/>
    </row>
    <row r="556" spans="1:7" ht="13">
      <c r="A556" s="3"/>
      <c r="B556" s="3"/>
      <c r="C556" s="3"/>
      <c r="D556" s="3"/>
      <c r="E556" s="3"/>
      <c r="F556" s="14"/>
      <c r="G556" s="3"/>
    </row>
    <row r="557" spans="1:7" ht="13">
      <c r="A557" s="3"/>
      <c r="B557" s="3"/>
      <c r="C557" s="3"/>
      <c r="D557" s="3"/>
      <c r="E557" s="3"/>
      <c r="F557" s="14"/>
      <c r="G557" s="3"/>
    </row>
    <row r="558" spans="1:7" ht="13">
      <c r="A558" s="3"/>
      <c r="B558" s="3"/>
      <c r="C558" s="3"/>
      <c r="D558" s="3"/>
      <c r="E558" s="3"/>
      <c r="F558" s="14"/>
      <c r="G558" s="3"/>
    </row>
    <row r="559" spans="1:7" ht="13">
      <c r="A559" s="3"/>
      <c r="B559" s="3"/>
      <c r="C559" s="3"/>
      <c r="D559" s="3"/>
      <c r="E559" s="3"/>
      <c r="F559" s="14"/>
      <c r="G559" s="3"/>
    </row>
    <row r="560" spans="1:7" ht="13">
      <c r="A560" s="3"/>
      <c r="B560" s="3"/>
      <c r="C560" s="3"/>
      <c r="D560" s="3"/>
      <c r="E560" s="3"/>
      <c r="F560" s="14"/>
      <c r="G560" s="3"/>
    </row>
    <row r="561" spans="1:7" ht="13">
      <c r="A561" s="3"/>
      <c r="B561" s="3"/>
      <c r="C561" s="3"/>
      <c r="D561" s="3"/>
      <c r="E561" s="3"/>
      <c r="F561" s="14"/>
      <c r="G561" s="3"/>
    </row>
    <row r="562" spans="1:7" ht="13">
      <c r="A562" s="3"/>
      <c r="B562" s="3"/>
      <c r="C562" s="3"/>
      <c r="D562" s="3"/>
      <c r="E562" s="3"/>
      <c r="F562" s="14"/>
      <c r="G562" s="3"/>
    </row>
    <row r="563" spans="1:7" ht="13">
      <c r="A563" s="3"/>
      <c r="B563" s="3"/>
      <c r="C563" s="3"/>
      <c r="D563" s="3"/>
      <c r="E563" s="3"/>
      <c r="F563" s="14"/>
      <c r="G563" s="3"/>
    </row>
    <row r="564" spans="1:7" ht="13">
      <c r="A564" s="3"/>
      <c r="B564" s="3"/>
      <c r="C564" s="3"/>
      <c r="D564" s="3"/>
      <c r="E564" s="3"/>
      <c r="F564" s="14"/>
      <c r="G564" s="3"/>
    </row>
    <row r="565" spans="1:7" ht="13">
      <c r="A565" s="3"/>
      <c r="B565" s="3"/>
      <c r="C565" s="3"/>
      <c r="D565" s="3"/>
      <c r="E565" s="3"/>
      <c r="F565" s="14"/>
      <c r="G565" s="3"/>
    </row>
    <row r="566" spans="1:7" ht="13">
      <c r="A566" s="3"/>
      <c r="B566" s="3"/>
      <c r="C566" s="3"/>
      <c r="D566" s="3"/>
      <c r="E566" s="3"/>
      <c r="F566" s="14"/>
      <c r="G566" s="3"/>
    </row>
    <row r="567" spans="1:7" ht="13">
      <c r="A567" s="3"/>
      <c r="B567" s="3"/>
      <c r="C567" s="3"/>
      <c r="D567" s="3"/>
      <c r="E567" s="3"/>
      <c r="F567" s="14"/>
      <c r="G567" s="3"/>
    </row>
    <row r="568" spans="1:7" ht="13">
      <c r="A568" s="3"/>
      <c r="B568" s="3"/>
      <c r="C568" s="3"/>
      <c r="D568" s="3"/>
      <c r="E568" s="3"/>
      <c r="F568" s="14"/>
      <c r="G568" s="3"/>
    </row>
    <row r="569" spans="1:7" ht="13">
      <c r="A569" s="3"/>
      <c r="B569" s="3"/>
      <c r="C569" s="3"/>
      <c r="D569" s="3"/>
      <c r="E569" s="3"/>
      <c r="F569" s="14"/>
      <c r="G569" s="3"/>
    </row>
    <row r="570" spans="1:7" ht="13">
      <c r="A570" s="3"/>
      <c r="B570" s="3"/>
      <c r="C570" s="3"/>
      <c r="D570" s="3"/>
      <c r="E570" s="3"/>
      <c r="F570" s="14"/>
      <c r="G570" s="3"/>
    </row>
    <row r="571" spans="1:7" ht="13">
      <c r="A571" s="3"/>
      <c r="B571" s="3"/>
      <c r="C571" s="3"/>
      <c r="D571" s="3"/>
      <c r="E571" s="3"/>
      <c r="F571" s="14"/>
      <c r="G571" s="3"/>
    </row>
    <row r="572" spans="1:7" ht="13">
      <c r="A572" s="3"/>
      <c r="B572" s="3"/>
      <c r="C572" s="3"/>
      <c r="D572" s="3"/>
      <c r="E572" s="3"/>
      <c r="F572" s="14"/>
      <c r="G572" s="3"/>
    </row>
    <row r="573" spans="1:7" ht="13">
      <c r="A573" s="3"/>
      <c r="B573" s="3"/>
      <c r="C573" s="3"/>
      <c r="D573" s="3"/>
      <c r="E573" s="3"/>
      <c r="F573" s="14"/>
      <c r="G573" s="3"/>
    </row>
    <row r="574" spans="1:7" ht="13">
      <c r="A574" s="3"/>
      <c r="B574" s="3"/>
      <c r="C574" s="3"/>
      <c r="D574" s="3"/>
      <c r="E574" s="3"/>
      <c r="F574" s="14"/>
      <c r="G574" s="3"/>
    </row>
    <row r="575" spans="1:7" ht="13">
      <c r="A575" s="3"/>
      <c r="B575" s="3"/>
      <c r="C575" s="3"/>
      <c r="D575" s="3"/>
      <c r="E575" s="3"/>
      <c r="F575" s="14"/>
      <c r="G575" s="3"/>
    </row>
    <row r="576" spans="1:7" ht="13">
      <c r="A576" s="3"/>
      <c r="B576" s="3"/>
      <c r="C576" s="3"/>
      <c r="D576" s="3"/>
      <c r="E576" s="3"/>
      <c r="F576" s="14"/>
      <c r="G576" s="3"/>
    </row>
    <row r="577" spans="1:7" ht="13">
      <c r="A577" s="3"/>
      <c r="B577" s="3"/>
      <c r="C577" s="3"/>
      <c r="D577" s="3"/>
      <c r="E577" s="3"/>
      <c r="F577" s="14"/>
      <c r="G577" s="3"/>
    </row>
    <row r="578" spans="1:7" ht="13">
      <c r="A578" s="3"/>
      <c r="B578" s="3"/>
      <c r="C578" s="3"/>
      <c r="D578" s="3"/>
      <c r="E578" s="3"/>
      <c r="F578" s="14"/>
      <c r="G578" s="3"/>
    </row>
    <row r="579" spans="1:7" ht="13">
      <c r="A579" s="3"/>
      <c r="B579" s="3"/>
      <c r="C579" s="3"/>
      <c r="D579" s="3"/>
      <c r="E579" s="3"/>
      <c r="F579" s="14"/>
      <c r="G579" s="3"/>
    </row>
    <row r="580" spans="1:7" ht="13">
      <c r="A580" s="3"/>
      <c r="B580" s="3"/>
      <c r="C580" s="3"/>
      <c r="D580" s="3"/>
      <c r="E580" s="3"/>
      <c r="F580" s="14"/>
      <c r="G580" s="3"/>
    </row>
    <row r="581" spans="1:7" ht="13">
      <c r="A581" s="3"/>
      <c r="B581" s="3"/>
      <c r="C581" s="3"/>
      <c r="D581" s="3"/>
      <c r="E581" s="3"/>
      <c r="F581" s="14"/>
      <c r="G581" s="3"/>
    </row>
    <row r="582" spans="1:7" ht="13">
      <c r="A582" s="3"/>
      <c r="B582" s="3"/>
      <c r="C582" s="3"/>
      <c r="D582" s="3"/>
      <c r="E582" s="3"/>
      <c r="F582" s="14"/>
      <c r="G582" s="3"/>
    </row>
    <row r="583" spans="1:7" ht="13">
      <c r="A583" s="3"/>
      <c r="B583" s="3"/>
      <c r="C583" s="3"/>
      <c r="D583" s="3"/>
      <c r="E583" s="3"/>
      <c r="F583" s="14"/>
      <c r="G583" s="3"/>
    </row>
    <row r="584" spans="1:7" ht="13">
      <c r="A584" s="3"/>
      <c r="B584" s="3"/>
      <c r="C584" s="3"/>
      <c r="D584" s="3"/>
      <c r="E584" s="3"/>
      <c r="F584" s="14"/>
      <c r="G584" s="3"/>
    </row>
    <row r="585" spans="1:7" ht="13">
      <c r="A585" s="3"/>
      <c r="B585" s="3"/>
      <c r="C585" s="3"/>
      <c r="D585" s="3"/>
      <c r="E585" s="3"/>
      <c r="F585" s="14"/>
      <c r="G585" s="3"/>
    </row>
    <row r="586" spans="1:7" ht="13">
      <c r="A586" s="3"/>
      <c r="B586" s="3"/>
      <c r="C586" s="3"/>
      <c r="D586" s="3"/>
      <c r="E586" s="3"/>
      <c r="F586" s="14"/>
      <c r="G586" s="3"/>
    </row>
    <row r="587" spans="1:7" ht="13">
      <c r="A587" s="3"/>
      <c r="B587" s="3"/>
      <c r="C587" s="3"/>
      <c r="D587" s="3"/>
      <c r="E587" s="3"/>
      <c r="F587" s="14"/>
      <c r="G587" s="3"/>
    </row>
    <row r="588" spans="1:7" ht="13">
      <c r="A588" s="3"/>
      <c r="B588" s="3"/>
      <c r="C588" s="3"/>
      <c r="D588" s="3"/>
      <c r="E588" s="3"/>
      <c r="F588" s="14"/>
      <c r="G588" s="3"/>
    </row>
    <row r="589" spans="1:7" ht="13">
      <c r="A589" s="3"/>
      <c r="B589" s="3"/>
      <c r="C589" s="3"/>
      <c r="D589" s="3"/>
      <c r="E589" s="3"/>
      <c r="F589" s="14"/>
      <c r="G589" s="3"/>
    </row>
    <row r="590" spans="1:7" ht="13">
      <c r="A590" s="3"/>
      <c r="B590" s="3"/>
      <c r="C590" s="3"/>
      <c r="D590" s="3"/>
      <c r="E590" s="3"/>
      <c r="F590" s="14"/>
      <c r="G590" s="3"/>
    </row>
    <row r="591" spans="1:7" ht="13">
      <c r="A591" s="3"/>
      <c r="B591" s="3"/>
      <c r="C591" s="3"/>
      <c r="D591" s="3"/>
      <c r="E591" s="3"/>
      <c r="F591" s="14"/>
      <c r="G591" s="3"/>
    </row>
    <row r="592" spans="1:7" ht="13">
      <c r="A592" s="3"/>
      <c r="B592" s="3"/>
      <c r="C592" s="3"/>
      <c r="D592" s="3"/>
      <c r="E592" s="3"/>
      <c r="F592" s="14"/>
      <c r="G592" s="3"/>
    </row>
    <row r="593" spans="1:7" ht="13">
      <c r="A593" s="3"/>
      <c r="B593" s="3"/>
      <c r="C593" s="3"/>
      <c r="D593" s="3"/>
      <c r="E593" s="3"/>
      <c r="F593" s="14"/>
      <c r="G593" s="3"/>
    </row>
    <row r="594" spans="1:7" ht="13">
      <c r="A594" s="3"/>
      <c r="B594" s="3"/>
      <c r="C594" s="3"/>
      <c r="D594" s="3"/>
      <c r="E594" s="3"/>
      <c r="F594" s="14"/>
      <c r="G594" s="3"/>
    </row>
    <row r="595" spans="1:7" ht="13">
      <c r="A595" s="3"/>
      <c r="B595" s="3"/>
      <c r="C595" s="3"/>
      <c r="D595" s="3"/>
      <c r="E595" s="3"/>
      <c r="F595" s="14"/>
      <c r="G595" s="3"/>
    </row>
    <row r="596" spans="1:7" ht="13">
      <c r="A596" s="3"/>
      <c r="B596" s="3"/>
      <c r="C596" s="3"/>
      <c r="D596" s="3"/>
      <c r="E596" s="3"/>
      <c r="F596" s="14"/>
      <c r="G596" s="3"/>
    </row>
    <row r="597" spans="1:7" ht="13">
      <c r="A597" s="3"/>
      <c r="B597" s="3"/>
      <c r="C597" s="3"/>
      <c r="D597" s="3"/>
      <c r="E597" s="3"/>
      <c r="F597" s="14"/>
      <c r="G597" s="3"/>
    </row>
    <row r="598" spans="1:7" ht="13">
      <c r="A598" s="3"/>
      <c r="B598" s="3"/>
      <c r="C598" s="3"/>
      <c r="D598" s="3"/>
      <c r="E598" s="3"/>
      <c r="F598" s="14"/>
      <c r="G598" s="3"/>
    </row>
    <row r="599" spans="1:7" ht="13">
      <c r="A599" s="3"/>
      <c r="B599" s="3"/>
      <c r="C599" s="3"/>
      <c r="D599" s="3"/>
      <c r="E599" s="3"/>
      <c r="F599" s="14"/>
      <c r="G599" s="3"/>
    </row>
    <row r="600" spans="1:7" ht="13">
      <c r="A600" s="3"/>
      <c r="B600" s="3"/>
      <c r="C600" s="3"/>
      <c r="D600" s="3"/>
      <c r="E600" s="3"/>
      <c r="F600" s="14"/>
      <c r="G600" s="3"/>
    </row>
    <row r="601" spans="1:7" ht="13">
      <c r="A601" s="3"/>
      <c r="B601" s="3"/>
      <c r="C601" s="3"/>
      <c r="D601" s="3"/>
      <c r="E601" s="3"/>
      <c r="F601" s="14"/>
      <c r="G601" s="3"/>
    </row>
    <row r="602" spans="1:7" ht="13">
      <c r="A602" s="3"/>
      <c r="B602" s="3"/>
      <c r="C602" s="3"/>
      <c r="D602" s="3"/>
      <c r="E602" s="3"/>
      <c r="F602" s="14"/>
      <c r="G602" s="3"/>
    </row>
    <row r="603" spans="1:7" ht="13">
      <c r="A603" s="3"/>
      <c r="B603" s="3"/>
      <c r="C603" s="3"/>
      <c r="D603" s="3"/>
      <c r="E603" s="3"/>
      <c r="F603" s="14"/>
      <c r="G603" s="3"/>
    </row>
    <row r="604" spans="1:7" ht="13">
      <c r="A604" s="3"/>
      <c r="B604" s="3"/>
      <c r="C604" s="3"/>
      <c r="D604" s="3"/>
      <c r="E604" s="3"/>
      <c r="F604" s="14"/>
      <c r="G604" s="3"/>
    </row>
    <row r="605" spans="1:7" ht="13">
      <c r="A605" s="3"/>
      <c r="B605" s="3"/>
      <c r="C605" s="3"/>
      <c r="D605" s="3"/>
      <c r="E605" s="3"/>
      <c r="F605" s="14"/>
      <c r="G605" s="3"/>
    </row>
    <row r="606" spans="1:7" ht="13">
      <c r="A606" s="3"/>
      <c r="B606" s="3"/>
      <c r="C606" s="3"/>
      <c r="D606" s="3"/>
      <c r="E606" s="3"/>
      <c r="F606" s="14"/>
      <c r="G606" s="3"/>
    </row>
    <row r="607" spans="1:7" ht="13">
      <c r="A607" s="3"/>
      <c r="B607" s="3"/>
      <c r="C607" s="3"/>
      <c r="D607" s="3"/>
      <c r="E607" s="3"/>
      <c r="F607" s="14"/>
      <c r="G607" s="3"/>
    </row>
    <row r="608" spans="1:7" ht="13">
      <c r="A608" s="3"/>
      <c r="B608" s="3"/>
      <c r="C608" s="3"/>
      <c r="D608" s="3"/>
      <c r="E608" s="3"/>
      <c r="F608" s="14"/>
      <c r="G608" s="3"/>
    </row>
    <row r="609" spans="1:7" ht="13">
      <c r="A609" s="3"/>
      <c r="B609" s="3"/>
      <c r="C609" s="3"/>
      <c r="D609" s="3"/>
      <c r="E609" s="3"/>
      <c r="F609" s="14"/>
      <c r="G609" s="3"/>
    </row>
    <row r="610" spans="1:7" ht="13">
      <c r="A610" s="3"/>
      <c r="B610" s="3"/>
      <c r="C610" s="3"/>
      <c r="D610" s="3"/>
      <c r="E610" s="3"/>
      <c r="F610" s="14"/>
      <c r="G610" s="3"/>
    </row>
    <row r="611" spans="1:7" ht="13">
      <c r="A611" s="3"/>
      <c r="B611" s="3"/>
      <c r="C611" s="3"/>
      <c r="D611" s="3"/>
      <c r="E611" s="3"/>
      <c r="F611" s="14"/>
      <c r="G611" s="3"/>
    </row>
    <row r="612" spans="1:7" ht="13">
      <c r="A612" s="3"/>
      <c r="B612" s="3"/>
      <c r="C612" s="3"/>
      <c r="D612" s="3"/>
      <c r="E612" s="3"/>
      <c r="F612" s="14"/>
      <c r="G612" s="3"/>
    </row>
    <row r="613" spans="1:7" ht="13">
      <c r="A613" s="3"/>
      <c r="B613" s="3"/>
      <c r="C613" s="3"/>
      <c r="D613" s="3"/>
      <c r="E613" s="3"/>
      <c r="F613" s="14"/>
      <c r="G613" s="3"/>
    </row>
    <row r="614" spans="1:7" ht="13">
      <c r="A614" s="3"/>
      <c r="B614" s="3"/>
      <c r="C614" s="3"/>
      <c r="D614" s="3"/>
      <c r="E614" s="3"/>
      <c r="F614" s="14"/>
      <c r="G614" s="3"/>
    </row>
    <row r="615" spans="1:7" ht="13">
      <c r="A615" s="3"/>
      <c r="B615" s="3"/>
      <c r="C615" s="3"/>
      <c r="D615" s="3"/>
      <c r="E615" s="3"/>
      <c r="F615" s="14"/>
      <c r="G615" s="3"/>
    </row>
    <row r="616" spans="1:7" ht="13">
      <c r="A616" s="3"/>
      <c r="B616" s="3"/>
      <c r="C616" s="3"/>
      <c r="D616" s="3"/>
      <c r="E616" s="3"/>
      <c r="F616" s="14"/>
      <c r="G616" s="3"/>
    </row>
    <row r="617" spans="1:7" ht="13">
      <c r="A617" s="3"/>
      <c r="B617" s="3"/>
      <c r="C617" s="3"/>
      <c r="D617" s="3"/>
      <c r="E617" s="3"/>
      <c r="F617" s="14"/>
      <c r="G617" s="3"/>
    </row>
    <row r="618" spans="1:7" ht="13">
      <c r="A618" s="3"/>
      <c r="B618" s="3"/>
      <c r="C618" s="3"/>
      <c r="D618" s="3"/>
      <c r="E618" s="3"/>
      <c r="F618" s="14"/>
      <c r="G618" s="3"/>
    </row>
    <row r="619" spans="1:7" ht="13">
      <c r="A619" s="3"/>
      <c r="B619" s="3"/>
      <c r="C619" s="3"/>
      <c r="D619" s="3"/>
      <c r="E619" s="3"/>
      <c r="F619" s="14"/>
      <c r="G619" s="3"/>
    </row>
    <row r="620" spans="1:7" ht="13">
      <c r="A620" s="3"/>
      <c r="B620" s="3"/>
      <c r="C620" s="3"/>
      <c r="D620" s="3"/>
      <c r="E620" s="3"/>
      <c r="F620" s="14"/>
      <c r="G620" s="3"/>
    </row>
    <row r="621" spans="1:7" ht="13">
      <c r="A621" s="3"/>
      <c r="B621" s="3"/>
      <c r="C621" s="3"/>
      <c r="D621" s="3"/>
      <c r="E621" s="3"/>
      <c r="F621" s="14"/>
      <c r="G621" s="3"/>
    </row>
    <row r="622" spans="1:7" ht="13">
      <c r="A622" s="3"/>
      <c r="B622" s="3"/>
      <c r="C622" s="3"/>
      <c r="D622" s="3"/>
      <c r="E622" s="3"/>
      <c r="F622" s="14"/>
      <c r="G622" s="3"/>
    </row>
    <row r="623" spans="1:7" ht="13">
      <c r="A623" s="3"/>
      <c r="B623" s="3"/>
      <c r="C623" s="3"/>
      <c r="D623" s="3"/>
      <c r="E623" s="3"/>
      <c r="F623" s="14"/>
      <c r="G623" s="3"/>
    </row>
    <row r="624" spans="1:7" ht="13">
      <c r="A624" s="3"/>
      <c r="B624" s="3"/>
      <c r="C624" s="3"/>
      <c r="D624" s="3"/>
      <c r="E624" s="3"/>
      <c r="F624" s="14"/>
      <c r="G624" s="3"/>
    </row>
    <row r="625" spans="1:7" ht="13">
      <c r="A625" s="3"/>
      <c r="B625" s="3"/>
      <c r="C625" s="3"/>
      <c r="D625" s="3"/>
      <c r="E625" s="3"/>
      <c r="F625" s="14"/>
      <c r="G625" s="3"/>
    </row>
    <row r="626" spans="1:7" ht="13">
      <c r="A626" s="3"/>
      <c r="B626" s="3"/>
      <c r="C626" s="3"/>
      <c r="D626" s="3"/>
      <c r="E626" s="3"/>
      <c r="F626" s="14"/>
      <c r="G626" s="3"/>
    </row>
    <row r="627" spans="1:7" ht="13">
      <c r="A627" s="3"/>
      <c r="B627" s="3"/>
      <c r="C627" s="3"/>
      <c r="D627" s="3"/>
      <c r="E627" s="3"/>
      <c r="F627" s="14"/>
      <c r="G627" s="3"/>
    </row>
    <row r="628" spans="1:7" ht="13">
      <c r="A628" s="3"/>
      <c r="B628" s="3"/>
      <c r="C628" s="3"/>
      <c r="D628" s="3"/>
      <c r="E628" s="3"/>
      <c r="F628" s="14"/>
      <c r="G628" s="3"/>
    </row>
    <row r="629" spans="1:7" ht="13">
      <c r="A629" s="3"/>
      <c r="B629" s="3"/>
      <c r="C629" s="3"/>
      <c r="D629" s="3"/>
      <c r="E629" s="3"/>
      <c r="F629" s="14"/>
      <c r="G629" s="3"/>
    </row>
    <row r="630" spans="1:7" ht="13">
      <c r="A630" s="3"/>
      <c r="B630" s="3"/>
      <c r="C630" s="3"/>
      <c r="D630" s="3"/>
      <c r="E630" s="3"/>
      <c r="F630" s="14"/>
      <c r="G630" s="3"/>
    </row>
    <row r="631" spans="1:7" ht="13">
      <c r="A631" s="3"/>
      <c r="B631" s="3"/>
      <c r="C631" s="3"/>
      <c r="D631" s="3"/>
      <c r="E631" s="3"/>
      <c r="F631" s="14"/>
      <c r="G631" s="3"/>
    </row>
    <row r="632" spans="1:7" ht="13">
      <c r="A632" s="3"/>
      <c r="B632" s="3"/>
      <c r="C632" s="3"/>
      <c r="D632" s="3"/>
      <c r="E632" s="3"/>
      <c r="F632" s="14"/>
      <c r="G632" s="3"/>
    </row>
    <row r="633" spans="1:7" ht="13">
      <c r="A633" s="3"/>
      <c r="B633" s="3"/>
      <c r="C633" s="3"/>
      <c r="D633" s="3"/>
      <c r="E633" s="3"/>
      <c r="F633" s="14"/>
      <c r="G633" s="3"/>
    </row>
    <row r="634" spans="1:7" ht="13">
      <c r="A634" s="3"/>
      <c r="B634" s="3"/>
      <c r="C634" s="3"/>
      <c r="D634" s="3"/>
      <c r="E634" s="3"/>
      <c r="F634" s="14"/>
      <c r="G634" s="3"/>
    </row>
    <row r="635" spans="1:7" ht="13">
      <c r="A635" s="3"/>
      <c r="B635" s="3"/>
      <c r="C635" s="3"/>
      <c r="D635" s="3"/>
      <c r="E635" s="3"/>
      <c r="F635" s="14"/>
      <c r="G635" s="3"/>
    </row>
    <row r="636" spans="1:7" ht="13">
      <c r="A636" s="3"/>
      <c r="B636" s="3"/>
      <c r="C636" s="3"/>
      <c r="D636" s="3"/>
      <c r="E636" s="3"/>
      <c r="F636" s="14"/>
      <c r="G636" s="3"/>
    </row>
    <row r="637" spans="1:7" ht="13">
      <c r="A637" s="3"/>
      <c r="B637" s="3"/>
      <c r="C637" s="3"/>
      <c r="D637" s="3"/>
      <c r="E637" s="3"/>
      <c r="F637" s="14"/>
      <c r="G637" s="3"/>
    </row>
    <row r="638" spans="1:7" ht="13">
      <c r="A638" s="3"/>
      <c r="B638" s="3"/>
      <c r="C638" s="3"/>
      <c r="D638" s="3"/>
      <c r="E638" s="3"/>
      <c r="F638" s="14"/>
      <c r="G638" s="3"/>
    </row>
    <row r="639" spans="1:7" ht="13">
      <c r="A639" s="3"/>
      <c r="B639" s="3"/>
      <c r="C639" s="3"/>
      <c r="D639" s="3"/>
      <c r="E639" s="3"/>
      <c r="F639" s="14"/>
      <c r="G639" s="3"/>
    </row>
    <row r="640" spans="1:7" ht="13">
      <c r="A640" s="3"/>
      <c r="B640" s="3"/>
      <c r="C640" s="3"/>
      <c r="D640" s="3"/>
      <c r="E640" s="3"/>
      <c r="F640" s="14"/>
      <c r="G640" s="3"/>
    </row>
    <row r="641" spans="1:7" ht="13">
      <c r="A641" s="3"/>
      <c r="B641" s="3"/>
      <c r="C641" s="3"/>
      <c r="D641" s="3"/>
      <c r="E641" s="3"/>
      <c r="F641" s="14"/>
      <c r="G641" s="3"/>
    </row>
    <row r="642" spans="1:7" ht="13">
      <c r="A642" s="3"/>
      <c r="B642" s="3"/>
      <c r="C642" s="3"/>
      <c r="D642" s="3"/>
      <c r="E642" s="3"/>
      <c r="F642" s="14"/>
      <c r="G642" s="3"/>
    </row>
    <row r="643" spans="1:7" ht="13">
      <c r="A643" s="3"/>
      <c r="B643" s="3"/>
      <c r="C643" s="3"/>
      <c r="D643" s="3"/>
      <c r="E643" s="3"/>
      <c r="F643" s="14"/>
      <c r="G643" s="3"/>
    </row>
    <row r="644" spans="1:7" ht="13">
      <c r="A644" s="3"/>
      <c r="B644" s="3"/>
      <c r="C644" s="3"/>
      <c r="D644" s="3"/>
      <c r="E644" s="3"/>
      <c r="F644" s="14"/>
      <c r="G644" s="3"/>
    </row>
    <row r="645" spans="1:7" ht="13">
      <c r="A645" s="3"/>
      <c r="B645" s="3"/>
      <c r="C645" s="3"/>
      <c r="D645" s="3"/>
      <c r="E645" s="3"/>
      <c r="F645" s="14"/>
      <c r="G645" s="3"/>
    </row>
    <row r="646" spans="1:7" ht="13">
      <c r="A646" s="3"/>
      <c r="B646" s="3"/>
      <c r="C646" s="3"/>
      <c r="D646" s="3"/>
      <c r="E646" s="3"/>
      <c r="F646" s="14"/>
      <c r="G646" s="3"/>
    </row>
    <row r="647" spans="1:7" ht="13">
      <c r="A647" s="3"/>
      <c r="B647" s="3"/>
      <c r="C647" s="3"/>
      <c r="D647" s="3"/>
      <c r="E647" s="3"/>
      <c r="F647" s="14"/>
      <c r="G647" s="3"/>
    </row>
    <row r="648" spans="1:7" ht="13">
      <c r="A648" s="3"/>
      <c r="B648" s="3"/>
      <c r="C648" s="3"/>
      <c r="D648" s="3"/>
      <c r="E648" s="3"/>
      <c r="F648" s="14"/>
      <c r="G648" s="3"/>
    </row>
    <row r="649" spans="1:7" ht="13">
      <c r="A649" s="3"/>
      <c r="B649" s="3"/>
      <c r="C649" s="3"/>
      <c r="D649" s="3"/>
      <c r="E649" s="3"/>
      <c r="F649" s="14"/>
      <c r="G649" s="3"/>
    </row>
    <row r="650" spans="1:7" ht="13">
      <c r="A650" s="3"/>
      <c r="B650" s="3"/>
      <c r="C650" s="3"/>
      <c r="D650" s="3"/>
      <c r="E650" s="3"/>
      <c r="F650" s="14"/>
      <c r="G650" s="3"/>
    </row>
    <row r="651" spans="1:7" ht="13">
      <c r="A651" s="3"/>
      <c r="B651" s="3"/>
      <c r="C651" s="3"/>
      <c r="D651" s="3"/>
      <c r="E651" s="3"/>
      <c r="F651" s="14"/>
      <c r="G651" s="3"/>
    </row>
    <row r="652" spans="1:7" ht="13">
      <c r="A652" s="3"/>
      <c r="B652" s="3"/>
      <c r="C652" s="3"/>
      <c r="D652" s="3"/>
      <c r="E652" s="3"/>
      <c r="F652" s="14"/>
      <c r="G652" s="3"/>
    </row>
    <row r="653" spans="1:7" ht="13">
      <c r="A653" s="3"/>
      <c r="B653" s="3"/>
      <c r="C653" s="3"/>
      <c r="D653" s="3"/>
      <c r="E653" s="3"/>
      <c r="F653" s="14"/>
      <c r="G653" s="3"/>
    </row>
    <row r="654" spans="1:7" ht="13">
      <c r="A654" s="3"/>
      <c r="B654" s="3"/>
      <c r="C654" s="3"/>
      <c r="D654" s="3"/>
      <c r="E654" s="3"/>
      <c r="F654" s="14"/>
      <c r="G654" s="3"/>
    </row>
    <row r="655" spans="1:7" ht="13">
      <c r="A655" s="3"/>
      <c r="B655" s="3"/>
      <c r="C655" s="3"/>
      <c r="D655" s="3"/>
      <c r="E655" s="3"/>
      <c r="F655" s="14"/>
      <c r="G655" s="3"/>
    </row>
    <row r="656" spans="1:7" ht="13">
      <c r="A656" s="3"/>
      <c r="B656" s="3"/>
      <c r="C656" s="3"/>
      <c r="D656" s="3"/>
      <c r="E656" s="3"/>
      <c r="F656" s="14"/>
      <c r="G656" s="3"/>
    </row>
    <row r="657" spans="1:7" ht="13">
      <c r="A657" s="3"/>
      <c r="B657" s="3"/>
      <c r="C657" s="3"/>
      <c r="D657" s="3"/>
      <c r="E657" s="3"/>
      <c r="F657" s="14"/>
      <c r="G657" s="3"/>
    </row>
    <row r="658" spans="1:7" ht="13">
      <c r="A658" s="3"/>
      <c r="B658" s="3"/>
      <c r="C658" s="3"/>
      <c r="D658" s="3"/>
      <c r="E658" s="3"/>
      <c r="F658" s="14"/>
      <c r="G658" s="3"/>
    </row>
    <row r="659" spans="1:7" ht="13">
      <c r="A659" s="3"/>
      <c r="B659" s="3"/>
      <c r="C659" s="3"/>
      <c r="D659" s="3"/>
      <c r="E659" s="3"/>
      <c r="F659" s="14"/>
      <c r="G659" s="3"/>
    </row>
    <row r="660" spans="1:7" ht="13">
      <c r="A660" s="3"/>
      <c r="B660" s="3"/>
      <c r="C660" s="3"/>
      <c r="D660" s="3"/>
      <c r="E660" s="3"/>
      <c r="F660" s="14"/>
      <c r="G660" s="3"/>
    </row>
    <row r="661" spans="1:7" ht="13">
      <c r="A661" s="3"/>
      <c r="B661" s="3"/>
      <c r="C661" s="3"/>
      <c r="D661" s="3"/>
      <c r="E661" s="3"/>
      <c r="F661" s="14"/>
      <c r="G661" s="3"/>
    </row>
    <row r="662" spans="1:7" ht="13">
      <c r="A662" s="3"/>
      <c r="B662" s="3"/>
      <c r="C662" s="3"/>
      <c r="D662" s="3"/>
      <c r="E662" s="3"/>
      <c r="F662" s="14"/>
      <c r="G662" s="3"/>
    </row>
    <row r="663" spans="1:7" ht="13">
      <c r="A663" s="3"/>
      <c r="B663" s="3"/>
      <c r="C663" s="3"/>
      <c r="D663" s="3"/>
      <c r="E663" s="3"/>
      <c r="F663" s="14"/>
      <c r="G663" s="3"/>
    </row>
    <row r="664" spans="1:7" ht="13">
      <c r="A664" s="3"/>
      <c r="B664" s="3"/>
      <c r="C664" s="3"/>
      <c r="D664" s="3"/>
      <c r="E664" s="3"/>
      <c r="F664" s="14"/>
      <c r="G664" s="3"/>
    </row>
    <row r="665" spans="1:7" ht="13">
      <c r="A665" s="3"/>
      <c r="B665" s="3"/>
      <c r="C665" s="3"/>
      <c r="D665" s="3"/>
      <c r="E665" s="3"/>
      <c r="F665" s="14"/>
      <c r="G665" s="3"/>
    </row>
    <row r="666" spans="1:7" ht="13">
      <c r="A666" s="3"/>
      <c r="B666" s="3"/>
      <c r="C666" s="3"/>
      <c r="D666" s="3"/>
      <c r="E666" s="3"/>
      <c r="F666" s="14"/>
      <c r="G666" s="3"/>
    </row>
    <row r="667" spans="1:7" ht="13">
      <c r="A667" s="3"/>
      <c r="B667" s="3"/>
      <c r="C667" s="3"/>
      <c r="D667" s="3"/>
      <c r="E667" s="3"/>
      <c r="F667" s="14"/>
      <c r="G667" s="3"/>
    </row>
    <row r="668" spans="1:7" ht="13">
      <c r="A668" s="3"/>
      <c r="B668" s="3"/>
      <c r="C668" s="3"/>
      <c r="D668" s="3"/>
      <c r="E668" s="3"/>
      <c r="F668" s="14"/>
      <c r="G668" s="3"/>
    </row>
    <row r="669" spans="1:7" ht="13">
      <c r="A669" s="3"/>
      <c r="B669" s="3"/>
      <c r="C669" s="3"/>
      <c r="D669" s="3"/>
      <c r="E669" s="3"/>
      <c r="F669" s="14"/>
      <c r="G669" s="3"/>
    </row>
    <row r="670" spans="1:7" ht="13">
      <c r="A670" s="3"/>
      <c r="B670" s="3"/>
      <c r="C670" s="3"/>
      <c r="D670" s="3"/>
      <c r="E670" s="3"/>
      <c r="F670" s="14"/>
      <c r="G670" s="3"/>
    </row>
    <row r="671" spans="1:7" ht="13">
      <c r="A671" s="3"/>
      <c r="B671" s="3"/>
      <c r="C671" s="3"/>
      <c r="D671" s="3"/>
      <c r="E671" s="3"/>
      <c r="F671" s="14"/>
      <c r="G671" s="3"/>
    </row>
    <row r="672" spans="1:7" ht="13">
      <c r="A672" s="3"/>
      <c r="B672" s="3"/>
      <c r="C672" s="3"/>
      <c r="D672" s="3"/>
      <c r="E672" s="3"/>
      <c r="F672" s="14"/>
      <c r="G672" s="3"/>
    </row>
    <row r="673" spans="1:7" ht="13">
      <c r="A673" s="3"/>
      <c r="B673" s="3"/>
      <c r="C673" s="3"/>
      <c r="D673" s="3"/>
      <c r="E673" s="3"/>
      <c r="F673" s="14"/>
      <c r="G673" s="3"/>
    </row>
    <row r="674" spans="1:7" ht="13">
      <c r="A674" s="3"/>
      <c r="B674" s="3"/>
      <c r="C674" s="3"/>
      <c r="D674" s="3"/>
      <c r="E674" s="3"/>
      <c r="F674" s="14"/>
      <c r="G674" s="3"/>
    </row>
    <row r="675" spans="1:7" ht="13">
      <c r="A675" s="3"/>
      <c r="B675" s="3"/>
      <c r="C675" s="3"/>
      <c r="D675" s="3"/>
      <c r="E675" s="3"/>
      <c r="F675" s="14"/>
      <c r="G675" s="3"/>
    </row>
    <row r="676" spans="1:7" ht="13">
      <c r="A676" s="3"/>
      <c r="B676" s="3"/>
      <c r="C676" s="3"/>
      <c r="D676" s="3"/>
      <c r="E676" s="3"/>
      <c r="F676" s="14"/>
      <c r="G676" s="3"/>
    </row>
    <row r="677" spans="1:7" ht="13">
      <c r="A677" s="3"/>
      <c r="B677" s="3"/>
      <c r="C677" s="3"/>
      <c r="D677" s="3"/>
      <c r="E677" s="3"/>
      <c r="F677" s="14"/>
      <c r="G677" s="3"/>
    </row>
    <row r="678" spans="1:7" ht="13">
      <c r="A678" s="3"/>
      <c r="B678" s="3"/>
      <c r="C678" s="3"/>
      <c r="D678" s="3"/>
      <c r="E678" s="3"/>
      <c r="F678" s="14"/>
      <c r="G678" s="3"/>
    </row>
    <row r="679" spans="1:7" ht="13">
      <c r="A679" s="3"/>
      <c r="B679" s="3"/>
      <c r="C679" s="3"/>
      <c r="D679" s="3"/>
      <c r="E679" s="3"/>
      <c r="F679" s="14"/>
      <c r="G679" s="3"/>
    </row>
    <row r="680" spans="1:7" ht="13">
      <c r="A680" s="3"/>
      <c r="B680" s="3"/>
      <c r="C680" s="3"/>
      <c r="D680" s="3"/>
      <c r="E680" s="3"/>
      <c r="F680" s="14"/>
      <c r="G680" s="3"/>
    </row>
    <row r="681" spans="1:7" ht="13">
      <c r="A681" s="3"/>
      <c r="B681" s="3"/>
      <c r="C681" s="3"/>
      <c r="D681" s="3"/>
      <c r="E681" s="3"/>
      <c r="F681" s="14"/>
      <c r="G681" s="3"/>
    </row>
    <row r="682" spans="1:7" ht="13">
      <c r="A682" s="3"/>
      <c r="B682" s="3"/>
      <c r="C682" s="3"/>
      <c r="D682" s="3"/>
      <c r="E682" s="3"/>
      <c r="F682" s="14"/>
      <c r="G682" s="3"/>
    </row>
    <row r="683" spans="1:7" ht="13">
      <c r="A683" s="3"/>
      <c r="B683" s="3"/>
      <c r="C683" s="3"/>
      <c r="D683" s="3"/>
      <c r="E683" s="3"/>
      <c r="F683" s="14"/>
      <c r="G683" s="3"/>
    </row>
    <row r="684" spans="1:7" ht="13">
      <c r="A684" s="3"/>
      <c r="B684" s="3"/>
      <c r="C684" s="3"/>
      <c r="D684" s="3"/>
      <c r="E684" s="3"/>
      <c r="F684" s="14"/>
      <c r="G684" s="3"/>
    </row>
    <row r="685" spans="1:7" ht="13">
      <c r="A685" s="3"/>
      <c r="B685" s="3"/>
      <c r="C685" s="3"/>
      <c r="D685" s="3"/>
      <c r="E685" s="3"/>
      <c r="F685" s="14"/>
      <c r="G685" s="3"/>
    </row>
    <row r="686" spans="1:7" ht="13">
      <c r="A686" s="3"/>
      <c r="B686" s="3"/>
      <c r="C686" s="3"/>
      <c r="D686" s="3"/>
      <c r="E686" s="3"/>
      <c r="F686" s="14"/>
      <c r="G686" s="3"/>
    </row>
    <row r="687" spans="1:7" ht="13">
      <c r="A687" s="3"/>
      <c r="B687" s="3"/>
      <c r="C687" s="3"/>
      <c r="D687" s="3"/>
      <c r="E687" s="3"/>
      <c r="F687" s="14"/>
      <c r="G687" s="3"/>
    </row>
    <row r="688" spans="1:7" ht="13">
      <c r="A688" s="3"/>
      <c r="B688" s="3"/>
      <c r="C688" s="3"/>
      <c r="D688" s="3"/>
      <c r="E688" s="3"/>
      <c r="F688" s="14"/>
      <c r="G688" s="3"/>
    </row>
    <row r="689" spans="1:7" ht="13">
      <c r="A689" s="3"/>
      <c r="B689" s="3"/>
      <c r="C689" s="3"/>
      <c r="D689" s="3"/>
      <c r="E689" s="3"/>
      <c r="F689" s="14"/>
      <c r="G689" s="3"/>
    </row>
    <row r="690" spans="1:7" ht="13">
      <c r="A690" s="3"/>
      <c r="B690" s="3"/>
      <c r="C690" s="3"/>
      <c r="D690" s="3"/>
      <c r="E690" s="3"/>
      <c r="F690" s="14"/>
      <c r="G690" s="3"/>
    </row>
    <row r="691" spans="1:7" ht="13">
      <c r="A691" s="3"/>
      <c r="B691" s="3"/>
      <c r="C691" s="3"/>
      <c r="D691" s="3"/>
      <c r="E691" s="3"/>
      <c r="F691" s="14"/>
      <c r="G691" s="3"/>
    </row>
    <row r="692" spans="1:7" ht="13">
      <c r="A692" s="3"/>
      <c r="B692" s="3"/>
      <c r="C692" s="3"/>
      <c r="D692" s="3"/>
      <c r="E692" s="3"/>
      <c r="F692" s="14"/>
      <c r="G692" s="3"/>
    </row>
    <row r="693" spans="1:7" ht="13">
      <c r="A693" s="3"/>
      <c r="B693" s="3"/>
      <c r="C693" s="3"/>
      <c r="D693" s="3"/>
      <c r="E693" s="3"/>
      <c r="F693" s="14"/>
      <c r="G693" s="3"/>
    </row>
    <row r="694" spans="1:7" ht="13">
      <c r="A694" s="3"/>
      <c r="B694" s="3"/>
      <c r="C694" s="3"/>
      <c r="D694" s="3"/>
      <c r="E694" s="3"/>
      <c r="F694" s="14"/>
      <c r="G694" s="3"/>
    </row>
    <row r="695" spans="1:7" ht="13">
      <c r="A695" s="3"/>
      <c r="B695" s="3"/>
      <c r="C695" s="3"/>
      <c r="D695" s="3"/>
      <c r="E695" s="3"/>
      <c r="F695" s="14"/>
      <c r="G695" s="3"/>
    </row>
    <row r="696" spans="1:7" ht="13">
      <c r="A696" s="3"/>
      <c r="B696" s="3"/>
      <c r="C696" s="3"/>
      <c r="D696" s="3"/>
      <c r="E696" s="3"/>
      <c r="F696" s="14"/>
      <c r="G696" s="3"/>
    </row>
    <row r="697" spans="1:7" ht="13">
      <c r="A697" s="3"/>
      <c r="B697" s="3"/>
      <c r="C697" s="3"/>
      <c r="D697" s="3"/>
      <c r="E697" s="3"/>
      <c r="F697" s="14"/>
      <c r="G697" s="3"/>
    </row>
    <row r="698" spans="1:7" ht="13">
      <c r="A698" s="3"/>
      <c r="B698" s="3"/>
      <c r="C698" s="3"/>
      <c r="D698" s="3"/>
      <c r="E698" s="3"/>
      <c r="F698" s="14"/>
      <c r="G698" s="3"/>
    </row>
    <row r="699" spans="1:7" ht="13">
      <c r="A699" s="3"/>
      <c r="B699" s="3"/>
      <c r="C699" s="3"/>
      <c r="D699" s="3"/>
      <c r="E699" s="3"/>
      <c r="F699" s="14"/>
      <c r="G699" s="3"/>
    </row>
    <row r="700" spans="1:7" ht="13">
      <c r="A700" s="3"/>
      <c r="B700" s="3"/>
      <c r="C700" s="3"/>
      <c r="D700" s="3"/>
      <c r="E700" s="3"/>
      <c r="F700" s="14"/>
      <c r="G700" s="3"/>
    </row>
    <row r="701" spans="1:7" ht="13">
      <c r="A701" s="3"/>
      <c r="B701" s="3"/>
      <c r="C701" s="3"/>
      <c r="D701" s="3"/>
      <c r="E701" s="3"/>
      <c r="F701" s="14"/>
      <c r="G701" s="3"/>
    </row>
    <row r="702" spans="1:7" ht="13">
      <c r="A702" s="3"/>
      <c r="B702" s="3"/>
      <c r="C702" s="3"/>
      <c r="D702" s="3"/>
      <c r="E702" s="3"/>
      <c r="F702" s="14"/>
      <c r="G702" s="3"/>
    </row>
    <row r="703" spans="1:7" ht="13">
      <c r="A703" s="3"/>
      <c r="B703" s="3"/>
      <c r="C703" s="3"/>
      <c r="D703" s="3"/>
      <c r="E703" s="3"/>
      <c r="F703" s="14"/>
      <c r="G703" s="3"/>
    </row>
    <row r="704" spans="1:7" ht="13">
      <c r="A704" s="3"/>
      <c r="B704" s="3"/>
      <c r="C704" s="3"/>
      <c r="D704" s="3"/>
      <c r="E704" s="3"/>
      <c r="F704" s="14"/>
      <c r="G704" s="3"/>
    </row>
    <row r="705" spans="1:7" ht="13">
      <c r="A705" s="3"/>
      <c r="B705" s="3"/>
      <c r="C705" s="3"/>
      <c r="D705" s="3"/>
      <c r="E705" s="3"/>
      <c r="F705" s="14"/>
      <c r="G705" s="3"/>
    </row>
    <row r="706" spans="1:7" ht="13">
      <c r="A706" s="3"/>
      <c r="B706" s="3"/>
      <c r="C706" s="3"/>
      <c r="D706" s="3"/>
      <c r="E706" s="3"/>
      <c r="F706" s="14"/>
      <c r="G706" s="3"/>
    </row>
    <row r="707" spans="1:7" ht="13">
      <c r="A707" s="3"/>
      <c r="B707" s="3"/>
      <c r="C707" s="3"/>
      <c r="D707" s="3"/>
      <c r="E707" s="3"/>
      <c r="F707" s="14"/>
      <c r="G707" s="3"/>
    </row>
    <row r="708" spans="1:7" ht="13">
      <c r="A708" s="3"/>
      <c r="B708" s="3"/>
      <c r="C708" s="3"/>
      <c r="D708" s="3"/>
      <c r="E708" s="3"/>
      <c r="F708" s="14"/>
      <c r="G708" s="3"/>
    </row>
    <row r="709" spans="1:7" ht="13">
      <c r="A709" s="3"/>
      <c r="B709" s="3"/>
      <c r="C709" s="3"/>
      <c r="D709" s="3"/>
      <c r="E709" s="3"/>
      <c r="F709" s="14"/>
      <c r="G709" s="3"/>
    </row>
    <row r="710" spans="1:7" ht="13">
      <c r="A710" s="3"/>
      <c r="B710" s="3"/>
      <c r="C710" s="3"/>
      <c r="D710" s="3"/>
      <c r="E710" s="3"/>
      <c r="F710" s="14"/>
      <c r="G710" s="3"/>
    </row>
    <row r="711" spans="1:7" ht="13">
      <c r="A711" s="3"/>
      <c r="B711" s="3"/>
      <c r="C711" s="3"/>
      <c r="D711" s="3"/>
      <c r="E711" s="3"/>
      <c r="F711" s="14"/>
      <c r="G711" s="3"/>
    </row>
    <row r="712" spans="1:7" ht="13">
      <c r="A712" s="3"/>
      <c r="B712" s="3"/>
      <c r="C712" s="3"/>
      <c r="D712" s="3"/>
      <c r="E712" s="3"/>
      <c r="F712" s="14"/>
      <c r="G712" s="3"/>
    </row>
    <row r="713" spans="1:7" ht="13">
      <c r="A713" s="3"/>
      <c r="B713" s="3"/>
      <c r="C713" s="3"/>
      <c r="D713" s="3"/>
      <c r="E713" s="3"/>
      <c r="F713" s="14"/>
      <c r="G713" s="3"/>
    </row>
    <row r="714" spans="1:7" ht="13">
      <c r="A714" s="3"/>
      <c r="B714" s="3"/>
      <c r="C714" s="3"/>
      <c r="D714" s="3"/>
      <c r="E714" s="3"/>
      <c r="F714" s="14"/>
      <c r="G714" s="3"/>
    </row>
    <row r="715" spans="1:7" ht="13">
      <c r="A715" s="3"/>
      <c r="B715" s="3"/>
      <c r="C715" s="3"/>
      <c r="D715" s="3"/>
      <c r="E715" s="3"/>
      <c r="F715" s="14"/>
      <c r="G715" s="3"/>
    </row>
    <row r="716" spans="1:7" ht="13">
      <c r="A716" s="3"/>
      <c r="B716" s="3"/>
      <c r="C716" s="3"/>
      <c r="D716" s="3"/>
      <c r="E716" s="3"/>
      <c r="F716" s="14"/>
      <c r="G716" s="3"/>
    </row>
    <row r="717" spans="1:7" ht="13">
      <c r="A717" s="3"/>
      <c r="B717" s="3"/>
      <c r="C717" s="3"/>
      <c r="D717" s="3"/>
      <c r="E717" s="3"/>
      <c r="F717" s="14"/>
      <c r="G717" s="3"/>
    </row>
    <row r="718" spans="1:7" ht="13">
      <c r="A718" s="3"/>
      <c r="B718" s="3"/>
      <c r="C718" s="3"/>
      <c r="D718" s="3"/>
      <c r="E718" s="3"/>
      <c r="F718" s="14"/>
      <c r="G718" s="3"/>
    </row>
    <row r="719" spans="1:7" ht="13">
      <c r="A719" s="3"/>
      <c r="B719" s="3"/>
      <c r="C719" s="3"/>
      <c r="D719" s="3"/>
      <c r="E719" s="3"/>
      <c r="F719" s="14"/>
      <c r="G719" s="3"/>
    </row>
    <row r="720" spans="1:7" ht="13">
      <c r="A720" s="3"/>
      <c r="B720" s="3"/>
      <c r="C720" s="3"/>
      <c r="D720" s="3"/>
      <c r="E720" s="3"/>
      <c r="F720" s="14"/>
      <c r="G720" s="3"/>
    </row>
    <row r="721" spans="1:7" ht="13">
      <c r="A721" s="3"/>
      <c r="B721" s="3"/>
      <c r="C721" s="3"/>
      <c r="D721" s="3"/>
      <c r="E721" s="3"/>
      <c r="F721" s="14"/>
      <c r="G721" s="3"/>
    </row>
    <row r="722" spans="1:7" ht="13">
      <c r="A722" s="3"/>
      <c r="B722" s="3"/>
      <c r="C722" s="3"/>
      <c r="D722" s="3"/>
      <c r="E722" s="3"/>
      <c r="F722" s="14"/>
      <c r="G722" s="3"/>
    </row>
    <row r="723" spans="1:7" ht="13">
      <c r="A723" s="3"/>
      <c r="B723" s="3"/>
      <c r="C723" s="3"/>
      <c r="D723" s="3"/>
      <c r="E723" s="3"/>
      <c r="F723" s="14"/>
      <c r="G723" s="3"/>
    </row>
    <row r="724" spans="1:7" ht="13">
      <c r="A724" s="3"/>
      <c r="B724" s="3"/>
      <c r="C724" s="3"/>
      <c r="D724" s="3"/>
      <c r="E724" s="3"/>
      <c r="F724" s="14"/>
      <c r="G724" s="3"/>
    </row>
    <row r="725" spans="1:7" ht="13">
      <c r="A725" s="3"/>
      <c r="F725" s="79"/>
      <c r="G725" s="3"/>
    </row>
    <row r="726" spans="1:7" ht="13">
      <c r="F726" s="79"/>
    </row>
    <row r="727" spans="1:7" ht="13">
      <c r="F727" s="79"/>
    </row>
    <row r="728" spans="1:7" ht="13">
      <c r="F728" s="79"/>
    </row>
    <row r="729" spans="1:7" ht="13">
      <c r="F729" s="79"/>
    </row>
    <row r="730" spans="1:7" ht="13">
      <c r="F730" s="79"/>
    </row>
    <row r="731" spans="1:7" ht="13">
      <c r="F731" s="79"/>
    </row>
    <row r="732" spans="1:7" ht="13">
      <c r="F732" s="79"/>
    </row>
    <row r="733" spans="1:7" ht="13">
      <c r="F733" s="79"/>
    </row>
    <row r="734" spans="1:7" ht="13">
      <c r="F734" s="79"/>
    </row>
    <row r="735" spans="1:7" ht="13">
      <c r="F735" s="79"/>
    </row>
    <row r="736" spans="1:7" ht="13">
      <c r="F736" s="79"/>
    </row>
    <row r="737" spans="6:6" ht="13">
      <c r="F737" s="79"/>
    </row>
    <row r="738" spans="6:6" ht="13">
      <c r="F738" s="79"/>
    </row>
    <row r="739" spans="6:6" ht="13">
      <c r="F739" s="79"/>
    </row>
    <row r="740" spans="6:6" ht="13">
      <c r="F740" s="79"/>
    </row>
    <row r="741" spans="6:6" ht="13">
      <c r="F741" s="79"/>
    </row>
    <row r="742" spans="6:6" ht="13">
      <c r="F742" s="79"/>
    </row>
    <row r="743" spans="6:6" ht="13">
      <c r="F743" s="79"/>
    </row>
    <row r="744" spans="6:6" ht="13">
      <c r="F744" s="79"/>
    </row>
    <row r="745" spans="6:6" ht="13">
      <c r="F745" s="79"/>
    </row>
    <row r="746" spans="6:6" ht="13">
      <c r="F746" s="79"/>
    </row>
    <row r="747" spans="6:6" ht="13">
      <c r="F747" s="79"/>
    </row>
    <row r="748" spans="6:6" ht="13">
      <c r="F748" s="79"/>
    </row>
    <row r="749" spans="6:6" ht="13">
      <c r="F749" s="79"/>
    </row>
    <row r="750" spans="6:6" ht="13">
      <c r="F750" s="79"/>
    </row>
    <row r="751" spans="6:6" ht="13">
      <c r="F751" s="79"/>
    </row>
    <row r="752" spans="6:6" ht="13">
      <c r="F752" s="79"/>
    </row>
    <row r="753" spans="6:6" ht="13">
      <c r="F753" s="79"/>
    </row>
    <row r="754" spans="6:6" ht="13">
      <c r="F754" s="79"/>
    </row>
    <row r="755" spans="6:6" ht="13">
      <c r="F755" s="79"/>
    </row>
    <row r="756" spans="6:6" ht="13">
      <c r="F756" s="79"/>
    </row>
    <row r="757" spans="6:6" ht="13">
      <c r="F757" s="79"/>
    </row>
    <row r="758" spans="6:6" ht="13">
      <c r="F758" s="79"/>
    </row>
    <row r="759" spans="6:6" ht="13">
      <c r="F759" s="79"/>
    </row>
    <row r="760" spans="6:6" ht="13">
      <c r="F760" s="79"/>
    </row>
    <row r="761" spans="6:6" ht="13">
      <c r="F761" s="79"/>
    </row>
    <row r="762" spans="6:6" ht="13">
      <c r="F762" s="79"/>
    </row>
    <row r="763" spans="6:6" ht="13">
      <c r="F763" s="79"/>
    </row>
    <row r="764" spans="6:6" ht="13">
      <c r="F764" s="79"/>
    </row>
    <row r="765" spans="6:6" ht="13">
      <c r="F765" s="79"/>
    </row>
    <row r="766" spans="6:6" ht="13">
      <c r="F766" s="79"/>
    </row>
    <row r="767" spans="6:6" ht="13">
      <c r="F767" s="79"/>
    </row>
    <row r="768" spans="6:6" ht="13">
      <c r="F768" s="79"/>
    </row>
    <row r="769" spans="6:6" ht="13">
      <c r="F769" s="79"/>
    </row>
    <row r="770" spans="6:6" ht="13">
      <c r="F770" s="79"/>
    </row>
    <row r="771" spans="6:6" ht="13">
      <c r="F771" s="79"/>
    </row>
    <row r="772" spans="6:6" ht="13">
      <c r="F772" s="79"/>
    </row>
    <row r="773" spans="6:6" ht="13">
      <c r="F773" s="79"/>
    </row>
    <row r="774" spans="6:6" ht="13">
      <c r="F774" s="79"/>
    </row>
    <row r="775" spans="6:6" ht="13">
      <c r="F775" s="79"/>
    </row>
    <row r="776" spans="6:6" ht="13">
      <c r="F776" s="79"/>
    </row>
    <row r="777" spans="6:6" ht="13">
      <c r="F777" s="79"/>
    </row>
    <row r="778" spans="6:6" ht="13">
      <c r="F778" s="79"/>
    </row>
    <row r="779" spans="6:6" ht="13">
      <c r="F779" s="79"/>
    </row>
    <row r="780" spans="6:6" ht="13">
      <c r="F780" s="79"/>
    </row>
    <row r="781" spans="6:6" ht="13">
      <c r="F781" s="79"/>
    </row>
    <row r="782" spans="6:6" ht="13">
      <c r="F782" s="79"/>
    </row>
    <row r="783" spans="6:6" ht="13">
      <c r="F783" s="79"/>
    </row>
    <row r="784" spans="6:6" ht="13">
      <c r="F784" s="79"/>
    </row>
    <row r="785" spans="6:6" ht="13">
      <c r="F785" s="79"/>
    </row>
    <row r="786" spans="6:6" ht="13">
      <c r="F786" s="79"/>
    </row>
    <row r="787" spans="6:6" ht="13">
      <c r="F787" s="79"/>
    </row>
    <row r="788" spans="6:6" ht="13">
      <c r="F788" s="79"/>
    </row>
    <row r="789" spans="6:6" ht="13">
      <c r="F789" s="79"/>
    </row>
    <row r="790" spans="6:6" ht="13">
      <c r="F790" s="79"/>
    </row>
    <row r="791" spans="6:6" ht="13">
      <c r="F791" s="79"/>
    </row>
    <row r="792" spans="6:6" ht="13">
      <c r="F792" s="79"/>
    </row>
    <row r="793" spans="6:6" ht="13">
      <c r="F793" s="79"/>
    </row>
    <row r="794" spans="6:6" ht="13">
      <c r="F794" s="79"/>
    </row>
    <row r="795" spans="6:6" ht="13">
      <c r="F795" s="79"/>
    </row>
    <row r="796" spans="6:6" ht="13">
      <c r="F796" s="79"/>
    </row>
    <row r="797" spans="6:6" ht="13">
      <c r="F797" s="79"/>
    </row>
    <row r="798" spans="6:6" ht="13">
      <c r="F798" s="79"/>
    </row>
    <row r="799" spans="6:6" ht="13">
      <c r="F799" s="79"/>
    </row>
    <row r="800" spans="6:6" ht="13">
      <c r="F800" s="79"/>
    </row>
    <row r="801" spans="6:6" ht="13">
      <c r="F801" s="79"/>
    </row>
    <row r="802" spans="6:6" ht="13">
      <c r="F802" s="79"/>
    </row>
    <row r="803" spans="6:6" ht="13">
      <c r="F803" s="79"/>
    </row>
    <row r="804" spans="6:6" ht="13">
      <c r="F804" s="79"/>
    </row>
    <row r="805" spans="6:6" ht="13">
      <c r="F805" s="79"/>
    </row>
    <row r="806" spans="6:6" ht="13">
      <c r="F806" s="79"/>
    </row>
    <row r="807" spans="6:6" ht="13">
      <c r="F807" s="79"/>
    </row>
    <row r="808" spans="6:6" ht="13">
      <c r="F808" s="79"/>
    </row>
    <row r="809" spans="6:6" ht="13">
      <c r="F809" s="79"/>
    </row>
    <row r="810" spans="6:6" ht="13">
      <c r="F810" s="79"/>
    </row>
    <row r="811" spans="6:6" ht="13">
      <c r="F811" s="79"/>
    </row>
    <row r="812" spans="6:6" ht="13">
      <c r="F812" s="79"/>
    </row>
    <row r="813" spans="6:6" ht="13">
      <c r="F813" s="79"/>
    </row>
    <row r="814" spans="6:6" ht="13">
      <c r="F814" s="79"/>
    </row>
    <row r="815" spans="6:6" ht="13">
      <c r="F815" s="79"/>
    </row>
    <row r="816" spans="6:6" ht="13">
      <c r="F816" s="79"/>
    </row>
    <row r="817" spans="6:6" ht="13">
      <c r="F817" s="79"/>
    </row>
    <row r="818" spans="6:6" ht="13">
      <c r="F818" s="79"/>
    </row>
    <row r="819" spans="6:6" ht="13">
      <c r="F819" s="79"/>
    </row>
    <row r="820" spans="6:6" ht="13">
      <c r="F820" s="79"/>
    </row>
    <row r="821" spans="6:6" ht="13">
      <c r="F821" s="79"/>
    </row>
    <row r="822" spans="6:6" ht="13">
      <c r="F822" s="79"/>
    </row>
    <row r="823" spans="6:6" ht="13">
      <c r="F823" s="79"/>
    </row>
    <row r="824" spans="6:6" ht="13">
      <c r="F824" s="79"/>
    </row>
    <row r="825" spans="6:6" ht="13">
      <c r="F825" s="79"/>
    </row>
    <row r="826" spans="6:6" ht="13">
      <c r="F826" s="79"/>
    </row>
    <row r="827" spans="6:6" ht="13">
      <c r="F827" s="79"/>
    </row>
    <row r="828" spans="6:6" ht="13">
      <c r="F828" s="79"/>
    </row>
    <row r="829" spans="6:6" ht="13">
      <c r="F829" s="79"/>
    </row>
    <row r="830" spans="6:6" ht="13">
      <c r="F830" s="79"/>
    </row>
    <row r="831" spans="6:6" ht="13">
      <c r="F831" s="79"/>
    </row>
    <row r="832" spans="6:6" ht="13">
      <c r="F832" s="79"/>
    </row>
    <row r="833" spans="6:6" ht="13">
      <c r="F833" s="79"/>
    </row>
    <row r="834" spans="6:6" ht="13">
      <c r="F834" s="79"/>
    </row>
    <row r="835" spans="6:6" ht="13">
      <c r="F835" s="79"/>
    </row>
    <row r="836" spans="6:6" ht="13">
      <c r="F836" s="79"/>
    </row>
    <row r="837" spans="6:6" ht="13">
      <c r="F837" s="79"/>
    </row>
    <row r="838" spans="6:6" ht="13">
      <c r="F838" s="79"/>
    </row>
    <row r="839" spans="6:6" ht="13">
      <c r="F839" s="79"/>
    </row>
    <row r="840" spans="6:6" ht="13">
      <c r="F840" s="79"/>
    </row>
    <row r="841" spans="6:6" ht="13">
      <c r="F841" s="79"/>
    </row>
    <row r="842" spans="6:6" ht="13">
      <c r="F842" s="79"/>
    </row>
    <row r="843" spans="6:6" ht="13">
      <c r="F843" s="79"/>
    </row>
    <row r="844" spans="6:6" ht="13">
      <c r="F844" s="79"/>
    </row>
    <row r="845" spans="6:6" ht="13">
      <c r="F845" s="79"/>
    </row>
    <row r="846" spans="6:6" ht="13">
      <c r="F846" s="79"/>
    </row>
    <row r="847" spans="6:6" ht="13">
      <c r="F847" s="79"/>
    </row>
    <row r="848" spans="6:6" ht="13">
      <c r="F848" s="79"/>
    </row>
    <row r="849" spans="6:6" ht="13">
      <c r="F849" s="79"/>
    </row>
    <row r="850" spans="6:6" ht="13">
      <c r="F850" s="79"/>
    </row>
    <row r="851" spans="6:6" ht="13">
      <c r="F851" s="79"/>
    </row>
    <row r="852" spans="6:6" ht="13">
      <c r="F852" s="79"/>
    </row>
    <row r="853" spans="6:6" ht="13">
      <c r="F853" s="79"/>
    </row>
    <row r="854" spans="6:6" ht="13">
      <c r="F854" s="79"/>
    </row>
    <row r="855" spans="6:6" ht="13">
      <c r="F855" s="79"/>
    </row>
    <row r="856" spans="6:6" ht="13">
      <c r="F856" s="79"/>
    </row>
    <row r="857" spans="6:6" ht="13">
      <c r="F857" s="79"/>
    </row>
    <row r="858" spans="6:6" ht="13">
      <c r="F858" s="79"/>
    </row>
    <row r="859" spans="6:6" ht="13">
      <c r="F859" s="79"/>
    </row>
    <row r="860" spans="6:6" ht="13">
      <c r="F860" s="79"/>
    </row>
    <row r="861" spans="6:6" ht="13">
      <c r="F861" s="79"/>
    </row>
    <row r="862" spans="6:6" ht="13">
      <c r="F862" s="79"/>
    </row>
    <row r="863" spans="6:6" ht="13">
      <c r="F863" s="79"/>
    </row>
    <row r="864" spans="6:6" ht="13">
      <c r="F864" s="79"/>
    </row>
    <row r="865" spans="6:6" ht="13">
      <c r="F865" s="79"/>
    </row>
    <row r="866" spans="6:6" ht="13">
      <c r="F866" s="79"/>
    </row>
    <row r="867" spans="6:6" ht="13">
      <c r="F867" s="79"/>
    </row>
    <row r="868" spans="6:6" ht="13">
      <c r="F868" s="79"/>
    </row>
    <row r="869" spans="6:6" ht="13">
      <c r="F869" s="79"/>
    </row>
    <row r="870" spans="6:6" ht="13">
      <c r="F870" s="79"/>
    </row>
    <row r="871" spans="6:6" ht="13">
      <c r="F871" s="79"/>
    </row>
    <row r="872" spans="6:6" ht="13">
      <c r="F872" s="79"/>
    </row>
    <row r="873" spans="6:6" ht="13">
      <c r="F873" s="79"/>
    </row>
    <row r="874" spans="6:6" ht="13">
      <c r="F874" s="79"/>
    </row>
    <row r="875" spans="6:6" ht="13">
      <c r="F875" s="79"/>
    </row>
    <row r="876" spans="6:6" ht="13">
      <c r="F876" s="79"/>
    </row>
    <row r="877" spans="6:6" ht="13">
      <c r="F877" s="79"/>
    </row>
    <row r="878" spans="6:6" ht="13">
      <c r="F878" s="79"/>
    </row>
    <row r="879" spans="6:6" ht="13">
      <c r="F879" s="79"/>
    </row>
    <row r="880" spans="6:6" ht="13">
      <c r="F880" s="79"/>
    </row>
    <row r="881" spans="6:6" ht="13">
      <c r="F881" s="79"/>
    </row>
    <row r="882" spans="6:6" ht="13">
      <c r="F882" s="79"/>
    </row>
    <row r="883" spans="6:6" ht="13">
      <c r="F883" s="79"/>
    </row>
    <row r="884" spans="6:6" ht="13">
      <c r="F884" s="79"/>
    </row>
    <row r="885" spans="6:6" ht="13">
      <c r="F885" s="79"/>
    </row>
    <row r="886" spans="6:6" ht="13">
      <c r="F886" s="79"/>
    </row>
    <row r="887" spans="6:6" ht="13">
      <c r="F887" s="79"/>
    </row>
    <row r="888" spans="6:6" ht="13">
      <c r="F888" s="79"/>
    </row>
    <row r="889" spans="6:6" ht="13">
      <c r="F889" s="79"/>
    </row>
    <row r="890" spans="6:6" ht="13">
      <c r="F890" s="79"/>
    </row>
    <row r="891" spans="6:6" ht="13">
      <c r="F891" s="79"/>
    </row>
    <row r="892" spans="6:6" ht="13">
      <c r="F892" s="79"/>
    </row>
    <row r="893" spans="6:6" ht="13">
      <c r="F893" s="79"/>
    </row>
    <row r="894" spans="6:6" ht="13">
      <c r="F894" s="79"/>
    </row>
    <row r="895" spans="6:6" ht="13">
      <c r="F895" s="79"/>
    </row>
    <row r="896" spans="6:6" ht="13">
      <c r="F896" s="79"/>
    </row>
    <row r="897" spans="6:6" ht="13">
      <c r="F897" s="79"/>
    </row>
    <row r="898" spans="6:6" ht="13">
      <c r="F898" s="79"/>
    </row>
    <row r="899" spans="6:6" ht="13">
      <c r="F899" s="79"/>
    </row>
    <row r="900" spans="6:6" ht="13">
      <c r="F900" s="79"/>
    </row>
    <row r="901" spans="6:6" ht="13">
      <c r="F901" s="79"/>
    </row>
    <row r="902" spans="6:6" ht="13">
      <c r="F902" s="79"/>
    </row>
    <row r="903" spans="6:6" ht="13">
      <c r="F903" s="79"/>
    </row>
    <row r="904" spans="6:6" ht="13">
      <c r="F904" s="79"/>
    </row>
    <row r="905" spans="6:6" ht="13">
      <c r="F905" s="79"/>
    </row>
    <row r="906" spans="6:6" ht="13">
      <c r="F906" s="79"/>
    </row>
    <row r="907" spans="6:6" ht="13">
      <c r="F907" s="79"/>
    </row>
    <row r="908" spans="6:6" ht="13">
      <c r="F908" s="79"/>
    </row>
    <row r="909" spans="6:6" ht="13">
      <c r="F909" s="79"/>
    </row>
    <row r="910" spans="6:6" ht="13">
      <c r="F910" s="79"/>
    </row>
    <row r="911" spans="6:6" ht="13">
      <c r="F911" s="79"/>
    </row>
    <row r="912" spans="6:6" ht="13">
      <c r="F912" s="79"/>
    </row>
    <row r="913" spans="6:6" ht="13">
      <c r="F913" s="79"/>
    </row>
    <row r="914" spans="6:6" ht="13">
      <c r="F914" s="79"/>
    </row>
    <row r="915" spans="6:6" ht="13">
      <c r="F915" s="79"/>
    </row>
    <row r="916" spans="6:6" ht="13">
      <c r="F916" s="79"/>
    </row>
    <row r="917" spans="6:6" ht="13">
      <c r="F917" s="79"/>
    </row>
    <row r="918" spans="6:6" ht="13">
      <c r="F918" s="79"/>
    </row>
    <row r="919" spans="6:6" ht="13">
      <c r="F919" s="79"/>
    </row>
    <row r="920" spans="6:6" ht="13">
      <c r="F920" s="79"/>
    </row>
    <row r="921" spans="6:6" ht="13">
      <c r="F921" s="79"/>
    </row>
    <row r="922" spans="6:6" ht="13">
      <c r="F922" s="79"/>
    </row>
    <row r="923" spans="6:6" ht="13">
      <c r="F923" s="79"/>
    </row>
    <row r="924" spans="6:6" ht="13">
      <c r="F924" s="79"/>
    </row>
    <row r="925" spans="6:6" ht="13">
      <c r="F925" s="79"/>
    </row>
    <row r="926" spans="6:6" ht="13">
      <c r="F926" s="79"/>
    </row>
    <row r="927" spans="6:6" ht="13">
      <c r="F927" s="79"/>
    </row>
    <row r="928" spans="6:6" ht="13">
      <c r="F928" s="79"/>
    </row>
    <row r="929" spans="6:6" ht="13">
      <c r="F929" s="79"/>
    </row>
    <row r="930" spans="6:6" ht="13">
      <c r="F930" s="79"/>
    </row>
    <row r="931" spans="6:6" ht="13">
      <c r="F931" s="79"/>
    </row>
    <row r="932" spans="6:6" ht="13">
      <c r="F932" s="79"/>
    </row>
    <row r="933" spans="6:6" ht="13">
      <c r="F933" s="79"/>
    </row>
    <row r="934" spans="6:6" ht="13">
      <c r="F934" s="79"/>
    </row>
    <row r="935" spans="6:6" ht="13">
      <c r="F935" s="79"/>
    </row>
    <row r="936" spans="6:6" ht="13">
      <c r="F936" s="79"/>
    </row>
    <row r="937" spans="6:6" ht="13">
      <c r="F937" s="79"/>
    </row>
    <row r="938" spans="6:6" ht="13">
      <c r="F938" s="79"/>
    </row>
    <row r="939" spans="6:6" ht="13">
      <c r="F939" s="79"/>
    </row>
    <row r="940" spans="6:6" ht="13">
      <c r="F940" s="79"/>
    </row>
    <row r="941" spans="6:6" ht="13">
      <c r="F941" s="79"/>
    </row>
    <row r="942" spans="6:6" ht="13">
      <c r="F942" s="79"/>
    </row>
    <row r="943" spans="6:6" ht="13">
      <c r="F943" s="79"/>
    </row>
    <row r="944" spans="6:6" ht="13">
      <c r="F944" s="79"/>
    </row>
    <row r="945" spans="6:6" ht="13">
      <c r="F945" s="79"/>
    </row>
    <row r="946" spans="6:6" ht="13">
      <c r="F946" s="79"/>
    </row>
    <row r="947" spans="6:6" ht="13">
      <c r="F947" s="79"/>
    </row>
    <row r="948" spans="6:6" ht="13">
      <c r="F948" s="79"/>
    </row>
    <row r="949" spans="6:6" ht="13">
      <c r="F949" s="79"/>
    </row>
    <row r="950" spans="6:6" ht="13">
      <c r="F950" s="79"/>
    </row>
    <row r="951" spans="6:6" ht="13">
      <c r="F951" s="79"/>
    </row>
    <row r="952" spans="6:6" ht="13">
      <c r="F952" s="79"/>
    </row>
    <row r="953" spans="6:6" ht="13">
      <c r="F953" s="79"/>
    </row>
    <row r="954" spans="6:6" ht="13">
      <c r="F954" s="79"/>
    </row>
    <row r="955" spans="6:6" ht="13">
      <c r="F955" s="79"/>
    </row>
    <row r="956" spans="6:6" ht="13">
      <c r="F956" s="79"/>
    </row>
    <row r="957" spans="6:6" ht="13">
      <c r="F957" s="79"/>
    </row>
    <row r="958" spans="6:6" ht="13">
      <c r="F958" s="79"/>
    </row>
    <row r="959" spans="6:6" ht="13">
      <c r="F959" s="79"/>
    </row>
    <row r="960" spans="6:6" ht="13">
      <c r="F960" s="79"/>
    </row>
    <row r="961" spans="6:6" ht="13">
      <c r="F961" s="79"/>
    </row>
    <row r="962" spans="6:6" ht="13">
      <c r="F962" s="79"/>
    </row>
    <row r="963" spans="6:6" ht="13">
      <c r="F963" s="79"/>
    </row>
    <row r="964" spans="6:6" ht="13">
      <c r="F964" s="79"/>
    </row>
    <row r="965" spans="6:6" ht="13">
      <c r="F965" s="79"/>
    </row>
    <row r="966" spans="6:6" ht="13">
      <c r="F966" s="79"/>
    </row>
    <row r="967" spans="6:6" ht="13">
      <c r="F967" s="79"/>
    </row>
    <row r="968" spans="6:6" ht="13">
      <c r="F968" s="79"/>
    </row>
    <row r="969" spans="6:6" ht="13">
      <c r="F969" s="79"/>
    </row>
    <row r="970" spans="6:6" ht="13"/>
  </sheetData>
  <autoFilter ref="B8:F69" xr:uid="{00000000-0009-0000-0000-000004000000}">
    <sortState xmlns:xlrd2="http://schemas.microsoft.com/office/spreadsheetml/2017/richdata2" ref="B8:F69">
      <sortCondition descending="1" ref="F8:F69"/>
    </sortState>
  </autoFilter>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r:uid="{00000000-0002-0000-0400-000000000000}">
          <x14:formula1>
            <xm:f>'Recognized responses'!$A$1:$A$78</xm:f>
          </x14:formula1>
          <xm:sqref>D9:D69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W951"/>
  <sheetViews>
    <sheetView showGridLines="0" tabSelected="1" topLeftCell="A3" workbookViewId="0">
      <selection activeCell="D19" sqref="D19"/>
    </sheetView>
  </sheetViews>
  <sheetFormatPr baseColWidth="10" defaultColWidth="14.5" defaultRowHeight="15.75" customHeight="1"/>
  <cols>
    <col min="1" max="1" width="3.5" customWidth="1"/>
    <col min="2" max="2" width="61.5" customWidth="1"/>
    <col min="3" max="3" width="53.5" customWidth="1"/>
    <col min="4" max="4" width="17.33203125" customWidth="1"/>
    <col min="5" max="5" width="34.83203125" customWidth="1"/>
    <col min="6" max="6" width="30" customWidth="1"/>
    <col min="7" max="7" width="32.83203125" customWidth="1"/>
    <col min="8" max="8" width="33" customWidth="1"/>
    <col min="9" max="9" width="38.5" customWidth="1"/>
    <col min="10" max="10" width="43.6640625" customWidth="1"/>
  </cols>
  <sheetData>
    <row r="1" spans="1:23" ht="15" customHeight="1">
      <c r="A1" s="12"/>
      <c r="B1" s="12"/>
      <c r="C1" s="3"/>
      <c r="D1" s="14"/>
      <c r="E1" s="3"/>
    </row>
    <row r="2" spans="1:23" ht="22">
      <c r="A2" s="12"/>
      <c r="B2" s="13" t="s">
        <v>0</v>
      </c>
      <c r="E2" s="14"/>
    </row>
    <row r="3" spans="1:23" ht="34.5" customHeight="1">
      <c r="A3" s="12"/>
      <c r="B3" s="53" t="s">
        <v>230</v>
      </c>
      <c r="C3" s="84" t="s">
        <v>231</v>
      </c>
      <c r="D3" s="55">
        <f>SUM(D10:D201)</f>
        <v>154955.27000000002</v>
      </c>
      <c r="E3" s="34" t="s">
        <v>22</v>
      </c>
    </row>
    <row r="4" spans="1:23" ht="13">
      <c r="A4" s="12"/>
      <c r="B4" s="85" t="s">
        <v>232</v>
      </c>
      <c r="C4" s="86"/>
      <c r="D4" s="57"/>
      <c r="E4" s="54"/>
    </row>
    <row r="5" spans="1:23" ht="13">
      <c r="A5" s="12"/>
      <c r="B5" s="56"/>
      <c r="C5" s="54"/>
      <c r="D5" s="57"/>
      <c r="E5" s="54"/>
    </row>
    <row r="6" spans="1:23" ht="13">
      <c r="A6" s="12"/>
      <c r="B6" s="87" t="s">
        <v>233</v>
      </c>
      <c r="C6" s="54"/>
      <c r="D6" s="57"/>
      <c r="E6" s="54"/>
    </row>
    <row r="7" spans="1:23" ht="13">
      <c r="A7" s="12"/>
      <c r="B7" s="35" t="s">
        <v>234</v>
      </c>
      <c r="C7" s="54"/>
      <c r="D7" s="57"/>
      <c r="E7" s="54"/>
    </row>
    <row r="8" spans="1:23" ht="12" customHeight="1">
      <c r="A8" s="12"/>
      <c r="B8" s="58"/>
      <c r="C8" s="54"/>
      <c r="D8" s="57"/>
      <c r="E8" s="54"/>
    </row>
    <row r="9" spans="1:23" ht="31.5" customHeight="1">
      <c r="A9" s="59"/>
      <c r="B9" s="88" t="s">
        <v>235</v>
      </c>
      <c r="C9" s="80" t="s">
        <v>236</v>
      </c>
      <c r="D9" s="62" t="s">
        <v>54</v>
      </c>
      <c r="E9" s="63"/>
      <c r="F9" s="63"/>
      <c r="G9" s="63"/>
      <c r="H9" s="63"/>
      <c r="I9" s="63"/>
      <c r="J9" s="63"/>
      <c r="K9" s="64"/>
      <c r="L9" s="64"/>
      <c r="M9" s="64"/>
      <c r="N9" s="64"/>
      <c r="O9" s="64"/>
      <c r="P9" s="64"/>
      <c r="Q9" s="64"/>
      <c r="R9" s="64"/>
      <c r="S9" s="64"/>
      <c r="T9" s="64"/>
      <c r="U9" s="64"/>
      <c r="V9" s="64"/>
      <c r="W9" s="64"/>
    </row>
    <row r="10" spans="1:23" ht="13">
      <c r="A10" s="65"/>
      <c r="B10" s="89" t="s">
        <v>237</v>
      </c>
      <c r="C10" s="83"/>
      <c r="D10" s="74">
        <f>'Inventory '!H243+'Inventory '!H433+'Inventory '!H601+'Inventory '!H737+'Inventory '!H972+'Inventory '!H1395</f>
        <v>120268.87000000001</v>
      </c>
      <c r="E10" s="68"/>
      <c r="F10" s="69"/>
      <c r="G10" s="70"/>
      <c r="H10" s="71"/>
      <c r="I10" s="72"/>
      <c r="J10" s="73"/>
      <c r="K10" s="39"/>
      <c r="L10" s="39"/>
      <c r="M10" s="39"/>
      <c r="N10" s="39"/>
      <c r="O10" s="39"/>
      <c r="P10" s="39"/>
      <c r="Q10" s="39"/>
      <c r="R10" s="39"/>
      <c r="S10" s="39"/>
      <c r="T10" s="39"/>
      <c r="U10" s="39"/>
      <c r="V10" s="39"/>
      <c r="W10" s="39"/>
    </row>
    <row r="11" spans="1:23" ht="13">
      <c r="A11" s="65"/>
      <c r="B11" s="90" t="s">
        <v>238</v>
      </c>
      <c r="C11" s="82"/>
      <c r="D11" s="74">
        <f>'Inventory '!I243+'Inventory '!I433+'Inventory '!I601+'Inventory '!I737+'Inventory '!I972+'Inventory '!I1395</f>
        <v>5392.3499999999995</v>
      </c>
      <c r="E11" s="68"/>
      <c r="F11" s="69"/>
      <c r="G11" s="70"/>
      <c r="H11" s="71"/>
      <c r="I11" s="72"/>
      <c r="J11" s="71"/>
      <c r="K11" s="39"/>
      <c r="L11" s="39"/>
      <c r="M11" s="39"/>
      <c r="N11" s="39"/>
      <c r="O11" s="39"/>
      <c r="P11" s="39"/>
      <c r="Q11" s="39"/>
      <c r="R11" s="39"/>
      <c r="S11" s="39"/>
      <c r="T11" s="39"/>
      <c r="U11" s="39"/>
      <c r="V11" s="39"/>
      <c r="W11" s="39"/>
    </row>
    <row r="12" spans="1:23" ht="13">
      <c r="A12" s="65"/>
      <c r="B12" s="66" t="s">
        <v>239</v>
      </c>
      <c r="C12" s="83"/>
      <c r="D12" s="74">
        <f>'Inventory '!J243+'Inventory '!K433+'Inventory '!J601+'Inventory '!J737+'Inventory '!J972+'Inventory '!J1395</f>
        <v>2353.4700000000012</v>
      </c>
      <c r="E12" s="68"/>
      <c r="F12" s="69"/>
      <c r="G12" s="70"/>
      <c r="H12" s="71"/>
      <c r="I12" s="75"/>
      <c r="J12" s="73"/>
      <c r="K12" s="39"/>
      <c r="L12" s="39"/>
      <c r="M12" s="39"/>
      <c r="N12" s="39"/>
      <c r="O12" s="39"/>
      <c r="P12" s="39"/>
      <c r="Q12" s="39"/>
      <c r="R12" s="39"/>
      <c r="S12" s="39"/>
      <c r="T12" s="39"/>
      <c r="U12" s="39"/>
      <c r="V12" s="39"/>
      <c r="W12" s="39"/>
    </row>
    <row r="13" spans="1:23" ht="13">
      <c r="A13" s="65"/>
      <c r="B13" s="66" t="s">
        <v>240</v>
      </c>
      <c r="C13" s="83"/>
      <c r="D13" s="74">
        <f>'Inventory '!J243+'Inventory '!J601+'Inventory '!J737+'Inventory '!J972+'Inventory '!J1395</f>
        <v>1398.5300000000002</v>
      </c>
      <c r="E13" s="68"/>
      <c r="F13" s="69"/>
      <c r="G13" s="70"/>
      <c r="H13" s="71"/>
      <c r="I13" s="75"/>
      <c r="J13" s="73"/>
      <c r="K13" s="39"/>
      <c r="L13" s="39"/>
      <c r="M13" s="39"/>
      <c r="N13" s="39"/>
      <c r="O13" s="39"/>
      <c r="P13" s="39"/>
      <c r="Q13" s="39"/>
      <c r="R13" s="39"/>
      <c r="S13" s="39"/>
      <c r="T13" s="39"/>
      <c r="U13" s="39"/>
      <c r="V13" s="39"/>
      <c r="W13" s="39"/>
    </row>
    <row r="14" spans="1:23" ht="13">
      <c r="A14" s="65"/>
      <c r="B14" s="66" t="s">
        <v>241</v>
      </c>
      <c r="C14" s="83"/>
      <c r="D14" s="74">
        <f>'Inventory '!L243+'Inventory '!L433+'Inventory '!L601+'Inventory '!L737+'Inventory '!L972+'Inventory '!L1395</f>
        <v>1208.72</v>
      </c>
      <c r="E14" s="68"/>
      <c r="F14" s="69"/>
      <c r="G14" s="70"/>
      <c r="H14" s="71"/>
      <c r="I14" s="75"/>
      <c r="J14" s="73"/>
      <c r="K14" s="39"/>
      <c r="L14" s="39"/>
      <c r="M14" s="39"/>
      <c r="N14" s="39"/>
      <c r="O14" s="39"/>
      <c r="P14" s="39"/>
      <c r="Q14" s="39"/>
      <c r="R14" s="39"/>
      <c r="S14" s="39"/>
      <c r="T14" s="39"/>
      <c r="U14" s="39"/>
      <c r="V14" s="39"/>
      <c r="W14" s="39"/>
    </row>
    <row r="15" spans="1:23" ht="13">
      <c r="A15" s="65"/>
      <c r="B15" s="66" t="s">
        <v>242</v>
      </c>
      <c r="C15" s="83"/>
      <c r="D15" s="74">
        <f>'Inventory '!M243+'Inventory '!M433+'Inventory '!M601+'Inventory '!M737+'Inventory '!M972+'Inventory '!M1395</f>
        <v>3115.7999999999997</v>
      </c>
      <c r="E15" s="68"/>
      <c r="F15" s="69"/>
      <c r="G15" s="70"/>
      <c r="H15" s="71"/>
      <c r="I15" s="75"/>
      <c r="J15" s="73"/>
      <c r="K15" s="39"/>
      <c r="L15" s="39"/>
      <c r="M15" s="39"/>
      <c r="N15" s="39"/>
      <c r="O15" s="39"/>
      <c r="P15" s="39"/>
      <c r="Q15" s="39"/>
      <c r="R15" s="39"/>
      <c r="S15" s="39"/>
      <c r="T15" s="39"/>
      <c r="U15" s="39"/>
      <c r="V15" s="39"/>
      <c r="W15" s="39"/>
    </row>
    <row r="16" spans="1:23" ht="13">
      <c r="A16" s="65"/>
      <c r="B16" s="66" t="s">
        <v>243</v>
      </c>
      <c r="C16" s="83"/>
      <c r="D16" s="74">
        <f>'Inventory '!N243+'Inventory '!N433+'Inventory '!N601+'Inventory '!N737+'Inventory '!N972+'Inventory '!N1395</f>
        <v>4998.33</v>
      </c>
      <c r="E16" s="68"/>
      <c r="F16" s="69"/>
      <c r="G16" s="70"/>
      <c r="H16" s="71"/>
      <c r="I16" s="75"/>
      <c r="J16" s="73"/>
      <c r="K16" s="39"/>
      <c r="L16" s="39"/>
      <c r="M16" s="39"/>
      <c r="N16" s="39"/>
      <c r="O16" s="39"/>
      <c r="P16" s="39"/>
      <c r="Q16" s="39"/>
      <c r="R16" s="39"/>
      <c r="S16" s="39"/>
      <c r="T16" s="39"/>
      <c r="U16" s="39"/>
      <c r="V16" s="39"/>
      <c r="W16" s="39"/>
    </row>
    <row r="17" spans="1:23" ht="13">
      <c r="A17" s="65"/>
      <c r="B17" s="66" t="s">
        <v>244</v>
      </c>
      <c r="C17" s="82" t="s">
        <v>245</v>
      </c>
      <c r="D17" s="74">
        <f>'Inventory '!O243+'Inventory '!O433+'Inventory '!O601+'Inventory '!O737+'Inventory '!O972+'Inventory '!O1395</f>
        <v>9219.7899999999991</v>
      </c>
      <c r="E17" s="68"/>
      <c r="F17" s="69"/>
      <c r="G17" s="70"/>
      <c r="H17" s="71"/>
      <c r="I17" s="75"/>
      <c r="J17" s="73"/>
      <c r="K17" s="39"/>
      <c r="L17" s="39"/>
      <c r="M17" s="39"/>
      <c r="N17" s="39"/>
      <c r="O17" s="39"/>
      <c r="P17" s="39"/>
      <c r="Q17" s="39"/>
      <c r="R17" s="39"/>
      <c r="S17" s="39"/>
      <c r="T17" s="39"/>
      <c r="U17" s="39"/>
      <c r="V17" s="39"/>
      <c r="W17" s="39"/>
    </row>
    <row r="18" spans="1:23" ht="13">
      <c r="A18" s="65"/>
      <c r="B18" s="66" t="s">
        <v>246</v>
      </c>
      <c r="C18" s="82" t="s">
        <v>247</v>
      </c>
      <c r="D18" s="74">
        <f>'Inventory '!M243+'Inventory '!M433+'Inventory '!P601+'Inventory '!P737+'Inventory '!P972+'Inventory '!P1395</f>
        <v>1983.6599999999999</v>
      </c>
      <c r="E18" s="68"/>
      <c r="F18" s="69"/>
      <c r="G18" s="70"/>
      <c r="H18" s="71"/>
      <c r="I18" s="75"/>
      <c r="J18" s="73"/>
      <c r="K18" s="39"/>
      <c r="L18" s="39"/>
      <c r="M18" s="39"/>
      <c r="N18" s="39"/>
      <c r="O18" s="39"/>
      <c r="P18" s="39"/>
      <c r="Q18" s="39"/>
      <c r="R18" s="39"/>
      <c r="S18" s="39"/>
      <c r="T18" s="39"/>
      <c r="U18" s="39"/>
      <c r="V18" s="39"/>
      <c r="W18" s="39"/>
    </row>
    <row r="19" spans="1:23" ht="13">
      <c r="A19" s="65"/>
      <c r="B19" s="66" t="s">
        <v>248</v>
      </c>
      <c r="C19" s="82" t="s">
        <v>249</v>
      </c>
      <c r="D19" s="74">
        <f>'Inventory '!Q243+'Inventory '!Q433+'Inventory '!Q601+'Inventory '!Q737+'Inventory '!Q972+'Inventory '!Q1395</f>
        <v>5015.7500000000009</v>
      </c>
      <c r="E19" s="68"/>
      <c r="F19" s="69"/>
      <c r="G19" s="70"/>
      <c r="H19" s="71"/>
      <c r="I19" s="75"/>
      <c r="J19" s="73"/>
      <c r="K19" s="39"/>
      <c r="L19" s="39"/>
      <c r="M19" s="39"/>
      <c r="N19" s="39"/>
      <c r="O19" s="39"/>
      <c r="P19" s="39"/>
      <c r="Q19" s="39"/>
      <c r="R19" s="39"/>
      <c r="S19" s="39"/>
      <c r="T19" s="39"/>
      <c r="U19" s="39"/>
      <c r="V19" s="39"/>
      <c r="W19" s="39"/>
    </row>
    <row r="20" spans="1:23" ht="13">
      <c r="A20" s="65"/>
      <c r="B20" s="78"/>
      <c r="C20" s="83"/>
      <c r="D20" s="67"/>
      <c r="E20" s="68"/>
      <c r="F20" s="69"/>
      <c r="G20" s="70"/>
      <c r="H20" s="71"/>
      <c r="I20" s="75"/>
      <c r="J20" s="73"/>
      <c r="K20" s="39"/>
      <c r="L20" s="39"/>
      <c r="M20" s="39"/>
      <c r="N20" s="39"/>
      <c r="O20" s="39"/>
      <c r="P20" s="39"/>
      <c r="Q20" s="39"/>
      <c r="R20" s="39"/>
      <c r="S20" s="39"/>
      <c r="T20" s="39"/>
      <c r="U20" s="39"/>
      <c r="V20" s="39"/>
      <c r="W20" s="39"/>
    </row>
    <row r="21" spans="1:23" ht="13">
      <c r="A21" s="65"/>
      <c r="B21" s="78"/>
      <c r="C21" s="83"/>
      <c r="D21" s="67"/>
      <c r="E21" s="68"/>
      <c r="F21" s="69"/>
      <c r="G21" s="70"/>
      <c r="H21" s="71"/>
      <c r="I21" s="75"/>
      <c r="J21" s="73"/>
      <c r="K21" s="39"/>
      <c r="L21" s="39"/>
      <c r="M21" s="39"/>
      <c r="N21" s="39"/>
      <c r="O21" s="39"/>
      <c r="P21" s="39"/>
      <c r="Q21" s="39"/>
      <c r="R21" s="39"/>
      <c r="S21" s="39"/>
      <c r="T21" s="39"/>
      <c r="U21" s="39"/>
      <c r="V21" s="39"/>
      <c r="W21" s="39"/>
    </row>
    <row r="22" spans="1:23" ht="13">
      <c r="A22" s="65"/>
      <c r="B22" s="78"/>
      <c r="C22" s="83"/>
      <c r="D22" s="67"/>
      <c r="E22" s="68"/>
      <c r="F22" s="69"/>
      <c r="G22" s="70"/>
      <c r="H22" s="71"/>
      <c r="I22" s="75"/>
      <c r="J22" s="73"/>
      <c r="K22" s="39"/>
      <c r="L22" s="39"/>
      <c r="M22" s="39"/>
      <c r="N22" s="39"/>
      <c r="O22" s="39"/>
      <c r="P22" s="39"/>
      <c r="Q22" s="39"/>
      <c r="R22" s="39"/>
      <c r="S22" s="39"/>
      <c r="T22" s="39"/>
      <c r="U22" s="39"/>
      <c r="V22" s="39"/>
      <c r="W22" s="39"/>
    </row>
    <row r="23" spans="1:23" ht="13">
      <c r="A23" s="65"/>
      <c r="B23" s="78"/>
      <c r="C23" s="83"/>
      <c r="D23" s="67"/>
      <c r="E23" s="68"/>
      <c r="F23" s="69"/>
      <c r="G23" s="70"/>
      <c r="H23" s="71"/>
      <c r="I23" s="75"/>
      <c r="J23" s="73"/>
      <c r="K23" s="39"/>
      <c r="L23" s="39"/>
      <c r="M23" s="39"/>
      <c r="N23" s="39"/>
      <c r="O23" s="39"/>
      <c r="P23" s="39"/>
      <c r="Q23" s="39"/>
      <c r="R23" s="39"/>
      <c r="S23" s="39"/>
      <c r="T23" s="39"/>
      <c r="U23" s="39"/>
      <c r="V23" s="39"/>
      <c r="W23" s="39"/>
    </row>
    <row r="24" spans="1:23" ht="13">
      <c r="A24" s="65"/>
      <c r="B24" s="78"/>
      <c r="C24" s="83"/>
      <c r="D24" s="67"/>
      <c r="E24" s="68"/>
      <c r="F24" s="69"/>
      <c r="G24" s="70"/>
      <c r="H24" s="71"/>
      <c r="I24" s="75"/>
      <c r="J24" s="73"/>
      <c r="K24" s="39"/>
      <c r="L24" s="39"/>
      <c r="M24" s="39"/>
      <c r="N24" s="39"/>
      <c r="O24" s="39"/>
      <c r="P24" s="39"/>
      <c r="Q24" s="39"/>
      <c r="R24" s="39"/>
      <c r="S24" s="39"/>
      <c r="T24" s="39"/>
      <c r="U24" s="39"/>
      <c r="V24" s="39"/>
      <c r="W24" s="39"/>
    </row>
    <row r="25" spans="1:23" ht="13">
      <c r="A25" s="65"/>
      <c r="B25" s="78"/>
      <c r="C25" s="83"/>
      <c r="D25" s="67"/>
      <c r="E25" s="68"/>
      <c r="F25" s="69"/>
      <c r="G25" s="70"/>
      <c r="H25" s="71"/>
      <c r="I25" s="75"/>
      <c r="J25" s="73"/>
      <c r="K25" s="39"/>
      <c r="L25" s="39"/>
      <c r="M25" s="39"/>
      <c r="N25" s="39"/>
      <c r="O25" s="39"/>
      <c r="P25" s="39"/>
      <c r="Q25" s="39"/>
      <c r="R25" s="39"/>
      <c r="S25" s="39"/>
      <c r="T25" s="39"/>
      <c r="U25" s="39"/>
      <c r="V25" s="39"/>
      <c r="W25" s="39"/>
    </row>
    <row r="26" spans="1:23" ht="13">
      <c r="A26" s="65"/>
      <c r="B26" s="78"/>
      <c r="C26" s="83"/>
      <c r="D26" s="67"/>
      <c r="E26" s="68"/>
      <c r="F26" s="69"/>
      <c r="G26" s="70"/>
      <c r="H26" s="71"/>
      <c r="I26" s="75"/>
      <c r="J26" s="73"/>
      <c r="K26" s="39"/>
      <c r="L26" s="39"/>
      <c r="M26" s="39"/>
      <c r="N26" s="39"/>
      <c r="O26" s="39"/>
      <c r="P26" s="39"/>
      <c r="Q26" s="39"/>
      <c r="R26" s="39"/>
      <c r="S26" s="39"/>
      <c r="T26" s="39"/>
      <c r="U26" s="39"/>
      <c r="V26" s="39"/>
      <c r="W26" s="39"/>
    </row>
    <row r="27" spans="1:23" ht="13">
      <c r="A27" s="65"/>
      <c r="B27" s="78"/>
      <c r="C27" s="83"/>
      <c r="D27" s="67"/>
      <c r="E27" s="68"/>
      <c r="F27" s="69"/>
      <c r="G27" s="70"/>
      <c r="H27" s="71"/>
      <c r="I27" s="75"/>
      <c r="J27" s="73"/>
      <c r="K27" s="39"/>
      <c r="L27" s="39"/>
      <c r="M27" s="39"/>
      <c r="N27" s="39"/>
      <c r="O27" s="39"/>
      <c r="P27" s="39"/>
      <c r="Q27" s="39"/>
      <c r="R27" s="39"/>
      <c r="S27" s="39"/>
      <c r="T27" s="39"/>
      <c r="U27" s="39"/>
      <c r="V27" s="39"/>
      <c r="W27" s="39"/>
    </row>
    <row r="28" spans="1:23" ht="13">
      <c r="A28" s="65"/>
      <c r="B28" s="78"/>
      <c r="C28" s="83"/>
      <c r="D28" s="67"/>
      <c r="E28" s="68"/>
      <c r="F28" s="69"/>
      <c r="G28" s="70"/>
      <c r="H28" s="71"/>
      <c r="I28" s="75"/>
      <c r="J28" s="73"/>
      <c r="K28" s="39"/>
      <c r="L28" s="39"/>
      <c r="M28" s="39"/>
      <c r="N28" s="39"/>
      <c r="O28" s="39"/>
      <c r="P28" s="39"/>
      <c r="Q28" s="39"/>
      <c r="R28" s="39"/>
      <c r="S28" s="39"/>
      <c r="T28" s="39"/>
      <c r="U28" s="39"/>
      <c r="V28" s="39"/>
      <c r="W28" s="39"/>
    </row>
    <row r="29" spans="1:23" ht="13">
      <c r="A29" s="65"/>
      <c r="B29" s="78"/>
      <c r="C29" s="83"/>
      <c r="D29" s="67"/>
      <c r="E29" s="68"/>
      <c r="F29" s="69"/>
      <c r="G29" s="70"/>
      <c r="H29" s="71"/>
      <c r="I29" s="75"/>
      <c r="J29" s="73"/>
      <c r="K29" s="39"/>
      <c r="L29" s="39"/>
      <c r="M29" s="39"/>
      <c r="N29" s="39"/>
      <c r="O29" s="39"/>
      <c r="P29" s="39"/>
      <c r="Q29" s="39"/>
      <c r="R29" s="39"/>
      <c r="S29" s="39"/>
      <c r="T29" s="39"/>
      <c r="U29" s="39"/>
      <c r="V29" s="39"/>
      <c r="W29" s="39"/>
    </row>
    <row r="30" spans="1:23" ht="13">
      <c r="A30" s="65"/>
      <c r="B30" s="78"/>
      <c r="C30" s="83"/>
      <c r="D30" s="67"/>
      <c r="E30" s="68"/>
      <c r="F30" s="69"/>
      <c r="G30" s="70"/>
      <c r="H30" s="71"/>
      <c r="I30" s="75"/>
      <c r="J30" s="73"/>
      <c r="K30" s="39"/>
      <c r="L30" s="39"/>
      <c r="M30" s="39"/>
      <c r="N30" s="39"/>
      <c r="O30" s="39"/>
      <c r="P30" s="39"/>
      <c r="Q30" s="39"/>
      <c r="R30" s="39"/>
      <c r="S30" s="39"/>
      <c r="T30" s="39"/>
      <c r="U30" s="39"/>
      <c r="V30" s="39"/>
      <c r="W30" s="39"/>
    </row>
    <row r="31" spans="1:23" ht="13">
      <c r="A31" s="65"/>
      <c r="B31" s="78"/>
      <c r="C31" s="83"/>
      <c r="D31" s="67"/>
      <c r="E31" s="68"/>
      <c r="F31" s="69"/>
      <c r="G31" s="70"/>
      <c r="H31" s="71"/>
      <c r="I31" s="75"/>
      <c r="J31" s="73"/>
      <c r="K31" s="39"/>
      <c r="L31" s="39"/>
      <c r="M31" s="39"/>
      <c r="N31" s="39"/>
      <c r="O31" s="39"/>
      <c r="P31" s="39"/>
      <c r="Q31" s="39"/>
      <c r="R31" s="39"/>
      <c r="S31" s="39"/>
      <c r="T31" s="39"/>
      <c r="U31" s="39"/>
      <c r="V31" s="39"/>
      <c r="W31" s="39"/>
    </row>
    <row r="32" spans="1:23" ht="13">
      <c r="A32" s="65"/>
      <c r="B32" s="78"/>
      <c r="C32" s="83"/>
      <c r="D32" s="67"/>
      <c r="E32" s="68"/>
      <c r="F32" s="69"/>
      <c r="G32" s="70"/>
      <c r="H32" s="71"/>
      <c r="I32" s="75"/>
      <c r="J32" s="73"/>
      <c r="K32" s="39"/>
      <c r="L32" s="39"/>
      <c r="M32" s="39"/>
      <c r="N32" s="39"/>
      <c r="O32" s="39"/>
      <c r="P32" s="39"/>
      <c r="Q32" s="39"/>
      <c r="R32" s="39"/>
      <c r="S32" s="39"/>
      <c r="T32" s="39"/>
      <c r="U32" s="39"/>
      <c r="V32" s="39"/>
      <c r="W32" s="39"/>
    </row>
    <row r="33" spans="1:23" ht="13">
      <c r="A33" s="65"/>
      <c r="B33" s="78"/>
      <c r="C33" s="83"/>
      <c r="D33" s="67"/>
      <c r="E33" s="68"/>
      <c r="F33" s="69"/>
      <c r="G33" s="70"/>
      <c r="H33" s="71"/>
      <c r="I33" s="75"/>
      <c r="J33" s="73"/>
      <c r="K33" s="39"/>
      <c r="L33" s="39"/>
      <c r="M33" s="39"/>
      <c r="N33" s="39"/>
      <c r="O33" s="39"/>
      <c r="P33" s="39"/>
      <c r="Q33" s="39"/>
      <c r="R33" s="39"/>
      <c r="S33" s="39"/>
      <c r="T33" s="39"/>
      <c r="U33" s="39"/>
      <c r="V33" s="39"/>
      <c r="W33" s="39"/>
    </row>
    <row r="34" spans="1:23" ht="13">
      <c r="A34" s="65"/>
      <c r="B34" s="78"/>
      <c r="C34" s="83"/>
      <c r="D34" s="67"/>
      <c r="E34" s="68"/>
      <c r="F34" s="69"/>
      <c r="G34" s="70"/>
      <c r="H34" s="71"/>
      <c r="I34" s="75"/>
      <c r="J34" s="73"/>
      <c r="K34" s="39"/>
      <c r="L34" s="39"/>
      <c r="M34" s="39"/>
      <c r="N34" s="39"/>
      <c r="O34" s="39"/>
      <c r="P34" s="39"/>
      <c r="Q34" s="39"/>
      <c r="R34" s="39"/>
      <c r="S34" s="39"/>
      <c r="T34" s="39"/>
      <c r="U34" s="39"/>
      <c r="V34" s="39"/>
      <c r="W34" s="39"/>
    </row>
    <row r="35" spans="1:23" ht="13">
      <c r="A35" s="65"/>
      <c r="B35" s="78"/>
      <c r="C35" s="83"/>
      <c r="D35" s="67"/>
      <c r="E35" s="68"/>
      <c r="F35" s="69"/>
      <c r="G35" s="70"/>
      <c r="H35" s="71"/>
      <c r="I35" s="75"/>
      <c r="J35" s="73"/>
      <c r="K35" s="39"/>
      <c r="L35" s="39"/>
      <c r="M35" s="39"/>
      <c r="N35" s="39"/>
      <c r="O35" s="39"/>
      <c r="P35" s="39"/>
      <c r="Q35" s="39"/>
      <c r="R35" s="39"/>
      <c r="S35" s="39"/>
      <c r="T35" s="39"/>
      <c r="U35" s="39"/>
      <c r="V35" s="39"/>
      <c r="W35" s="39"/>
    </row>
    <row r="36" spans="1:23" ht="13">
      <c r="A36" s="65"/>
      <c r="B36" s="78"/>
      <c r="C36" s="83"/>
      <c r="D36" s="67"/>
      <c r="E36" s="68"/>
      <c r="F36" s="69"/>
      <c r="G36" s="70"/>
      <c r="H36" s="71"/>
      <c r="I36" s="75"/>
      <c r="J36" s="73"/>
      <c r="K36" s="39"/>
      <c r="L36" s="39"/>
      <c r="M36" s="39"/>
      <c r="N36" s="39"/>
      <c r="O36" s="39"/>
      <c r="P36" s="39"/>
      <c r="Q36" s="39"/>
      <c r="R36" s="39"/>
      <c r="S36" s="39"/>
      <c r="T36" s="39"/>
      <c r="U36" s="39"/>
      <c r="V36" s="39"/>
      <c r="W36" s="39"/>
    </row>
    <row r="37" spans="1:23" ht="13">
      <c r="A37" s="65"/>
      <c r="B37" s="78"/>
      <c r="C37" s="83"/>
      <c r="D37" s="67"/>
      <c r="E37" s="68"/>
      <c r="F37" s="69"/>
      <c r="G37" s="70"/>
      <c r="H37" s="71"/>
      <c r="I37" s="75"/>
      <c r="J37" s="73"/>
      <c r="K37" s="39"/>
      <c r="L37" s="39"/>
      <c r="M37" s="39"/>
      <c r="N37" s="39"/>
      <c r="O37" s="39"/>
      <c r="P37" s="39"/>
      <c r="Q37" s="39"/>
      <c r="R37" s="39"/>
      <c r="S37" s="39"/>
      <c r="T37" s="39"/>
      <c r="U37" s="39"/>
      <c r="V37" s="39"/>
      <c r="W37" s="39"/>
    </row>
    <row r="38" spans="1:23" ht="13">
      <c r="A38" s="65"/>
      <c r="B38" s="78"/>
      <c r="C38" s="83"/>
      <c r="D38" s="67"/>
      <c r="E38" s="68"/>
      <c r="F38" s="69"/>
      <c r="G38" s="70"/>
      <c r="H38" s="71"/>
      <c r="I38" s="75"/>
      <c r="J38" s="73"/>
      <c r="K38" s="39"/>
      <c r="L38" s="39"/>
      <c r="M38" s="39"/>
      <c r="N38" s="39"/>
      <c r="O38" s="39"/>
      <c r="P38" s="39"/>
      <c r="Q38" s="39"/>
      <c r="R38" s="39"/>
      <c r="S38" s="39"/>
      <c r="T38" s="39"/>
      <c r="U38" s="39"/>
      <c r="V38" s="39"/>
      <c r="W38" s="39"/>
    </row>
    <row r="39" spans="1:23" ht="13">
      <c r="A39" s="65"/>
      <c r="B39" s="78"/>
      <c r="C39" s="83"/>
      <c r="D39" s="67"/>
      <c r="E39" s="68"/>
      <c r="F39" s="69"/>
      <c r="G39" s="70"/>
      <c r="H39" s="71"/>
      <c r="I39" s="75"/>
      <c r="J39" s="73"/>
      <c r="K39" s="39"/>
      <c r="L39" s="39"/>
      <c r="M39" s="39"/>
      <c r="N39" s="39"/>
      <c r="O39" s="39"/>
      <c r="P39" s="39"/>
      <c r="Q39" s="39"/>
      <c r="R39" s="39"/>
      <c r="S39" s="39"/>
      <c r="T39" s="39"/>
      <c r="U39" s="39"/>
      <c r="V39" s="39"/>
      <c r="W39" s="39"/>
    </row>
    <row r="40" spans="1:23" ht="13">
      <c r="A40" s="65"/>
      <c r="B40" s="78"/>
      <c r="C40" s="83"/>
      <c r="D40" s="67"/>
      <c r="E40" s="68"/>
      <c r="F40" s="69"/>
      <c r="G40" s="70"/>
      <c r="H40" s="71"/>
      <c r="I40" s="75"/>
      <c r="J40" s="73"/>
      <c r="K40" s="39"/>
      <c r="L40" s="39"/>
      <c r="M40" s="39"/>
      <c r="N40" s="39"/>
      <c r="O40" s="39"/>
      <c r="P40" s="39"/>
      <c r="Q40" s="39"/>
      <c r="R40" s="39"/>
      <c r="S40" s="39"/>
      <c r="T40" s="39"/>
      <c r="U40" s="39"/>
      <c r="V40" s="39"/>
      <c r="W40" s="39"/>
    </row>
    <row r="41" spans="1:23" ht="13">
      <c r="A41" s="65"/>
      <c r="B41" s="78"/>
      <c r="C41" s="83"/>
      <c r="D41" s="67"/>
      <c r="E41" s="68"/>
      <c r="F41" s="69"/>
      <c r="G41" s="70"/>
      <c r="H41" s="71"/>
      <c r="I41" s="75"/>
      <c r="J41" s="73"/>
      <c r="K41" s="39"/>
      <c r="L41" s="39"/>
      <c r="M41" s="39"/>
      <c r="N41" s="39"/>
      <c r="O41" s="39"/>
      <c r="P41" s="39"/>
      <c r="Q41" s="39"/>
      <c r="R41" s="39"/>
      <c r="S41" s="39"/>
      <c r="T41" s="39"/>
      <c r="U41" s="39"/>
      <c r="V41" s="39"/>
      <c r="W41" s="39"/>
    </row>
    <row r="42" spans="1:23" ht="13">
      <c r="A42" s="65"/>
      <c r="B42" s="78"/>
      <c r="C42" s="83"/>
      <c r="D42" s="67"/>
      <c r="E42" s="68"/>
      <c r="F42" s="69"/>
      <c r="G42" s="70"/>
      <c r="H42" s="71"/>
      <c r="I42" s="75"/>
      <c r="J42" s="73"/>
      <c r="K42" s="39"/>
      <c r="L42" s="39"/>
      <c r="M42" s="39"/>
      <c r="N42" s="39"/>
      <c r="O42" s="39"/>
      <c r="P42" s="39"/>
      <c r="Q42" s="39"/>
      <c r="R42" s="39"/>
      <c r="S42" s="39"/>
      <c r="T42" s="39"/>
      <c r="U42" s="39"/>
      <c r="V42" s="39"/>
      <c r="W42" s="39"/>
    </row>
    <row r="43" spans="1:23" ht="13">
      <c r="A43" s="65"/>
      <c r="B43" s="78"/>
      <c r="C43" s="83"/>
      <c r="D43" s="67"/>
      <c r="E43" s="68"/>
      <c r="F43" s="69"/>
      <c r="G43" s="70"/>
      <c r="H43" s="71"/>
      <c r="I43" s="75"/>
      <c r="J43" s="73"/>
      <c r="K43" s="39"/>
      <c r="L43" s="39"/>
      <c r="M43" s="39"/>
      <c r="N43" s="39"/>
      <c r="O43" s="39"/>
      <c r="P43" s="39"/>
      <c r="Q43" s="39"/>
      <c r="R43" s="39"/>
      <c r="S43" s="39"/>
      <c r="T43" s="39"/>
      <c r="U43" s="39"/>
      <c r="V43" s="39"/>
      <c r="W43" s="39"/>
    </row>
    <row r="44" spans="1:23" ht="13">
      <c r="A44" s="65"/>
      <c r="B44" s="78"/>
      <c r="C44" s="83"/>
      <c r="D44" s="67"/>
      <c r="E44" s="68"/>
      <c r="F44" s="69"/>
      <c r="G44" s="70"/>
      <c r="H44" s="71"/>
      <c r="I44" s="75"/>
      <c r="J44" s="73"/>
      <c r="K44" s="39"/>
      <c r="L44" s="39"/>
      <c r="M44" s="39"/>
      <c r="N44" s="39"/>
      <c r="O44" s="39"/>
      <c r="P44" s="39"/>
      <c r="Q44" s="39"/>
      <c r="R44" s="39"/>
      <c r="S44" s="39"/>
      <c r="T44" s="39"/>
      <c r="U44" s="39"/>
      <c r="V44" s="39"/>
      <c r="W44" s="39"/>
    </row>
    <row r="45" spans="1:23" ht="13">
      <c r="A45" s="65"/>
      <c r="B45" s="78"/>
      <c r="C45" s="83"/>
      <c r="D45" s="67"/>
      <c r="E45" s="68"/>
      <c r="F45" s="69"/>
      <c r="G45" s="70"/>
      <c r="H45" s="71"/>
      <c r="I45" s="75"/>
      <c r="J45" s="73"/>
      <c r="K45" s="39"/>
      <c r="L45" s="39"/>
      <c r="M45" s="39"/>
      <c r="N45" s="39"/>
      <c r="O45" s="39"/>
      <c r="P45" s="39"/>
      <c r="Q45" s="39"/>
      <c r="R45" s="39"/>
      <c r="S45" s="39"/>
      <c r="T45" s="39"/>
      <c r="U45" s="39"/>
      <c r="V45" s="39"/>
      <c r="W45" s="39"/>
    </row>
    <row r="46" spans="1:23" ht="13">
      <c r="A46" s="65"/>
      <c r="B46" s="78"/>
      <c r="C46" s="83"/>
      <c r="D46" s="67"/>
      <c r="E46" s="68"/>
      <c r="F46" s="69"/>
      <c r="G46" s="70"/>
      <c r="H46" s="71"/>
      <c r="I46" s="75"/>
      <c r="J46" s="73"/>
      <c r="K46" s="39"/>
      <c r="L46" s="39"/>
      <c r="M46" s="39"/>
      <c r="N46" s="39"/>
      <c r="O46" s="39"/>
      <c r="P46" s="39"/>
      <c r="Q46" s="39"/>
      <c r="R46" s="39"/>
      <c r="S46" s="39"/>
      <c r="T46" s="39"/>
      <c r="U46" s="39"/>
      <c r="V46" s="39"/>
      <c r="W46" s="39"/>
    </row>
    <row r="47" spans="1:23" ht="13">
      <c r="A47" s="65"/>
      <c r="B47" s="78"/>
      <c r="C47" s="83"/>
      <c r="D47" s="67"/>
      <c r="E47" s="68"/>
      <c r="F47" s="69"/>
      <c r="G47" s="70"/>
      <c r="H47" s="71"/>
      <c r="I47" s="75"/>
      <c r="J47" s="73"/>
      <c r="K47" s="39"/>
      <c r="L47" s="39"/>
      <c r="M47" s="39"/>
      <c r="N47" s="39"/>
      <c r="O47" s="39"/>
      <c r="P47" s="39"/>
      <c r="Q47" s="39"/>
      <c r="R47" s="39"/>
      <c r="S47" s="39"/>
      <c r="T47" s="39"/>
      <c r="U47" s="39"/>
      <c r="V47" s="39"/>
      <c r="W47" s="39"/>
    </row>
    <row r="48" spans="1:23" ht="13">
      <c r="A48" s="65"/>
      <c r="B48" s="78"/>
      <c r="C48" s="83"/>
      <c r="D48" s="67"/>
      <c r="E48" s="68"/>
      <c r="F48" s="69"/>
      <c r="G48" s="70"/>
      <c r="H48" s="71"/>
      <c r="I48" s="75"/>
      <c r="J48" s="73"/>
      <c r="K48" s="39"/>
      <c r="L48" s="39"/>
      <c r="M48" s="39"/>
      <c r="N48" s="39"/>
      <c r="O48" s="39"/>
      <c r="P48" s="39"/>
      <c r="Q48" s="39"/>
      <c r="R48" s="39"/>
      <c r="S48" s="39"/>
      <c r="T48" s="39"/>
      <c r="U48" s="39"/>
      <c r="V48" s="39"/>
      <c r="W48" s="39"/>
    </row>
    <row r="49" spans="1:23" ht="13">
      <c r="A49" s="65"/>
      <c r="B49" s="78"/>
      <c r="C49" s="83"/>
      <c r="D49" s="67"/>
      <c r="E49" s="68"/>
      <c r="F49" s="69"/>
      <c r="G49" s="70"/>
      <c r="H49" s="71"/>
      <c r="I49" s="75"/>
      <c r="J49" s="73"/>
      <c r="K49" s="39"/>
      <c r="L49" s="39"/>
      <c r="M49" s="39"/>
      <c r="N49" s="39"/>
      <c r="O49" s="39"/>
      <c r="P49" s="39"/>
      <c r="Q49" s="39"/>
      <c r="R49" s="39"/>
      <c r="S49" s="39"/>
      <c r="T49" s="39"/>
      <c r="U49" s="39"/>
      <c r="V49" s="39"/>
      <c r="W49" s="39"/>
    </row>
    <row r="50" spans="1:23" ht="13">
      <c r="A50" s="65"/>
      <c r="B50" s="78"/>
      <c r="C50" s="83"/>
      <c r="D50" s="67"/>
      <c r="E50" s="68"/>
      <c r="F50" s="69"/>
      <c r="G50" s="70"/>
      <c r="H50" s="71"/>
      <c r="I50" s="75"/>
      <c r="J50" s="73"/>
      <c r="K50" s="39"/>
      <c r="L50" s="39"/>
      <c r="M50" s="39"/>
      <c r="N50" s="39"/>
      <c r="O50" s="39"/>
      <c r="P50" s="39"/>
      <c r="Q50" s="39"/>
      <c r="R50" s="39"/>
      <c r="S50" s="39"/>
      <c r="T50" s="39"/>
      <c r="U50" s="39"/>
      <c r="V50" s="39"/>
      <c r="W50" s="39"/>
    </row>
    <row r="51" spans="1:23" ht="13">
      <c r="A51" s="65"/>
      <c r="B51" s="78"/>
      <c r="C51" s="83"/>
      <c r="D51" s="67"/>
      <c r="E51" s="68"/>
      <c r="F51" s="69"/>
      <c r="G51" s="70"/>
      <c r="H51" s="71"/>
      <c r="I51" s="75"/>
      <c r="J51" s="73"/>
      <c r="K51" s="39"/>
      <c r="L51" s="39"/>
      <c r="M51" s="39"/>
      <c r="N51" s="39"/>
      <c r="O51" s="39"/>
      <c r="P51" s="39"/>
      <c r="Q51" s="39"/>
      <c r="R51" s="39"/>
      <c r="S51" s="39"/>
      <c r="T51" s="39"/>
      <c r="U51" s="39"/>
      <c r="V51" s="39"/>
      <c r="W51" s="39"/>
    </row>
    <row r="52" spans="1:23" ht="13">
      <c r="A52" s="65"/>
      <c r="B52" s="78"/>
      <c r="C52" s="83"/>
      <c r="D52" s="67"/>
      <c r="E52" s="68"/>
      <c r="F52" s="69"/>
      <c r="G52" s="70"/>
      <c r="H52" s="71"/>
      <c r="I52" s="75"/>
      <c r="J52" s="73"/>
      <c r="K52" s="39"/>
      <c r="L52" s="39"/>
      <c r="M52" s="39"/>
      <c r="N52" s="39"/>
      <c r="O52" s="39"/>
      <c r="P52" s="39"/>
      <c r="Q52" s="39"/>
      <c r="R52" s="39"/>
      <c r="S52" s="39"/>
      <c r="T52" s="39"/>
      <c r="U52" s="39"/>
      <c r="V52" s="39"/>
      <c r="W52" s="39"/>
    </row>
    <row r="53" spans="1:23" ht="13">
      <c r="A53" s="65"/>
      <c r="B53" s="78"/>
      <c r="C53" s="83"/>
      <c r="D53" s="67"/>
      <c r="E53" s="68"/>
      <c r="F53" s="69"/>
      <c r="G53" s="70"/>
      <c r="H53" s="71"/>
      <c r="I53" s="75"/>
      <c r="J53" s="73"/>
      <c r="K53" s="39"/>
      <c r="L53" s="39"/>
      <c r="M53" s="39"/>
      <c r="N53" s="39"/>
      <c r="O53" s="39"/>
      <c r="P53" s="39"/>
      <c r="Q53" s="39"/>
      <c r="R53" s="39"/>
      <c r="S53" s="39"/>
      <c r="T53" s="39"/>
      <c r="U53" s="39"/>
      <c r="V53" s="39"/>
      <c r="W53" s="39"/>
    </row>
    <row r="54" spans="1:23" ht="13">
      <c r="A54" s="65"/>
      <c r="B54" s="78"/>
      <c r="C54" s="83"/>
      <c r="D54" s="67"/>
      <c r="E54" s="68"/>
      <c r="F54" s="69"/>
      <c r="G54" s="70"/>
      <c r="H54" s="71"/>
      <c r="I54" s="75"/>
      <c r="J54" s="73"/>
      <c r="K54" s="39"/>
      <c r="L54" s="39"/>
      <c r="M54" s="39"/>
      <c r="N54" s="39"/>
      <c r="O54" s="39"/>
      <c r="P54" s="39"/>
      <c r="Q54" s="39"/>
      <c r="R54" s="39"/>
      <c r="S54" s="39"/>
      <c r="T54" s="39"/>
      <c r="U54" s="39"/>
      <c r="V54" s="39"/>
      <c r="W54" s="39"/>
    </row>
    <row r="55" spans="1:23" ht="13">
      <c r="A55" s="65"/>
      <c r="B55" s="78"/>
      <c r="C55" s="83"/>
      <c r="D55" s="67"/>
      <c r="E55" s="68"/>
      <c r="F55" s="69"/>
      <c r="G55" s="70"/>
      <c r="H55" s="71"/>
      <c r="I55" s="75"/>
      <c r="J55" s="73"/>
      <c r="K55" s="39"/>
      <c r="L55" s="39"/>
      <c r="M55" s="39"/>
      <c r="N55" s="39"/>
      <c r="O55" s="39"/>
      <c r="P55" s="39"/>
      <c r="Q55" s="39"/>
      <c r="R55" s="39"/>
      <c r="S55" s="39"/>
      <c r="T55" s="39"/>
      <c r="U55" s="39"/>
      <c r="V55" s="39"/>
      <c r="W55" s="39"/>
    </row>
    <row r="56" spans="1:23" ht="13">
      <c r="A56" s="65"/>
      <c r="B56" s="78"/>
      <c r="C56" s="83"/>
      <c r="D56" s="67"/>
      <c r="E56" s="68"/>
      <c r="F56" s="69"/>
      <c r="G56" s="70"/>
      <c r="H56" s="71"/>
      <c r="I56" s="75"/>
      <c r="J56" s="73"/>
      <c r="K56" s="39"/>
      <c r="L56" s="39"/>
      <c r="M56" s="39"/>
      <c r="N56" s="39"/>
      <c r="O56" s="39"/>
      <c r="P56" s="39"/>
      <c r="Q56" s="39"/>
      <c r="R56" s="39"/>
      <c r="S56" s="39"/>
      <c r="T56" s="39"/>
      <c r="U56" s="39"/>
      <c r="V56" s="39"/>
      <c r="W56" s="39"/>
    </row>
    <row r="57" spans="1:23" ht="13">
      <c r="A57" s="65"/>
      <c r="B57" s="78"/>
      <c r="C57" s="83"/>
      <c r="D57" s="67"/>
      <c r="E57" s="68"/>
      <c r="F57" s="69"/>
      <c r="G57" s="70"/>
      <c r="H57" s="71"/>
      <c r="I57" s="75"/>
      <c r="J57" s="73"/>
      <c r="K57" s="39"/>
      <c r="L57" s="39"/>
      <c r="M57" s="39"/>
      <c r="N57" s="39"/>
      <c r="O57" s="39"/>
      <c r="P57" s="39"/>
      <c r="Q57" s="39"/>
      <c r="R57" s="39"/>
      <c r="S57" s="39"/>
      <c r="T57" s="39"/>
      <c r="U57" s="39"/>
      <c r="V57" s="39"/>
      <c r="W57" s="39"/>
    </row>
    <row r="58" spans="1:23" ht="13">
      <c r="A58" s="3"/>
      <c r="B58" s="3"/>
      <c r="C58" s="3"/>
      <c r="D58" s="14"/>
      <c r="E58" s="3"/>
    </row>
    <row r="59" spans="1:23" ht="13">
      <c r="A59" s="3"/>
      <c r="B59" s="3"/>
      <c r="C59" s="3"/>
      <c r="D59" s="14"/>
      <c r="E59" s="3"/>
    </row>
    <row r="60" spans="1:23" ht="13">
      <c r="A60" s="3"/>
      <c r="B60" s="3"/>
      <c r="C60" s="3"/>
      <c r="D60" s="14"/>
      <c r="E60" s="3"/>
    </row>
    <row r="61" spans="1:23" ht="13">
      <c r="A61" s="3"/>
      <c r="B61" s="3"/>
      <c r="C61" s="3"/>
      <c r="D61" s="14"/>
      <c r="E61" s="3"/>
    </row>
    <row r="62" spans="1:23" ht="13">
      <c r="A62" s="3"/>
      <c r="B62" s="3"/>
      <c r="C62" s="3"/>
      <c r="D62" s="14"/>
      <c r="E62" s="3"/>
    </row>
    <row r="63" spans="1:23" ht="13">
      <c r="A63" s="3"/>
      <c r="B63" s="3"/>
      <c r="C63" s="3"/>
      <c r="D63" s="14"/>
      <c r="E63" s="3"/>
    </row>
    <row r="64" spans="1:23" ht="13">
      <c r="A64" s="3"/>
      <c r="B64" s="3"/>
      <c r="C64" s="3"/>
      <c r="D64" s="14"/>
      <c r="E64" s="3"/>
    </row>
    <row r="65" spans="1:5" ht="13">
      <c r="A65" s="3"/>
      <c r="B65" s="3"/>
      <c r="C65" s="3"/>
      <c r="D65" s="14"/>
      <c r="E65" s="3"/>
    </row>
    <row r="66" spans="1:5" ht="13">
      <c r="A66" s="3"/>
      <c r="B66" s="3"/>
      <c r="C66" s="3"/>
      <c r="D66" s="14"/>
      <c r="E66" s="3"/>
    </row>
    <row r="67" spans="1:5" ht="13">
      <c r="A67" s="3"/>
      <c r="B67" s="3"/>
      <c r="C67" s="3"/>
      <c r="D67" s="14"/>
      <c r="E67" s="3"/>
    </row>
    <row r="68" spans="1:5" ht="13">
      <c r="A68" s="3"/>
      <c r="B68" s="3"/>
      <c r="C68" s="3"/>
      <c r="D68" s="14"/>
      <c r="E68" s="3"/>
    </row>
    <row r="69" spans="1:5" ht="13">
      <c r="A69" s="3"/>
      <c r="B69" s="3"/>
      <c r="C69" s="3"/>
      <c r="D69" s="14"/>
      <c r="E69" s="3"/>
    </row>
    <row r="70" spans="1:5" ht="13">
      <c r="A70" s="3"/>
      <c r="B70" s="3"/>
      <c r="C70" s="3"/>
      <c r="D70" s="14"/>
      <c r="E70" s="3"/>
    </row>
    <row r="71" spans="1:5" ht="13">
      <c r="A71" s="3"/>
      <c r="B71" s="3"/>
      <c r="C71" s="3"/>
      <c r="D71" s="14"/>
      <c r="E71" s="3"/>
    </row>
    <row r="72" spans="1:5" ht="13">
      <c r="A72" s="3"/>
      <c r="B72" s="3"/>
      <c r="C72" s="3"/>
      <c r="D72" s="14"/>
      <c r="E72" s="3"/>
    </row>
    <row r="73" spans="1:5" ht="13">
      <c r="A73" s="3"/>
      <c r="B73" s="3"/>
      <c r="C73" s="3"/>
      <c r="D73" s="14"/>
      <c r="E73" s="3"/>
    </row>
    <row r="74" spans="1:5" ht="13">
      <c r="A74" s="3"/>
      <c r="B74" s="3"/>
      <c r="C74" s="3"/>
      <c r="D74" s="14"/>
      <c r="E74" s="3"/>
    </row>
    <row r="75" spans="1:5" ht="13">
      <c r="A75" s="3"/>
      <c r="B75" s="3"/>
      <c r="C75" s="3"/>
      <c r="D75" s="14"/>
      <c r="E75" s="3"/>
    </row>
    <row r="76" spans="1:5" ht="13">
      <c r="A76" s="3"/>
      <c r="B76" s="3"/>
      <c r="C76" s="3"/>
      <c r="D76" s="14"/>
      <c r="E76" s="3"/>
    </row>
    <row r="77" spans="1:5" ht="13">
      <c r="A77" s="3"/>
      <c r="B77" s="3"/>
      <c r="C77" s="3"/>
      <c r="D77" s="14"/>
      <c r="E77" s="3"/>
    </row>
    <row r="78" spans="1:5" ht="13">
      <c r="A78" s="3"/>
      <c r="B78" s="3"/>
      <c r="C78" s="3"/>
      <c r="D78" s="14"/>
      <c r="E78" s="3"/>
    </row>
    <row r="79" spans="1:5" ht="13">
      <c r="A79" s="3"/>
      <c r="B79" s="3"/>
      <c r="C79" s="3"/>
      <c r="D79" s="14"/>
      <c r="E79" s="3"/>
    </row>
    <row r="80" spans="1:5" ht="13">
      <c r="A80" s="3"/>
      <c r="B80" s="3"/>
      <c r="C80" s="3"/>
      <c r="D80" s="14"/>
      <c r="E80" s="3"/>
    </row>
    <row r="81" spans="1:5" ht="13">
      <c r="A81" s="3"/>
      <c r="B81" s="3"/>
      <c r="C81" s="3"/>
      <c r="D81" s="14"/>
      <c r="E81" s="3"/>
    </row>
    <row r="82" spans="1:5" ht="13">
      <c r="A82" s="3"/>
      <c r="B82" s="3"/>
      <c r="C82" s="3"/>
      <c r="D82" s="14"/>
      <c r="E82" s="3"/>
    </row>
    <row r="83" spans="1:5" ht="13">
      <c r="A83" s="3"/>
      <c r="B83" s="3"/>
      <c r="C83" s="3"/>
      <c r="D83" s="14"/>
      <c r="E83" s="3"/>
    </row>
    <row r="84" spans="1:5" ht="13">
      <c r="A84" s="3"/>
      <c r="B84" s="3"/>
      <c r="C84" s="3"/>
      <c r="D84" s="14"/>
      <c r="E84" s="3"/>
    </row>
    <row r="85" spans="1:5" ht="13">
      <c r="A85" s="3"/>
      <c r="B85" s="3"/>
      <c r="C85" s="3"/>
      <c r="D85" s="14"/>
      <c r="E85" s="3"/>
    </row>
    <row r="86" spans="1:5" ht="13">
      <c r="A86" s="3"/>
      <c r="B86" s="3"/>
      <c r="C86" s="3"/>
      <c r="D86" s="14"/>
      <c r="E86" s="3"/>
    </row>
    <row r="87" spans="1:5" ht="13">
      <c r="A87" s="3"/>
      <c r="B87" s="3"/>
      <c r="C87" s="3"/>
      <c r="D87" s="14"/>
      <c r="E87" s="3"/>
    </row>
    <row r="88" spans="1:5" ht="13">
      <c r="A88" s="3"/>
      <c r="B88" s="3"/>
      <c r="C88" s="3"/>
      <c r="D88" s="14"/>
      <c r="E88" s="3"/>
    </row>
    <row r="89" spans="1:5" ht="13">
      <c r="A89" s="3"/>
      <c r="B89" s="3"/>
      <c r="C89" s="3"/>
      <c r="D89" s="14"/>
      <c r="E89" s="3"/>
    </row>
    <row r="90" spans="1:5" ht="13">
      <c r="A90" s="3"/>
      <c r="B90" s="3"/>
      <c r="C90" s="3"/>
      <c r="D90" s="14"/>
      <c r="E90" s="3"/>
    </row>
    <row r="91" spans="1:5" ht="13">
      <c r="A91" s="3"/>
      <c r="B91" s="3"/>
      <c r="C91" s="3"/>
      <c r="D91" s="14"/>
      <c r="E91" s="3"/>
    </row>
    <row r="92" spans="1:5" ht="13">
      <c r="A92" s="3"/>
      <c r="B92" s="3"/>
      <c r="C92" s="3"/>
      <c r="D92" s="14"/>
      <c r="E92" s="3"/>
    </row>
    <row r="93" spans="1:5" ht="13">
      <c r="A93" s="3"/>
      <c r="B93" s="3"/>
      <c r="C93" s="3"/>
      <c r="D93" s="14"/>
      <c r="E93" s="3"/>
    </row>
    <row r="94" spans="1:5" ht="13">
      <c r="A94" s="3"/>
      <c r="B94" s="3"/>
      <c r="C94" s="3"/>
      <c r="D94" s="14"/>
      <c r="E94" s="3"/>
    </row>
    <row r="95" spans="1:5" ht="13">
      <c r="A95" s="3"/>
      <c r="B95" s="3"/>
      <c r="C95" s="3"/>
      <c r="D95" s="14"/>
      <c r="E95" s="3"/>
    </row>
    <row r="96" spans="1:5" ht="13">
      <c r="A96" s="3"/>
      <c r="B96" s="3"/>
      <c r="C96" s="3"/>
      <c r="D96" s="14"/>
      <c r="E96" s="3"/>
    </row>
    <row r="97" spans="1:5" ht="13">
      <c r="A97" s="3"/>
      <c r="B97" s="3"/>
      <c r="C97" s="3"/>
      <c r="D97" s="14"/>
      <c r="E97" s="3"/>
    </row>
    <row r="98" spans="1:5" ht="13">
      <c r="A98" s="3"/>
      <c r="B98" s="3"/>
      <c r="C98" s="3"/>
      <c r="D98" s="14"/>
      <c r="E98" s="3"/>
    </row>
    <row r="99" spans="1:5" ht="13">
      <c r="A99" s="3"/>
      <c r="B99" s="3"/>
      <c r="C99" s="3"/>
      <c r="D99" s="14"/>
      <c r="E99" s="3"/>
    </row>
    <row r="100" spans="1:5" ht="13">
      <c r="A100" s="3"/>
      <c r="B100" s="3"/>
      <c r="C100" s="3"/>
      <c r="D100" s="14"/>
      <c r="E100" s="3"/>
    </row>
    <row r="101" spans="1:5" ht="13">
      <c r="A101" s="3"/>
      <c r="B101" s="3"/>
      <c r="C101" s="3"/>
      <c r="D101" s="14"/>
      <c r="E101" s="3"/>
    </row>
    <row r="102" spans="1:5" ht="13">
      <c r="A102" s="3"/>
      <c r="B102" s="3"/>
      <c r="C102" s="3"/>
      <c r="D102" s="14"/>
      <c r="E102" s="3"/>
    </row>
    <row r="103" spans="1:5" ht="13">
      <c r="A103" s="3"/>
      <c r="B103" s="3"/>
      <c r="C103" s="3"/>
      <c r="D103" s="14"/>
      <c r="E103" s="3"/>
    </row>
    <row r="104" spans="1:5" ht="13">
      <c r="A104" s="3"/>
      <c r="B104" s="3"/>
      <c r="C104" s="3"/>
      <c r="D104" s="14"/>
      <c r="E104" s="3"/>
    </row>
    <row r="105" spans="1:5" ht="13">
      <c r="A105" s="3"/>
      <c r="B105" s="3"/>
      <c r="C105" s="3"/>
      <c r="D105" s="14"/>
      <c r="E105" s="3"/>
    </row>
    <row r="106" spans="1:5" ht="13">
      <c r="A106" s="3"/>
      <c r="B106" s="3"/>
      <c r="C106" s="3"/>
      <c r="D106" s="14"/>
      <c r="E106" s="3"/>
    </row>
    <row r="107" spans="1:5" ht="13">
      <c r="A107" s="3"/>
      <c r="B107" s="3"/>
      <c r="C107" s="3"/>
      <c r="D107" s="14"/>
      <c r="E107" s="3"/>
    </row>
    <row r="108" spans="1:5" ht="13">
      <c r="A108" s="3"/>
      <c r="B108" s="3"/>
      <c r="C108" s="3"/>
      <c r="D108" s="14"/>
      <c r="E108" s="3"/>
    </row>
    <row r="109" spans="1:5" ht="13">
      <c r="A109" s="3"/>
      <c r="B109" s="3"/>
      <c r="C109" s="3"/>
      <c r="D109" s="14"/>
      <c r="E109" s="3"/>
    </row>
    <row r="110" spans="1:5" ht="13">
      <c r="A110" s="3"/>
      <c r="B110" s="3"/>
      <c r="C110" s="3"/>
      <c r="D110" s="14"/>
      <c r="E110" s="3"/>
    </row>
    <row r="111" spans="1:5" ht="13">
      <c r="A111" s="3"/>
      <c r="B111" s="3"/>
      <c r="C111" s="3"/>
      <c r="D111" s="14"/>
      <c r="E111" s="3"/>
    </row>
    <row r="112" spans="1:5" ht="13">
      <c r="A112" s="3"/>
      <c r="B112" s="3"/>
      <c r="C112" s="3"/>
      <c r="D112" s="14"/>
      <c r="E112" s="3"/>
    </row>
    <row r="113" spans="1:5" ht="13">
      <c r="A113" s="3"/>
      <c r="B113" s="3"/>
      <c r="C113" s="3"/>
      <c r="D113" s="14"/>
      <c r="E113" s="3"/>
    </row>
    <row r="114" spans="1:5" ht="13">
      <c r="A114" s="3"/>
      <c r="B114" s="3"/>
      <c r="C114" s="3"/>
      <c r="D114" s="14"/>
      <c r="E114" s="3"/>
    </row>
    <row r="115" spans="1:5" ht="13">
      <c r="A115" s="3"/>
      <c r="B115" s="3"/>
      <c r="C115" s="3"/>
      <c r="D115" s="14"/>
      <c r="E115" s="3"/>
    </row>
    <row r="116" spans="1:5" ht="13">
      <c r="A116" s="3"/>
      <c r="B116" s="3"/>
      <c r="C116" s="3"/>
      <c r="D116" s="14"/>
      <c r="E116" s="3"/>
    </row>
    <row r="117" spans="1:5" ht="13">
      <c r="A117" s="3"/>
      <c r="B117" s="3"/>
      <c r="C117" s="3"/>
      <c r="D117" s="14"/>
      <c r="E117" s="3"/>
    </row>
    <row r="118" spans="1:5" ht="13">
      <c r="A118" s="3"/>
      <c r="B118" s="3"/>
      <c r="C118" s="3"/>
      <c r="D118" s="14"/>
      <c r="E118" s="3"/>
    </row>
    <row r="119" spans="1:5" ht="13">
      <c r="A119" s="3"/>
      <c r="B119" s="3"/>
      <c r="C119" s="3"/>
      <c r="D119" s="14"/>
      <c r="E119" s="3"/>
    </row>
    <row r="120" spans="1:5" ht="13">
      <c r="A120" s="3"/>
      <c r="B120" s="3"/>
      <c r="C120" s="3"/>
      <c r="D120" s="14"/>
      <c r="E120" s="3"/>
    </row>
    <row r="121" spans="1:5" ht="13">
      <c r="A121" s="3"/>
      <c r="B121" s="3"/>
      <c r="C121" s="3"/>
      <c r="D121" s="14"/>
      <c r="E121" s="3"/>
    </row>
    <row r="122" spans="1:5" ht="13">
      <c r="A122" s="3"/>
      <c r="B122" s="3"/>
      <c r="C122" s="3"/>
      <c r="D122" s="14"/>
      <c r="E122" s="3"/>
    </row>
    <row r="123" spans="1:5" ht="13">
      <c r="A123" s="3"/>
      <c r="B123" s="3"/>
      <c r="C123" s="3"/>
      <c r="D123" s="14"/>
      <c r="E123" s="3"/>
    </row>
    <row r="124" spans="1:5" ht="13">
      <c r="A124" s="3"/>
      <c r="B124" s="3"/>
      <c r="C124" s="3"/>
      <c r="D124" s="14"/>
      <c r="E124" s="3"/>
    </row>
    <row r="125" spans="1:5" ht="13">
      <c r="A125" s="3"/>
      <c r="B125" s="3"/>
      <c r="C125" s="3"/>
      <c r="D125" s="14"/>
      <c r="E125" s="3"/>
    </row>
    <row r="126" spans="1:5" ht="13">
      <c r="A126" s="3"/>
      <c r="B126" s="3"/>
      <c r="C126" s="3"/>
      <c r="D126" s="14"/>
      <c r="E126" s="3"/>
    </row>
    <row r="127" spans="1:5" ht="13">
      <c r="A127" s="3"/>
      <c r="B127" s="3"/>
      <c r="C127" s="3"/>
      <c r="D127" s="14"/>
      <c r="E127" s="3"/>
    </row>
    <row r="128" spans="1:5" ht="13">
      <c r="A128" s="3"/>
      <c r="B128" s="3"/>
      <c r="C128" s="3"/>
      <c r="D128" s="14"/>
      <c r="E128" s="3"/>
    </row>
    <row r="129" spans="1:5" ht="13">
      <c r="A129" s="3"/>
      <c r="B129" s="3"/>
      <c r="C129" s="3"/>
      <c r="D129" s="14"/>
      <c r="E129" s="3"/>
    </row>
    <row r="130" spans="1:5" ht="13">
      <c r="A130" s="3"/>
      <c r="B130" s="3"/>
      <c r="C130" s="3"/>
      <c r="D130" s="14"/>
      <c r="E130" s="3"/>
    </row>
    <row r="131" spans="1:5" ht="13">
      <c r="A131" s="3"/>
      <c r="B131" s="3"/>
      <c r="C131" s="3"/>
      <c r="D131" s="14"/>
      <c r="E131" s="3"/>
    </row>
    <row r="132" spans="1:5" ht="13">
      <c r="A132" s="3"/>
      <c r="B132" s="3"/>
      <c r="C132" s="3"/>
      <c r="D132" s="14"/>
      <c r="E132" s="3"/>
    </row>
    <row r="133" spans="1:5" ht="13">
      <c r="A133" s="3"/>
      <c r="B133" s="3"/>
      <c r="C133" s="3"/>
      <c r="D133" s="14"/>
      <c r="E133" s="3"/>
    </row>
    <row r="134" spans="1:5" ht="13">
      <c r="A134" s="3"/>
      <c r="B134" s="3"/>
      <c r="C134" s="3"/>
      <c r="D134" s="14"/>
      <c r="E134" s="3"/>
    </row>
    <row r="135" spans="1:5" ht="13">
      <c r="A135" s="3"/>
      <c r="B135" s="3"/>
      <c r="C135" s="3"/>
      <c r="D135" s="14"/>
      <c r="E135" s="3"/>
    </row>
    <row r="136" spans="1:5" ht="13">
      <c r="A136" s="3"/>
      <c r="B136" s="3"/>
      <c r="C136" s="3"/>
      <c r="D136" s="14"/>
      <c r="E136" s="3"/>
    </row>
    <row r="137" spans="1:5" ht="13">
      <c r="A137" s="3"/>
      <c r="B137" s="3"/>
      <c r="C137" s="3"/>
      <c r="D137" s="14"/>
      <c r="E137" s="3"/>
    </row>
    <row r="138" spans="1:5" ht="13">
      <c r="A138" s="3"/>
      <c r="B138" s="3"/>
      <c r="C138" s="3"/>
      <c r="D138" s="14"/>
      <c r="E138" s="3"/>
    </row>
    <row r="139" spans="1:5" ht="13">
      <c r="A139" s="3"/>
      <c r="B139" s="3"/>
      <c r="C139" s="3"/>
      <c r="D139" s="14"/>
      <c r="E139" s="3"/>
    </row>
    <row r="140" spans="1:5" ht="13">
      <c r="A140" s="3"/>
      <c r="B140" s="3"/>
      <c r="C140" s="3"/>
      <c r="D140" s="14"/>
      <c r="E140" s="3"/>
    </row>
    <row r="141" spans="1:5" ht="13">
      <c r="A141" s="3"/>
      <c r="B141" s="3"/>
      <c r="C141" s="3"/>
      <c r="D141" s="14"/>
      <c r="E141" s="3"/>
    </row>
    <row r="142" spans="1:5" ht="13">
      <c r="A142" s="3"/>
      <c r="B142" s="3"/>
      <c r="C142" s="3"/>
      <c r="D142" s="14"/>
      <c r="E142" s="3"/>
    </row>
    <row r="143" spans="1:5" ht="13">
      <c r="A143" s="3"/>
      <c r="B143" s="3"/>
      <c r="C143" s="3"/>
      <c r="D143" s="14"/>
      <c r="E143" s="3"/>
    </row>
    <row r="144" spans="1:5" ht="13">
      <c r="A144" s="3"/>
      <c r="B144" s="3"/>
      <c r="C144" s="3"/>
      <c r="D144" s="14"/>
      <c r="E144" s="3"/>
    </row>
    <row r="145" spans="1:5" ht="13">
      <c r="A145" s="3"/>
      <c r="B145" s="3"/>
      <c r="C145" s="3"/>
      <c r="D145" s="14"/>
      <c r="E145" s="3"/>
    </row>
    <row r="146" spans="1:5" ht="13">
      <c r="A146" s="3"/>
      <c r="B146" s="3"/>
      <c r="C146" s="3"/>
      <c r="D146" s="14"/>
      <c r="E146" s="3"/>
    </row>
    <row r="147" spans="1:5" ht="13">
      <c r="A147" s="3"/>
      <c r="B147" s="3"/>
      <c r="C147" s="3"/>
      <c r="D147" s="14"/>
      <c r="E147" s="3"/>
    </row>
    <row r="148" spans="1:5" ht="13">
      <c r="A148" s="3"/>
      <c r="B148" s="3"/>
      <c r="C148" s="3"/>
      <c r="D148" s="14"/>
      <c r="E148" s="3"/>
    </row>
    <row r="149" spans="1:5" ht="13">
      <c r="A149" s="3"/>
      <c r="B149" s="3"/>
      <c r="C149" s="3"/>
      <c r="D149" s="14"/>
      <c r="E149" s="3"/>
    </row>
    <row r="150" spans="1:5" ht="13">
      <c r="A150" s="3"/>
      <c r="B150" s="3"/>
      <c r="C150" s="3"/>
      <c r="D150" s="14"/>
      <c r="E150" s="3"/>
    </row>
    <row r="151" spans="1:5" ht="13">
      <c r="A151" s="3"/>
      <c r="B151" s="3"/>
      <c r="C151" s="3"/>
      <c r="D151" s="14"/>
      <c r="E151" s="3"/>
    </row>
    <row r="152" spans="1:5" ht="13">
      <c r="A152" s="3"/>
      <c r="B152" s="3"/>
      <c r="C152" s="3"/>
      <c r="D152" s="14"/>
      <c r="E152" s="3"/>
    </row>
    <row r="153" spans="1:5" ht="13">
      <c r="A153" s="3"/>
      <c r="B153" s="3"/>
      <c r="C153" s="3"/>
      <c r="D153" s="14"/>
      <c r="E153" s="3"/>
    </row>
    <row r="154" spans="1:5" ht="13">
      <c r="A154" s="3"/>
      <c r="B154" s="3"/>
      <c r="C154" s="3"/>
      <c r="D154" s="14"/>
      <c r="E154" s="3"/>
    </row>
    <row r="155" spans="1:5" ht="13">
      <c r="A155" s="3"/>
      <c r="B155" s="3"/>
      <c r="C155" s="3"/>
      <c r="D155" s="14"/>
      <c r="E155" s="3"/>
    </row>
    <row r="156" spans="1:5" ht="13">
      <c r="A156" s="3"/>
      <c r="B156" s="3"/>
      <c r="C156" s="3"/>
      <c r="D156" s="14"/>
      <c r="E156" s="3"/>
    </row>
    <row r="157" spans="1:5" ht="13">
      <c r="A157" s="3"/>
      <c r="B157" s="3"/>
      <c r="C157" s="3"/>
      <c r="D157" s="14"/>
      <c r="E157" s="3"/>
    </row>
    <row r="158" spans="1:5" ht="13">
      <c r="A158" s="3"/>
      <c r="B158" s="3"/>
      <c r="C158" s="3"/>
      <c r="D158" s="14"/>
      <c r="E158" s="3"/>
    </row>
    <row r="159" spans="1:5" ht="13">
      <c r="A159" s="3"/>
      <c r="B159" s="3"/>
      <c r="C159" s="3"/>
      <c r="D159" s="14"/>
      <c r="E159" s="3"/>
    </row>
    <row r="160" spans="1:5" ht="13">
      <c r="A160" s="3"/>
      <c r="B160" s="3"/>
      <c r="C160" s="3"/>
      <c r="D160" s="14"/>
      <c r="E160" s="3"/>
    </row>
    <row r="161" spans="1:5" ht="13">
      <c r="A161" s="3"/>
      <c r="B161" s="3"/>
      <c r="C161" s="3"/>
      <c r="D161" s="14"/>
      <c r="E161" s="3"/>
    </row>
    <row r="162" spans="1:5" ht="13">
      <c r="A162" s="3"/>
      <c r="B162" s="3"/>
      <c r="C162" s="3"/>
      <c r="D162" s="14"/>
      <c r="E162" s="3"/>
    </row>
    <row r="163" spans="1:5" ht="13">
      <c r="A163" s="3"/>
      <c r="B163" s="3"/>
      <c r="C163" s="3"/>
      <c r="D163" s="14"/>
      <c r="E163" s="3"/>
    </row>
    <row r="164" spans="1:5" ht="13">
      <c r="A164" s="3"/>
      <c r="B164" s="3"/>
      <c r="C164" s="3"/>
      <c r="D164" s="14"/>
      <c r="E164" s="3"/>
    </row>
    <row r="165" spans="1:5" ht="13">
      <c r="A165" s="3"/>
      <c r="B165" s="3"/>
      <c r="C165" s="3"/>
      <c r="D165" s="14"/>
      <c r="E165" s="3"/>
    </row>
    <row r="166" spans="1:5" ht="13">
      <c r="A166" s="3"/>
      <c r="B166" s="3"/>
      <c r="C166" s="3"/>
      <c r="D166" s="14"/>
      <c r="E166" s="3"/>
    </row>
    <row r="167" spans="1:5" ht="13">
      <c r="A167" s="3"/>
      <c r="B167" s="3"/>
      <c r="C167" s="3"/>
      <c r="D167" s="14"/>
      <c r="E167" s="3"/>
    </row>
    <row r="168" spans="1:5" ht="13">
      <c r="A168" s="3"/>
      <c r="B168" s="3"/>
      <c r="C168" s="3"/>
      <c r="D168" s="14"/>
      <c r="E168" s="3"/>
    </row>
    <row r="169" spans="1:5" ht="13">
      <c r="A169" s="3"/>
      <c r="B169" s="3"/>
      <c r="C169" s="3"/>
      <c r="D169" s="14"/>
      <c r="E169" s="3"/>
    </row>
    <row r="170" spans="1:5" ht="13">
      <c r="A170" s="3"/>
      <c r="B170" s="3"/>
      <c r="C170" s="3"/>
      <c r="D170" s="14"/>
      <c r="E170" s="3"/>
    </row>
    <row r="171" spans="1:5" ht="13">
      <c r="A171" s="3"/>
      <c r="B171" s="3"/>
      <c r="C171" s="3"/>
      <c r="D171" s="14"/>
      <c r="E171" s="3"/>
    </row>
    <row r="172" spans="1:5" ht="13">
      <c r="A172" s="3"/>
      <c r="B172" s="3"/>
      <c r="C172" s="3"/>
      <c r="D172" s="14"/>
      <c r="E172" s="3"/>
    </row>
    <row r="173" spans="1:5" ht="13">
      <c r="A173" s="3"/>
      <c r="B173" s="3"/>
      <c r="C173" s="3"/>
      <c r="D173" s="14"/>
      <c r="E173" s="3"/>
    </row>
    <row r="174" spans="1:5" ht="13">
      <c r="A174" s="3"/>
      <c r="B174" s="3"/>
      <c r="C174" s="3"/>
      <c r="D174" s="14"/>
      <c r="E174" s="3"/>
    </row>
    <row r="175" spans="1:5" ht="13">
      <c r="A175" s="3"/>
      <c r="B175" s="3"/>
      <c r="C175" s="3"/>
      <c r="D175" s="14"/>
      <c r="E175" s="3"/>
    </row>
    <row r="176" spans="1:5" ht="13">
      <c r="A176" s="3"/>
      <c r="B176" s="3"/>
      <c r="C176" s="3"/>
      <c r="D176" s="14"/>
      <c r="E176" s="3"/>
    </row>
    <row r="177" spans="1:5" ht="13">
      <c r="A177" s="3"/>
      <c r="B177" s="3"/>
      <c r="C177" s="3"/>
      <c r="D177" s="14"/>
      <c r="E177" s="3"/>
    </row>
    <row r="178" spans="1:5" ht="13">
      <c r="A178" s="3"/>
      <c r="B178" s="3"/>
      <c r="C178" s="3"/>
      <c r="D178" s="14"/>
      <c r="E178" s="3"/>
    </row>
    <row r="179" spans="1:5" ht="13">
      <c r="A179" s="3"/>
      <c r="B179" s="3"/>
      <c r="C179" s="3"/>
      <c r="D179" s="14"/>
      <c r="E179" s="3"/>
    </row>
    <row r="180" spans="1:5" ht="13">
      <c r="A180" s="3"/>
      <c r="B180" s="3"/>
      <c r="C180" s="3"/>
      <c r="D180" s="14"/>
      <c r="E180" s="3"/>
    </row>
    <row r="181" spans="1:5" ht="13">
      <c r="A181" s="3"/>
      <c r="B181" s="3"/>
      <c r="C181" s="3"/>
      <c r="D181" s="14"/>
      <c r="E181" s="3"/>
    </row>
    <row r="182" spans="1:5" ht="13">
      <c r="A182" s="3"/>
      <c r="B182" s="3"/>
      <c r="C182" s="3"/>
      <c r="D182" s="14"/>
      <c r="E182" s="3"/>
    </row>
    <row r="183" spans="1:5" ht="13">
      <c r="A183" s="3"/>
      <c r="B183" s="3"/>
      <c r="C183" s="3"/>
      <c r="D183" s="14"/>
      <c r="E183" s="3"/>
    </row>
    <row r="184" spans="1:5" ht="13">
      <c r="A184" s="3"/>
      <c r="B184" s="3"/>
      <c r="C184" s="3"/>
      <c r="D184" s="14"/>
      <c r="E184" s="3"/>
    </row>
    <row r="185" spans="1:5" ht="13">
      <c r="A185" s="3"/>
      <c r="B185" s="3"/>
      <c r="C185" s="3"/>
      <c r="D185" s="14"/>
      <c r="E185" s="3"/>
    </row>
    <row r="186" spans="1:5" ht="13">
      <c r="A186" s="3"/>
      <c r="B186" s="3"/>
      <c r="C186" s="3"/>
      <c r="D186" s="14"/>
      <c r="E186" s="3"/>
    </row>
    <row r="187" spans="1:5" ht="13">
      <c r="A187" s="3"/>
      <c r="B187" s="3"/>
      <c r="C187" s="3"/>
      <c r="D187" s="14"/>
      <c r="E187" s="3"/>
    </row>
    <row r="188" spans="1:5" ht="13">
      <c r="A188" s="3"/>
      <c r="B188" s="3"/>
      <c r="C188" s="3"/>
      <c r="D188" s="14"/>
      <c r="E188" s="3"/>
    </row>
    <row r="189" spans="1:5" ht="13">
      <c r="A189" s="3"/>
      <c r="B189" s="3"/>
      <c r="C189" s="3"/>
      <c r="D189" s="14"/>
      <c r="E189" s="3"/>
    </row>
    <row r="190" spans="1:5" ht="13">
      <c r="A190" s="3"/>
      <c r="B190" s="3"/>
      <c r="C190" s="3"/>
      <c r="D190" s="14"/>
      <c r="E190" s="3"/>
    </row>
    <row r="191" spans="1:5" ht="13">
      <c r="A191" s="3"/>
      <c r="B191" s="3"/>
      <c r="C191" s="3"/>
      <c r="D191" s="14"/>
      <c r="E191" s="3"/>
    </row>
    <row r="192" spans="1:5" ht="13">
      <c r="A192" s="3"/>
      <c r="B192" s="3"/>
      <c r="C192" s="3"/>
      <c r="D192" s="14"/>
      <c r="E192" s="3"/>
    </row>
    <row r="193" spans="1:5" ht="13">
      <c r="A193" s="3"/>
      <c r="B193" s="3"/>
      <c r="C193" s="3"/>
      <c r="D193" s="14"/>
      <c r="E193" s="3"/>
    </row>
    <row r="194" spans="1:5" ht="13">
      <c r="A194" s="3"/>
      <c r="B194" s="3"/>
      <c r="C194" s="3"/>
      <c r="D194" s="14"/>
      <c r="E194" s="3"/>
    </row>
    <row r="195" spans="1:5" ht="13">
      <c r="A195" s="3"/>
      <c r="B195" s="3"/>
      <c r="C195" s="3"/>
      <c r="D195" s="14"/>
      <c r="E195" s="3"/>
    </row>
    <row r="196" spans="1:5" ht="13">
      <c r="A196" s="3"/>
      <c r="B196" s="3"/>
      <c r="C196" s="3"/>
      <c r="D196" s="14"/>
      <c r="E196" s="3"/>
    </row>
    <row r="197" spans="1:5" ht="13">
      <c r="A197" s="3"/>
      <c r="B197" s="3"/>
      <c r="C197" s="3"/>
      <c r="D197" s="14"/>
      <c r="E197" s="3"/>
    </row>
    <row r="198" spans="1:5" ht="13">
      <c r="A198" s="3"/>
      <c r="B198" s="3"/>
      <c r="C198" s="3"/>
      <c r="D198" s="14"/>
      <c r="E198" s="3"/>
    </row>
    <row r="199" spans="1:5" ht="13">
      <c r="A199" s="3"/>
      <c r="B199" s="3"/>
      <c r="C199" s="3"/>
      <c r="D199" s="14"/>
      <c r="E199" s="3"/>
    </row>
    <row r="200" spans="1:5" ht="13">
      <c r="A200" s="3"/>
      <c r="B200" s="3"/>
      <c r="C200" s="3"/>
      <c r="D200" s="14"/>
      <c r="E200" s="3"/>
    </row>
    <row r="201" spans="1:5" ht="13">
      <c r="A201" s="3"/>
      <c r="B201" s="3"/>
      <c r="C201" s="3"/>
      <c r="D201" s="14"/>
      <c r="E201" s="3"/>
    </row>
    <row r="202" spans="1:5" ht="13">
      <c r="A202" s="3"/>
      <c r="B202" s="3"/>
      <c r="C202" s="3"/>
      <c r="D202" s="14"/>
      <c r="E202" s="3"/>
    </row>
    <row r="203" spans="1:5" ht="13">
      <c r="A203" s="3"/>
      <c r="B203" s="3"/>
      <c r="C203" s="3"/>
      <c r="D203" s="14"/>
      <c r="E203" s="3"/>
    </row>
    <row r="204" spans="1:5" ht="13">
      <c r="A204" s="3"/>
      <c r="B204" s="3"/>
      <c r="C204" s="3"/>
      <c r="D204" s="14"/>
      <c r="E204" s="3"/>
    </row>
    <row r="205" spans="1:5" ht="13">
      <c r="A205" s="3"/>
      <c r="B205" s="3"/>
      <c r="C205" s="3"/>
      <c r="D205" s="14"/>
      <c r="E205" s="3"/>
    </row>
    <row r="206" spans="1:5" ht="13">
      <c r="A206" s="3"/>
      <c r="B206" s="3"/>
      <c r="C206" s="3"/>
      <c r="D206" s="14"/>
      <c r="E206" s="3"/>
    </row>
    <row r="207" spans="1:5" ht="13">
      <c r="A207" s="3"/>
      <c r="B207" s="3"/>
      <c r="C207" s="3"/>
      <c r="D207" s="14"/>
      <c r="E207" s="3"/>
    </row>
    <row r="208" spans="1:5" ht="13">
      <c r="A208" s="3"/>
      <c r="B208" s="3"/>
      <c r="C208" s="3"/>
      <c r="D208" s="14"/>
      <c r="E208" s="3"/>
    </row>
    <row r="209" spans="1:5" ht="13">
      <c r="A209" s="3"/>
      <c r="B209" s="3"/>
      <c r="C209" s="3"/>
      <c r="D209" s="14"/>
      <c r="E209" s="3"/>
    </row>
    <row r="210" spans="1:5" ht="13">
      <c r="A210" s="3"/>
      <c r="B210" s="3"/>
      <c r="C210" s="3"/>
      <c r="D210" s="14"/>
      <c r="E210" s="3"/>
    </row>
    <row r="211" spans="1:5" ht="13">
      <c r="A211" s="3"/>
      <c r="B211" s="3"/>
      <c r="C211" s="3"/>
      <c r="D211" s="14"/>
      <c r="E211" s="3"/>
    </row>
    <row r="212" spans="1:5" ht="13">
      <c r="A212" s="3"/>
      <c r="B212" s="3"/>
      <c r="C212" s="3"/>
      <c r="D212" s="14"/>
      <c r="E212" s="3"/>
    </row>
    <row r="213" spans="1:5" ht="13">
      <c r="A213" s="3"/>
      <c r="B213" s="3"/>
      <c r="C213" s="3"/>
      <c r="D213" s="14"/>
      <c r="E213" s="3"/>
    </row>
    <row r="214" spans="1:5" ht="13">
      <c r="A214" s="3"/>
      <c r="B214" s="3"/>
      <c r="C214" s="3"/>
      <c r="D214" s="14"/>
      <c r="E214" s="3"/>
    </row>
    <row r="215" spans="1:5" ht="13">
      <c r="A215" s="3"/>
      <c r="B215" s="3"/>
      <c r="C215" s="3"/>
      <c r="D215" s="14"/>
      <c r="E215" s="3"/>
    </row>
    <row r="216" spans="1:5" ht="13">
      <c r="A216" s="3"/>
      <c r="B216" s="3"/>
      <c r="C216" s="3"/>
      <c r="D216" s="14"/>
      <c r="E216" s="3"/>
    </row>
    <row r="217" spans="1:5" ht="13">
      <c r="A217" s="3"/>
      <c r="B217" s="3"/>
      <c r="C217" s="3"/>
      <c r="D217" s="14"/>
      <c r="E217" s="3"/>
    </row>
    <row r="218" spans="1:5" ht="13">
      <c r="A218" s="3"/>
      <c r="B218" s="3"/>
      <c r="C218" s="3"/>
      <c r="D218" s="14"/>
      <c r="E218" s="3"/>
    </row>
    <row r="219" spans="1:5" ht="13">
      <c r="A219" s="3"/>
      <c r="B219" s="3"/>
      <c r="C219" s="3"/>
      <c r="D219" s="14"/>
      <c r="E219" s="3"/>
    </row>
    <row r="220" spans="1:5" ht="13">
      <c r="A220" s="3"/>
      <c r="B220" s="3"/>
      <c r="C220" s="3"/>
      <c r="D220" s="14"/>
      <c r="E220" s="3"/>
    </row>
    <row r="221" spans="1:5" ht="13">
      <c r="A221" s="3"/>
      <c r="B221" s="3"/>
      <c r="C221" s="3"/>
      <c r="D221" s="14"/>
      <c r="E221" s="3"/>
    </row>
    <row r="222" spans="1:5" ht="13">
      <c r="A222" s="3"/>
      <c r="B222" s="3"/>
      <c r="C222" s="3"/>
      <c r="D222" s="14"/>
      <c r="E222" s="3"/>
    </row>
    <row r="223" spans="1:5" ht="13">
      <c r="A223" s="3"/>
      <c r="B223" s="3"/>
      <c r="C223" s="3"/>
      <c r="D223" s="14"/>
      <c r="E223" s="3"/>
    </row>
    <row r="224" spans="1:5" ht="13">
      <c r="A224" s="3"/>
      <c r="B224" s="3"/>
      <c r="C224" s="3"/>
      <c r="D224" s="14"/>
      <c r="E224" s="3"/>
    </row>
    <row r="225" spans="1:5" ht="13">
      <c r="A225" s="3"/>
      <c r="B225" s="3"/>
      <c r="C225" s="3"/>
      <c r="D225" s="14"/>
      <c r="E225" s="3"/>
    </row>
    <row r="226" spans="1:5" ht="13">
      <c r="A226" s="3"/>
      <c r="B226" s="3"/>
      <c r="C226" s="3"/>
      <c r="D226" s="14"/>
      <c r="E226" s="3"/>
    </row>
    <row r="227" spans="1:5" ht="13">
      <c r="A227" s="3"/>
      <c r="B227" s="3"/>
      <c r="C227" s="3"/>
      <c r="D227" s="14"/>
      <c r="E227" s="3"/>
    </row>
    <row r="228" spans="1:5" ht="13">
      <c r="A228" s="3"/>
      <c r="B228" s="3"/>
      <c r="C228" s="3"/>
      <c r="D228" s="14"/>
      <c r="E228" s="3"/>
    </row>
    <row r="229" spans="1:5" ht="13">
      <c r="A229" s="3"/>
      <c r="B229" s="3"/>
      <c r="C229" s="3"/>
      <c r="D229" s="14"/>
      <c r="E229" s="3"/>
    </row>
    <row r="230" spans="1:5" ht="13">
      <c r="A230" s="3"/>
      <c r="B230" s="3"/>
      <c r="C230" s="3"/>
      <c r="D230" s="14"/>
      <c r="E230" s="3"/>
    </row>
    <row r="231" spans="1:5" ht="13">
      <c r="A231" s="3"/>
      <c r="B231" s="3"/>
      <c r="C231" s="3"/>
      <c r="D231" s="14"/>
      <c r="E231" s="3"/>
    </row>
    <row r="232" spans="1:5" ht="13">
      <c r="A232" s="3"/>
      <c r="B232" s="3"/>
      <c r="C232" s="3"/>
      <c r="D232" s="14"/>
      <c r="E232" s="3"/>
    </row>
    <row r="233" spans="1:5" ht="13">
      <c r="A233" s="3"/>
      <c r="B233" s="3"/>
      <c r="C233" s="3"/>
      <c r="D233" s="14"/>
      <c r="E233" s="3"/>
    </row>
    <row r="234" spans="1:5" ht="13">
      <c r="A234" s="3"/>
      <c r="B234" s="3"/>
      <c r="C234" s="3"/>
      <c r="D234" s="14"/>
      <c r="E234" s="3"/>
    </row>
    <row r="235" spans="1:5" ht="13">
      <c r="A235" s="3"/>
      <c r="B235" s="3"/>
      <c r="C235" s="3"/>
      <c r="D235" s="14"/>
      <c r="E235" s="3"/>
    </row>
    <row r="236" spans="1:5" ht="13">
      <c r="A236" s="3"/>
      <c r="B236" s="3"/>
      <c r="C236" s="3"/>
      <c r="D236" s="14"/>
      <c r="E236" s="3"/>
    </row>
    <row r="237" spans="1:5" ht="13">
      <c r="A237" s="3"/>
      <c r="B237" s="3"/>
      <c r="C237" s="3"/>
      <c r="D237" s="14"/>
      <c r="E237" s="3"/>
    </row>
    <row r="238" spans="1:5" ht="13">
      <c r="A238" s="3"/>
      <c r="B238" s="3"/>
      <c r="C238" s="3"/>
      <c r="D238" s="14"/>
      <c r="E238" s="3"/>
    </row>
    <row r="239" spans="1:5" ht="13">
      <c r="A239" s="3"/>
      <c r="B239" s="3"/>
      <c r="C239" s="3"/>
      <c r="D239" s="14"/>
      <c r="E239" s="3"/>
    </row>
    <row r="240" spans="1:5" ht="13">
      <c r="A240" s="3"/>
      <c r="B240" s="3"/>
      <c r="C240" s="3"/>
      <c r="D240" s="14"/>
      <c r="E240" s="3"/>
    </row>
    <row r="241" spans="1:5" ht="13">
      <c r="A241" s="3"/>
      <c r="B241" s="3"/>
      <c r="C241" s="3"/>
      <c r="D241" s="14"/>
      <c r="E241" s="3"/>
    </row>
    <row r="242" spans="1:5" ht="13">
      <c r="A242" s="3"/>
      <c r="B242" s="3"/>
      <c r="C242" s="3"/>
      <c r="D242" s="14"/>
      <c r="E242" s="3"/>
    </row>
    <row r="243" spans="1:5" ht="13">
      <c r="A243" s="3"/>
      <c r="B243" s="3"/>
      <c r="C243" s="3"/>
      <c r="D243" s="14"/>
      <c r="E243" s="3"/>
    </row>
    <row r="244" spans="1:5" ht="13">
      <c r="A244" s="3"/>
      <c r="B244" s="3"/>
      <c r="C244" s="3"/>
      <c r="D244" s="14"/>
      <c r="E244" s="3"/>
    </row>
    <row r="245" spans="1:5" ht="13">
      <c r="A245" s="3"/>
      <c r="B245" s="3"/>
      <c r="C245" s="3"/>
      <c r="D245" s="14"/>
      <c r="E245" s="3"/>
    </row>
    <row r="246" spans="1:5" ht="13">
      <c r="A246" s="3"/>
      <c r="B246" s="3"/>
      <c r="C246" s="3"/>
      <c r="D246" s="14"/>
      <c r="E246" s="3"/>
    </row>
    <row r="247" spans="1:5" ht="13">
      <c r="A247" s="3"/>
      <c r="B247" s="3"/>
      <c r="C247" s="3"/>
      <c r="D247" s="14"/>
      <c r="E247" s="3"/>
    </row>
    <row r="248" spans="1:5" ht="13">
      <c r="A248" s="3"/>
      <c r="B248" s="3"/>
      <c r="C248" s="3"/>
      <c r="D248" s="14"/>
      <c r="E248" s="3"/>
    </row>
    <row r="249" spans="1:5" ht="13">
      <c r="A249" s="3"/>
      <c r="B249" s="3"/>
      <c r="C249" s="3"/>
      <c r="D249" s="14"/>
      <c r="E249" s="3"/>
    </row>
    <row r="250" spans="1:5" ht="13">
      <c r="A250" s="3"/>
      <c r="B250" s="3"/>
      <c r="C250" s="3"/>
      <c r="D250" s="14"/>
      <c r="E250" s="3"/>
    </row>
    <row r="251" spans="1:5" ht="13">
      <c r="A251" s="3"/>
      <c r="B251" s="3"/>
      <c r="C251" s="3"/>
      <c r="D251" s="14"/>
      <c r="E251" s="3"/>
    </row>
    <row r="252" spans="1:5" ht="13">
      <c r="A252" s="3"/>
      <c r="B252" s="3"/>
      <c r="C252" s="3"/>
      <c r="D252" s="14"/>
      <c r="E252" s="3"/>
    </row>
    <row r="253" spans="1:5" ht="13">
      <c r="A253" s="3"/>
      <c r="B253" s="3"/>
      <c r="C253" s="3"/>
      <c r="D253" s="14"/>
      <c r="E253" s="3"/>
    </row>
    <row r="254" spans="1:5" ht="13">
      <c r="A254" s="3"/>
      <c r="B254" s="3"/>
      <c r="C254" s="3"/>
      <c r="D254" s="14"/>
      <c r="E254" s="3"/>
    </row>
    <row r="255" spans="1:5" ht="13">
      <c r="A255" s="3"/>
      <c r="B255" s="3"/>
      <c r="C255" s="3"/>
      <c r="D255" s="14"/>
      <c r="E255" s="3"/>
    </row>
    <row r="256" spans="1:5" ht="13">
      <c r="A256" s="3"/>
      <c r="B256" s="3"/>
      <c r="C256" s="3"/>
      <c r="D256" s="14"/>
      <c r="E256" s="3"/>
    </row>
    <row r="257" spans="1:5" ht="13">
      <c r="A257" s="3"/>
      <c r="B257" s="3"/>
      <c r="C257" s="3"/>
      <c r="D257" s="14"/>
      <c r="E257" s="3"/>
    </row>
    <row r="258" spans="1:5" ht="13">
      <c r="A258" s="3"/>
      <c r="B258" s="3"/>
      <c r="C258" s="3"/>
      <c r="D258" s="14"/>
      <c r="E258" s="3"/>
    </row>
    <row r="259" spans="1:5" ht="13">
      <c r="A259" s="3"/>
      <c r="B259" s="3"/>
      <c r="C259" s="3"/>
      <c r="D259" s="14"/>
      <c r="E259" s="3"/>
    </row>
    <row r="260" spans="1:5" ht="13">
      <c r="A260" s="3"/>
      <c r="B260" s="3"/>
      <c r="C260" s="3"/>
      <c r="D260" s="14"/>
      <c r="E260" s="3"/>
    </row>
    <row r="261" spans="1:5" ht="13">
      <c r="A261" s="3"/>
      <c r="B261" s="3"/>
      <c r="C261" s="3"/>
      <c r="D261" s="14"/>
      <c r="E261" s="3"/>
    </row>
    <row r="262" spans="1:5" ht="13">
      <c r="A262" s="3"/>
      <c r="B262" s="3"/>
      <c r="C262" s="3"/>
      <c r="D262" s="14"/>
      <c r="E262" s="3"/>
    </row>
    <row r="263" spans="1:5" ht="13">
      <c r="A263" s="3"/>
      <c r="B263" s="3"/>
      <c r="C263" s="3"/>
      <c r="D263" s="14"/>
      <c r="E263" s="3"/>
    </row>
    <row r="264" spans="1:5" ht="13">
      <c r="A264" s="3"/>
      <c r="B264" s="3"/>
      <c r="C264" s="3"/>
      <c r="D264" s="14"/>
      <c r="E264" s="3"/>
    </row>
    <row r="265" spans="1:5" ht="13">
      <c r="A265" s="3"/>
      <c r="B265" s="3"/>
      <c r="C265" s="3"/>
      <c r="D265" s="14"/>
      <c r="E265" s="3"/>
    </row>
    <row r="266" spans="1:5" ht="13">
      <c r="A266" s="3"/>
      <c r="B266" s="3"/>
      <c r="C266" s="3"/>
      <c r="D266" s="14"/>
      <c r="E266" s="3"/>
    </row>
    <row r="267" spans="1:5" ht="13">
      <c r="A267" s="3"/>
      <c r="B267" s="3"/>
      <c r="C267" s="3"/>
      <c r="D267" s="14"/>
      <c r="E267" s="3"/>
    </row>
    <row r="268" spans="1:5" ht="13">
      <c r="A268" s="3"/>
      <c r="B268" s="3"/>
      <c r="C268" s="3"/>
      <c r="D268" s="14"/>
      <c r="E268" s="3"/>
    </row>
    <row r="269" spans="1:5" ht="13">
      <c r="A269" s="3"/>
      <c r="B269" s="3"/>
      <c r="C269" s="3"/>
      <c r="D269" s="14"/>
      <c r="E269" s="3"/>
    </row>
    <row r="270" spans="1:5" ht="13">
      <c r="A270" s="3"/>
      <c r="B270" s="3"/>
      <c r="C270" s="3"/>
      <c r="D270" s="14"/>
      <c r="E270" s="3"/>
    </row>
    <row r="271" spans="1:5" ht="13">
      <c r="A271" s="3"/>
      <c r="B271" s="3"/>
      <c r="C271" s="3"/>
      <c r="D271" s="14"/>
      <c r="E271" s="3"/>
    </row>
    <row r="272" spans="1:5" ht="13">
      <c r="A272" s="3"/>
      <c r="B272" s="3"/>
      <c r="C272" s="3"/>
      <c r="D272" s="14"/>
      <c r="E272" s="3"/>
    </row>
    <row r="273" spans="1:5" ht="13">
      <c r="A273" s="3"/>
      <c r="B273" s="3"/>
      <c r="C273" s="3"/>
      <c r="D273" s="14"/>
      <c r="E273" s="3"/>
    </row>
    <row r="274" spans="1:5" ht="13">
      <c r="A274" s="3"/>
      <c r="B274" s="3"/>
      <c r="C274" s="3"/>
      <c r="D274" s="14"/>
      <c r="E274" s="3"/>
    </row>
    <row r="275" spans="1:5" ht="13">
      <c r="A275" s="3"/>
      <c r="B275" s="3"/>
      <c r="C275" s="3"/>
      <c r="D275" s="14"/>
      <c r="E275" s="3"/>
    </row>
    <row r="276" spans="1:5" ht="13">
      <c r="A276" s="3"/>
      <c r="B276" s="3"/>
      <c r="C276" s="3"/>
      <c r="D276" s="14"/>
      <c r="E276" s="3"/>
    </row>
    <row r="277" spans="1:5" ht="13">
      <c r="A277" s="3"/>
      <c r="B277" s="3"/>
      <c r="C277" s="3"/>
      <c r="D277" s="14"/>
      <c r="E277" s="3"/>
    </row>
    <row r="278" spans="1:5" ht="13">
      <c r="A278" s="3"/>
      <c r="B278" s="3"/>
      <c r="C278" s="3"/>
      <c r="D278" s="14"/>
      <c r="E278" s="3"/>
    </row>
    <row r="279" spans="1:5" ht="13">
      <c r="A279" s="3"/>
      <c r="B279" s="3"/>
      <c r="C279" s="3"/>
      <c r="D279" s="14"/>
      <c r="E279" s="3"/>
    </row>
    <row r="280" spans="1:5" ht="13">
      <c r="A280" s="3"/>
      <c r="B280" s="3"/>
      <c r="C280" s="3"/>
      <c r="D280" s="14"/>
      <c r="E280" s="3"/>
    </row>
    <row r="281" spans="1:5" ht="13">
      <c r="A281" s="3"/>
      <c r="B281" s="3"/>
      <c r="C281" s="3"/>
      <c r="D281" s="14"/>
      <c r="E281" s="3"/>
    </row>
    <row r="282" spans="1:5" ht="13">
      <c r="A282" s="3"/>
      <c r="B282" s="3"/>
      <c r="C282" s="3"/>
      <c r="D282" s="14"/>
      <c r="E282" s="3"/>
    </row>
    <row r="283" spans="1:5" ht="13">
      <c r="A283" s="3"/>
      <c r="B283" s="3"/>
      <c r="C283" s="3"/>
      <c r="D283" s="14"/>
      <c r="E283" s="3"/>
    </row>
    <row r="284" spans="1:5" ht="13">
      <c r="A284" s="3"/>
      <c r="B284" s="3"/>
      <c r="C284" s="3"/>
      <c r="D284" s="14"/>
      <c r="E284" s="3"/>
    </row>
    <row r="285" spans="1:5" ht="13">
      <c r="A285" s="3"/>
      <c r="B285" s="3"/>
      <c r="C285" s="3"/>
      <c r="D285" s="14"/>
      <c r="E285" s="3"/>
    </row>
    <row r="286" spans="1:5" ht="13">
      <c r="A286" s="3"/>
      <c r="B286" s="3"/>
      <c r="C286" s="3"/>
      <c r="D286" s="14"/>
      <c r="E286" s="3"/>
    </row>
    <row r="287" spans="1:5" ht="13">
      <c r="A287" s="3"/>
      <c r="B287" s="3"/>
      <c r="C287" s="3"/>
      <c r="D287" s="14"/>
      <c r="E287" s="3"/>
    </row>
    <row r="288" spans="1:5" ht="13">
      <c r="A288" s="3"/>
      <c r="B288" s="3"/>
      <c r="C288" s="3"/>
      <c r="D288" s="14"/>
      <c r="E288" s="3"/>
    </row>
    <row r="289" spans="1:5" ht="13">
      <c r="A289" s="3"/>
      <c r="B289" s="3"/>
      <c r="C289" s="3"/>
      <c r="D289" s="14"/>
      <c r="E289" s="3"/>
    </row>
    <row r="290" spans="1:5" ht="13">
      <c r="A290" s="3"/>
      <c r="B290" s="3"/>
      <c r="C290" s="3"/>
      <c r="D290" s="14"/>
      <c r="E290" s="3"/>
    </row>
    <row r="291" spans="1:5" ht="13">
      <c r="A291" s="3"/>
      <c r="B291" s="3"/>
      <c r="C291" s="3"/>
      <c r="D291" s="14"/>
      <c r="E291" s="3"/>
    </row>
    <row r="292" spans="1:5" ht="13">
      <c r="A292" s="3"/>
      <c r="B292" s="3"/>
      <c r="C292" s="3"/>
      <c r="D292" s="14"/>
      <c r="E292" s="3"/>
    </row>
    <row r="293" spans="1:5" ht="13">
      <c r="A293" s="3"/>
      <c r="B293" s="3"/>
      <c r="C293" s="3"/>
      <c r="D293" s="14"/>
      <c r="E293" s="3"/>
    </row>
    <row r="294" spans="1:5" ht="13">
      <c r="A294" s="3"/>
      <c r="B294" s="3"/>
      <c r="C294" s="3"/>
      <c r="D294" s="14"/>
      <c r="E294" s="3"/>
    </row>
    <row r="295" spans="1:5" ht="13">
      <c r="A295" s="3"/>
      <c r="B295" s="3"/>
      <c r="C295" s="3"/>
      <c r="D295" s="14"/>
      <c r="E295" s="3"/>
    </row>
    <row r="296" spans="1:5" ht="13">
      <c r="A296" s="3"/>
      <c r="B296" s="3"/>
      <c r="C296" s="3"/>
      <c r="D296" s="14"/>
      <c r="E296" s="3"/>
    </row>
    <row r="297" spans="1:5" ht="13">
      <c r="A297" s="3"/>
      <c r="B297" s="3"/>
      <c r="C297" s="3"/>
      <c r="D297" s="14"/>
      <c r="E297" s="3"/>
    </row>
    <row r="298" spans="1:5" ht="13">
      <c r="A298" s="3"/>
      <c r="B298" s="3"/>
      <c r="C298" s="3"/>
      <c r="D298" s="14"/>
      <c r="E298" s="3"/>
    </row>
    <row r="299" spans="1:5" ht="13">
      <c r="A299" s="3"/>
      <c r="B299" s="3"/>
      <c r="C299" s="3"/>
      <c r="D299" s="14"/>
      <c r="E299" s="3"/>
    </row>
    <row r="300" spans="1:5" ht="13">
      <c r="A300" s="3"/>
      <c r="B300" s="3"/>
      <c r="C300" s="3"/>
      <c r="D300" s="14"/>
      <c r="E300" s="3"/>
    </row>
    <row r="301" spans="1:5" ht="13">
      <c r="A301" s="3"/>
      <c r="B301" s="3"/>
      <c r="C301" s="3"/>
      <c r="D301" s="14"/>
      <c r="E301" s="3"/>
    </row>
    <row r="302" spans="1:5" ht="13">
      <c r="A302" s="3"/>
      <c r="B302" s="3"/>
      <c r="C302" s="3"/>
      <c r="D302" s="14"/>
      <c r="E302" s="3"/>
    </row>
    <row r="303" spans="1:5" ht="13">
      <c r="A303" s="3"/>
      <c r="B303" s="3"/>
      <c r="C303" s="3"/>
      <c r="D303" s="14"/>
      <c r="E303" s="3"/>
    </row>
    <row r="304" spans="1:5" ht="13">
      <c r="A304" s="3"/>
      <c r="B304" s="3"/>
      <c r="C304" s="3"/>
      <c r="D304" s="14"/>
      <c r="E304" s="3"/>
    </row>
    <row r="305" spans="1:5" ht="13">
      <c r="A305" s="3"/>
      <c r="B305" s="3"/>
      <c r="C305" s="3"/>
      <c r="D305" s="14"/>
      <c r="E305" s="3"/>
    </row>
    <row r="306" spans="1:5" ht="13">
      <c r="A306" s="3"/>
      <c r="B306" s="3"/>
      <c r="C306" s="3"/>
      <c r="D306" s="14"/>
      <c r="E306" s="3"/>
    </row>
    <row r="307" spans="1:5" ht="13">
      <c r="A307" s="3"/>
      <c r="B307" s="3"/>
      <c r="C307" s="3"/>
      <c r="D307" s="14"/>
      <c r="E307" s="3"/>
    </row>
    <row r="308" spans="1:5" ht="13">
      <c r="A308" s="3"/>
      <c r="B308" s="3"/>
      <c r="C308" s="3"/>
      <c r="D308" s="14"/>
      <c r="E308" s="3"/>
    </row>
    <row r="309" spans="1:5" ht="13">
      <c r="A309" s="3"/>
      <c r="B309" s="3"/>
      <c r="C309" s="3"/>
      <c r="D309" s="14"/>
      <c r="E309" s="3"/>
    </row>
    <row r="310" spans="1:5" ht="13">
      <c r="A310" s="3"/>
      <c r="B310" s="3"/>
      <c r="C310" s="3"/>
      <c r="D310" s="14"/>
      <c r="E310" s="3"/>
    </row>
    <row r="311" spans="1:5" ht="13">
      <c r="A311" s="3"/>
      <c r="B311" s="3"/>
      <c r="C311" s="3"/>
      <c r="D311" s="14"/>
      <c r="E311" s="3"/>
    </row>
    <row r="312" spans="1:5" ht="13">
      <c r="A312" s="3"/>
      <c r="B312" s="3"/>
      <c r="C312" s="3"/>
      <c r="D312" s="14"/>
      <c r="E312" s="3"/>
    </row>
    <row r="313" spans="1:5" ht="13">
      <c r="A313" s="3"/>
      <c r="B313" s="3"/>
      <c r="C313" s="3"/>
      <c r="D313" s="14"/>
      <c r="E313" s="3"/>
    </row>
    <row r="314" spans="1:5" ht="13">
      <c r="A314" s="3"/>
      <c r="B314" s="3"/>
      <c r="C314" s="3"/>
      <c r="D314" s="14"/>
      <c r="E314" s="3"/>
    </row>
    <row r="315" spans="1:5" ht="13">
      <c r="A315" s="3"/>
      <c r="B315" s="3"/>
      <c r="C315" s="3"/>
      <c r="D315" s="14"/>
      <c r="E315" s="3"/>
    </row>
    <row r="316" spans="1:5" ht="13">
      <c r="A316" s="3"/>
      <c r="B316" s="3"/>
      <c r="C316" s="3"/>
      <c r="D316" s="14"/>
      <c r="E316" s="3"/>
    </row>
    <row r="317" spans="1:5" ht="13">
      <c r="A317" s="3"/>
      <c r="B317" s="3"/>
      <c r="C317" s="3"/>
      <c r="D317" s="14"/>
      <c r="E317" s="3"/>
    </row>
    <row r="318" spans="1:5" ht="13">
      <c r="A318" s="3"/>
      <c r="B318" s="3"/>
      <c r="C318" s="3"/>
      <c r="D318" s="14"/>
      <c r="E318" s="3"/>
    </row>
    <row r="319" spans="1:5" ht="13">
      <c r="A319" s="3"/>
      <c r="B319" s="3"/>
      <c r="C319" s="3"/>
      <c r="D319" s="14"/>
      <c r="E319" s="3"/>
    </row>
    <row r="320" spans="1:5" ht="13">
      <c r="A320" s="3"/>
      <c r="B320" s="3"/>
      <c r="C320" s="3"/>
      <c r="D320" s="14"/>
      <c r="E320" s="3"/>
    </row>
    <row r="321" spans="1:5" ht="13">
      <c r="A321" s="3"/>
      <c r="B321" s="3"/>
      <c r="C321" s="3"/>
      <c r="D321" s="14"/>
      <c r="E321" s="3"/>
    </row>
    <row r="322" spans="1:5" ht="13">
      <c r="A322" s="3"/>
      <c r="B322" s="3"/>
      <c r="C322" s="3"/>
      <c r="D322" s="14"/>
      <c r="E322" s="3"/>
    </row>
    <row r="323" spans="1:5" ht="13">
      <c r="A323" s="3"/>
      <c r="B323" s="3"/>
      <c r="C323" s="3"/>
      <c r="D323" s="14"/>
      <c r="E323" s="3"/>
    </row>
    <row r="324" spans="1:5" ht="13">
      <c r="A324" s="3"/>
      <c r="B324" s="3"/>
      <c r="C324" s="3"/>
      <c r="D324" s="14"/>
      <c r="E324" s="3"/>
    </row>
    <row r="325" spans="1:5" ht="13">
      <c r="A325" s="3"/>
      <c r="B325" s="3"/>
      <c r="C325" s="3"/>
      <c r="D325" s="14"/>
      <c r="E325" s="3"/>
    </row>
    <row r="326" spans="1:5" ht="13">
      <c r="A326" s="3"/>
      <c r="B326" s="3"/>
      <c r="C326" s="3"/>
      <c r="D326" s="14"/>
      <c r="E326" s="3"/>
    </row>
    <row r="327" spans="1:5" ht="13">
      <c r="A327" s="3"/>
      <c r="B327" s="3"/>
      <c r="C327" s="3"/>
      <c r="D327" s="14"/>
      <c r="E327" s="3"/>
    </row>
    <row r="328" spans="1:5" ht="13">
      <c r="A328" s="3"/>
      <c r="B328" s="3"/>
      <c r="C328" s="3"/>
      <c r="D328" s="14"/>
      <c r="E328" s="3"/>
    </row>
    <row r="329" spans="1:5" ht="13">
      <c r="A329" s="3"/>
      <c r="B329" s="3"/>
      <c r="C329" s="3"/>
      <c r="D329" s="14"/>
      <c r="E329" s="3"/>
    </row>
    <row r="330" spans="1:5" ht="13">
      <c r="A330" s="3"/>
      <c r="B330" s="3"/>
      <c r="C330" s="3"/>
      <c r="D330" s="14"/>
      <c r="E330" s="3"/>
    </row>
    <row r="331" spans="1:5" ht="13">
      <c r="A331" s="3"/>
      <c r="B331" s="3"/>
      <c r="C331" s="3"/>
      <c r="D331" s="14"/>
      <c r="E331" s="3"/>
    </row>
    <row r="332" spans="1:5" ht="13">
      <c r="A332" s="3"/>
      <c r="B332" s="3"/>
      <c r="C332" s="3"/>
      <c r="D332" s="14"/>
      <c r="E332" s="3"/>
    </row>
    <row r="333" spans="1:5" ht="13">
      <c r="A333" s="3"/>
      <c r="B333" s="3"/>
      <c r="C333" s="3"/>
      <c r="D333" s="14"/>
      <c r="E333" s="3"/>
    </row>
    <row r="334" spans="1:5" ht="13">
      <c r="A334" s="3"/>
      <c r="B334" s="3"/>
      <c r="C334" s="3"/>
      <c r="D334" s="14"/>
      <c r="E334" s="3"/>
    </row>
    <row r="335" spans="1:5" ht="13">
      <c r="A335" s="3"/>
      <c r="B335" s="3"/>
      <c r="C335" s="3"/>
      <c r="D335" s="14"/>
      <c r="E335" s="3"/>
    </row>
    <row r="336" spans="1:5" ht="13">
      <c r="A336" s="3"/>
      <c r="B336" s="3"/>
      <c r="C336" s="3"/>
      <c r="D336" s="14"/>
      <c r="E336" s="3"/>
    </row>
    <row r="337" spans="1:5" ht="13">
      <c r="A337" s="3"/>
      <c r="B337" s="3"/>
      <c r="C337" s="3"/>
      <c r="D337" s="14"/>
      <c r="E337" s="3"/>
    </row>
    <row r="338" spans="1:5" ht="13">
      <c r="A338" s="3"/>
      <c r="B338" s="3"/>
      <c r="C338" s="3"/>
      <c r="D338" s="14"/>
      <c r="E338" s="3"/>
    </row>
    <row r="339" spans="1:5" ht="13">
      <c r="A339" s="3"/>
      <c r="B339" s="3"/>
      <c r="C339" s="3"/>
      <c r="D339" s="14"/>
      <c r="E339" s="3"/>
    </row>
    <row r="340" spans="1:5" ht="13">
      <c r="A340" s="3"/>
      <c r="B340" s="3"/>
      <c r="C340" s="3"/>
      <c r="D340" s="14"/>
      <c r="E340" s="3"/>
    </row>
    <row r="341" spans="1:5" ht="13">
      <c r="A341" s="3"/>
      <c r="B341" s="3"/>
      <c r="C341" s="3"/>
      <c r="D341" s="14"/>
      <c r="E341" s="3"/>
    </row>
    <row r="342" spans="1:5" ht="13">
      <c r="A342" s="3"/>
      <c r="B342" s="3"/>
      <c r="C342" s="3"/>
      <c r="D342" s="14"/>
      <c r="E342" s="3"/>
    </row>
    <row r="343" spans="1:5" ht="13">
      <c r="A343" s="3"/>
      <c r="B343" s="3"/>
      <c r="C343" s="3"/>
      <c r="D343" s="14"/>
      <c r="E343" s="3"/>
    </row>
    <row r="344" spans="1:5" ht="13">
      <c r="A344" s="3"/>
      <c r="B344" s="3"/>
      <c r="C344" s="3"/>
      <c r="D344" s="14"/>
      <c r="E344" s="3"/>
    </row>
    <row r="345" spans="1:5" ht="13">
      <c r="A345" s="3"/>
      <c r="B345" s="3"/>
      <c r="C345" s="3"/>
      <c r="D345" s="14"/>
      <c r="E345" s="3"/>
    </row>
    <row r="346" spans="1:5" ht="13">
      <c r="A346" s="3"/>
      <c r="B346" s="3"/>
      <c r="C346" s="3"/>
      <c r="D346" s="14"/>
      <c r="E346" s="3"/>
    </row>
    <row r="347" spans="1:5" ht="13">
      <c r="A347" s="3"/>
      <c r="B347" s="3"/>
      <c r="C347" s="3"/>
      <c r="D347" s="14"/>
      <c r="E347" s="3"/>
    </row>
    <row r="348" spans="1:5" ht="13">
      <c r="A348" s="3"/>
      <c r="B348" s="3"/>
      <c r="C348" s="3"/>
      <c r="D348" s="14"/>
      <c r="E348" s="3"/>
    </row>
    <row r="349" spans="1:5" ht="13">
      <c r="A349" s="3"/>
      <c r="B349" s="3"/>
      <c r="C349" s="3"/>
      <c r="D349" s="14"/>
      <c r="E349" s="3"/>
    </row>
    <row r="350" spans="1:5" ht="13">
      <c r="A350" s="3"/>
      <c r="B350" s="3"/>
      <c r="C350" s="3"/>
      <c r="D350" s="14"/>
      <c r="E350" s="3"/>
    </row>
    <row r="351" spans="1:5" ht="13">
      <c r="A351" s="3"/>
      <c r="B351" s="3"/>
      <c r="C351" s="3"/>
      <c r="D351" s="14"/>
      <c r="E351" s="3"/>
    </row>
    <row r="352" spans="1:5" ht="13">
      <c r="A352" s="3"/>
      <c r="B352" s="3"/>
      <c r="C352" s="3"/>
      <c r="D352" s="14"/>
      <c r="E352" s="3"/>
    </row>
    <row r="353" spans="1:5" ht="13">
      <c r="A353" s="3"/>
      <c r="B353" s="3"/>
      <c r="C353" s="3"/>
      <c r="D353" s="14"/>
      <c r="E353" s="3"/>
    </row>
    <row r="354" spans="1:5" ht="13">
      <c r="A354" s="3"/>
      <c r="B354" s="3"/>
      <c r="C354" s="3"/>
      <c r="D354" s="14"/>
      <c r="E354" s="3"/>
    </row>
    <row r="355" spans="1:5" ht="13">
      <c r="A355" s="3"/>
      <c r="B355" s="3"/>
      <c r="C355" s="3"/>
      <c r="D355" s="14"/>
      <c r="E355" s="3"/>
    </row>
    <row r="356" spans="1:5" ht="13">
      <c r="A356" s="3"/>
      <c r="B356" s="3"/>
      <c r="C356" s="3"/>
      <c r="D356" s="14"/>
      <c r="E356" s="3"/>
    </row>
    <row r="357" spans="1:5" ht="13">
      <c r="A357" s="3"/>
      <c r="B357" s="3"/>
      <c r="C357" s="3"/>
      <c r="D357" s="14"/>
      <c r="E357" s="3"/>
    </row>
    <row r="358" spans="1:5" ht="13">
      <c r="A358" s="3"/>
      <c r="B358" s="3"/>
      <c r="C358" s="3"/>
      <c r="D358" s="14"/>
      <c r="E358" s="3"/>
    </row>
    <row r="359" spans="1:5" ht="13">
      <c r="A359" s="3"/>
      <c r="B359" s="3"/>
      <c r="C359" s="3"/>
      <c r="D359" s="14"/>
      <c r="E359" s="3"/>
    </row>
    <row r="360" spans="1:5" ht="13">
      <c r="A360" s="3"/>
      <c r="B360" s="3"/>
      <c r="C360" s="3"/>
      <c r="D360" s="14"/>
      <c r="E360" s="3"/>
    </row>
    <row r="361" spans="1:5" ht="13">
      <c r="A361" s="3"/>
      <c r="B361" s="3"/>
      <c r="C361" s="3"/>
      <c r="D361" s="14"/>
      <c r="E361" s="3"/>
    </row>
    <row r="362" spans="1:5" ht="13">
      <c r="A362" s="3"/>
      <c r="B362" s="3"/>
      <c r="C362" s="3"/>
      <c r="D362" s="14"/>
      <c r="E362" s="3"/>
    </row>
    <row r="363" spans="1:5" ht="13">
      <c r="A363" s="3"/>
      <c r="B363" s="3"/>
      <c r="C363" s="3"/>
      <c r="D363" s="14"/>
      <c r="E363" s="3"/>
    </row>
    <row r="364" spans="1:5" ht="13">
      <c r="A364" s="3"/>
      <c r="B364" s="3"/>
      <c r="C364" s="3"/>
      <c r="D364" s="14"/>
      <c r="E364" s="3"/>
    </row>
    <row r="365" spans="1:5" ht="13">
      <c r="A365" s="3"/>
      <c r="B365" s="3"/>
      <c r="C365" s="3"/>
      <c r="D365" s="14"/>
      <c r="E365" s="3"/>
    </row>
    <row r="366" spans="1:5" ht="13">
      <c r="A366" s="3"/>
      <c r="B366" s="3"/>
      <c r="C366" s="3"/>
      <c r="D366" s="14"/>
      <c r="E366" s="3"/>
    </row>
    <row r="367" spans="1:5" ht="13">
      <c r="A367" s="3"/>
      <c r="B367" s="3"/>
      <c r="C367" s="3"/>
      <c r="D367" s="14"/>
      <c r="E367" s="3"/>
    </row>
    <row r="368" spans="1:5" ht="13">
      <c r="A368" s="3"/>
      <c r="B368" s="3"/>
      <c r="C368" s="3"/>
      <c r="D368" s="14"/>
      <c r="E368" s="3"/>
    </row>
    <row r="369" spans="1:5" ht="13">
      <c r="A369" s="3"/>
      <c r="B369" s="3"/>
      <c r="C369" s="3"/>
      <c r="D369" s="14"/>
      <c r="E369" s="3"/>
    </row>
    <row r="370" spans="1:5" ht="13">
      <c r="A370" s="3"/>
      <c r="B370" s="3"/>
      <c r="C370" s="3"/>
      <c r="D370" s="14"/>
      <c r="E370" s="3"/>
    </row>
    <row r="371" spans="1:5" ht="13">
      <c r="A371" s="3"/>
      <c r="B371" s="3"/>
      <c r="C371" s="3"/>
      <c r="D371" s="14"/>
      <c r="E371" s="3"/>
    </row>
    <row r="372" spans="1:5" ht="13">
      <c r="A372" s="3"/>
      <c r="B372" s="3"/>
      <c r="C372" s="3"/>
      <c r="D372" s="14"/>
      <c r="E372" s="3"/>
    </row>
    <row r="373" spans="1:5" ht="13">
      <c r="A373" s="3"/>
      <c r="B373" s="3"/>
      <c r="C373" s="3"/>
      <c r="D373" s="14"/>
      <c r="E373" s="3"/>
    </row>
    <row r="374" spans="1:5" ht="13">
      <c r="A374" s="3"/>
      <c r="B374" s="3"/>
      <c r="C374" s="3"/>
      <c r="D374" s="14"/>
      <c r="E374" s="3"/>
    </row>
    <row r="375" spans="1:5" ht="13">
      <c r="A375" s="3"/>
      <c r="B375" s="3"/>
      <c r="C375" s="3"/>
      <c r="D375" s="14"/>
      <c r="E375" s="3"/>
    </row>
    <row r="376" spans="1:5" ht="13">
      <c r="A376" s="3"/>
      <c r="B376" s="3"/>
      <c r="C376" s="3"/>
      <c r="D376" s="14"/>
      <c r="E376" s="3"/>
    </row>
    <row r="377" spans="1:5" ht="13">
      <c r="A377" s="3"/>
      <c r="B377" s="3"/>
      <c r="C377" s="3"/>
      <c r="D377" s="14"/>
      <c r="E377" s="3"/>
    </row>
    <row r="378" spans="1:5" ht="13">
      <c r="A378" s="3"/>
      <c r="B378" s="3"/>
      <c r="C378" s="3"/>
      <c r="D378" s="14"/>
      <c r="E378" s="3"/>
    </row>
    <row r="379" spans="1:5" ht="13">
      <c r="A379" s="3"/>
      <c r="B379" s="3"/>
      <c r="C379" s="3"/>
      <c r="D379" s="14"/>
      <c r="E379" s="3"/>
    </row>
    <row r="380" spans="1:5" ht="13">
      <c r="A380" s="3"/>
      <c r="B380" s="3"/>
      <c r="C380" s="3"/>
      <c r="D380" s="14"/>
      <c r="E380" s="3"/>
    </row>
    <row r="381" spans="1:5" ht="13">
      <c r="A381" s="3"/>
      <c r="B381" s="3"/>
      <c r="C381" s="3"/>
      <c r="D381" s="14"/>
      <c r="E381" s="3"/>
    </row>
    <row r="382" spans="1:5" ht="13">
      <c r="A382" s="3"/>
      <c r="B382" s="3"/>
      <c r="C382" s="3"/>
      <c r="D382" s="14"/>
      <c r="E382" s="3"/>
    </row>
    <row r="383" spans="1:5" ht="13">
      <c r="A383" s="3"/>
      <c r="B383" s="3"/>
      <c r="C383" s="3"/>
      <c r="D383" s="14"/>
      <c r="E383" s="3"/>
    </row>
    <row r="384" spans="1:5" ht="13">
      <c r="A384" s="3"/>
      <c r="B384" s="3"/>
      <c r="C384" s="3"/>
      <c r="D384" s="14"/>
      <c r="E384" s="3"/>
    </row>
    <row r="385" spans="1:5" ht="13">
      <c r="A385" s="3"/>
      <c r="B385" s="3"/>
      <c r="C385" s="3"/>
      <c r="D385" s="14"/>
      <c r="E385" s="3"/>
    </row>
    <row r="386" spans="1:5" ht="13">
      <c r="A386" s="3"/>
      <c r="B386" s="3"/>
      <c r="C386" s="3"/>
      <c r="D386" s="14"/>
      <c r="E386" s="3"/>
    </row>
    <row r="387" spans="1:5" ht="13">
      <c r="A387" s="3"/>
      <c r="B387" s="3"/>
      <c r="C387" s="3"/>
      <c r="D387" s="14"/>
      <c r="E387" s="3"/>
    </row>
    <row r="388" spans="1:5" ht="13">
      <c r="A388" s="3"/>
      <c r="B388" s="3"/>
      <c r="C388" s="3"/>
      <c r="D388" s="14"/>
      <c r="E388" s="3"/>
    </row>
    <row r="389" spans="1:5" ht="13">
      <c r="A389" s="3"/>
      <c r="B389" s="3"/>
      <c r="C389" s="3"/>
      <c r="D389" s="14"/>
      <c r="E389" s="3"/>
    </row>
    <row r="390" spans="1:5" ht="13">
      <c r="A390" s="3"/>
      <c r="B390" s="3"/>
      <c r="C390" s="3"/>
      <c r="D390" s="14"/>
      <c r="E390" s="3"/>
    </row>
    <row r="391" spans="1:5" ht="13">
      <c r="A391" s="3"/>
      <c r="B391" s="3"/>
      <c r="C391" s="3"/>
      <c r="D391" s="14"/>
      <c r="E391" s="3"/>
    </row>
    <row r="392" spans="1:5" ht="13">
      <c r="A392" s="3"/>
      <c r="B392" s="3"/>
      <c r="C392" s="3"/>
      <c r="D392" s="14"/>
      <c r="E392" s="3"/>
    </row>
    <row r="393" spans="1:5" ht="13">
      <c r="A393" s="3"/>
      <c r="B393" s="3"/>
      <c r="C393" s="3"/>
      <c r="D393" s="14"/>
      <c r="E393" s="3"/>
    </row>
    <row r="394" spans="1:5" ht="13">
      <c r="A394" s="3"/>
      <c r="B394" s="3"/>
      <c r="C394" s="3"/>
      <c r="D394" s="14"/>
      <c r="E394" s="3"/>
    </row>
    <row r="395" spans="1:5" ht="13">
      <c r="A395" s="3"/>
      <c r="B395" s="3"/>
      <c r="C395" s="3"/>
      <c r="D395" s="14"/>
      <c r="E395" s="3"/>
    </row>
    <row r="396" spans="1:5" ht="13">
      <c r="A396" s="3"/>
      <c r="B396" s="3"/>
      <c r="C396" s="3"/>
      <c r="D396" s="14"/>
      <c r="E396" s="3"/>
    </row>
    <row r="397" spans="1:5" ht="13">
      <c r="A397" s="3"/>
      <c r="B397" s="3"/>
      <c r="C397" s="3"/>
      <c r="D397" s="14"/>
      <c r="E397" s="3"/>
    </row>
    <row r="398" spans="1:5" ht="13">
      <c r="A398" s="3"/>
      <c r="B398" s="3"/>
      <c r="C398" s="3"/>
      <c r="D398" s="14"/>
      <c r="E398" s="3"/>
    </row>
    <row r="399" spans="1:5" ht="13">
      <c r="A399" s="3"/>
      <c r="B399" s="3"/>
      <c r="C399" s="3"/>
      <c r="D399" s="14"/>
      <c r="E399" s="3"/>
    </row>
    <row r="400" spans="1:5" ht="13">
      <c r="A400" s="3"/>
      <c r="B400" s="3"/>
      <c r="C400" s="3"/>
      <c r="D400" s="14"/>
      <c r="E400" s="3"/>
    </row>
    <row r="401" spans="1:5" ht="13">
      <c r="A401" s="3"/>
      <c r="B401" s="3"/>
      <c r="C401" s="3"/>
      <c r="D401" s="14"/>
      <c r="E401" s="3"/>
    </row>
    <row r="402" spans="1:5" ht="13">
      <c r="A402" s="3"/>
      <c r="B402" s="3"/>
      <c r="C402" s="3"/>
      <c r="D402" s="14"/>
      <c r="E402" s="3"/>
    </row>
    <row r="403" spans="1:5" ht="13">
      <c r="A403" s="3"/>
      <c r="B403" s="3"/>
      <c r="C403" s="3"/>
      <c r="D403" s="14"/>
      <c r="E403" s="3"/>
    </row>
    <row r="404" spans="1:5" ht="13">
      <c r="A404" s="3"/>
      <c r="B404" s="3"/>
      <c r="C404" s="3"/>
      <c r="D404" s="14"/>
      <c r="E404" s="3"/>
    </row>
    <row r="405" spans="1:5" ht="13">
      <c r="A405" s="3"/>
      <c r="B405" s="3"/>
      <c r="C405" s="3"/>
      <c r="D405" s="14"/>
      <c r="E405" s="3"/>
    </row>
    <row r="406" spans="1:5" ht="13">
      <c r="A406" s="3"/>
      <c r="B406" s="3"/>
      <c r="C406" s="3"/>
      <c r="D406" s="14"/>
      <c r="E406" s="3"/>
    </row>
    <row r="407" spans="1:5" ht="13">
      <c r="A407" s="3"/>
      <c r="B407" s="3"/>
      <c r="C407" s="3"/>
      <c r="D407" s="14"/>
      <c r="E407" s="3"/>
    </row>
    <row r="408" spans="1:5" ht="13">
      <c r="A408" s="3"/>
      <c r="B408" s="3"/>
      <c r="C408" s="3"/>
      <c r="D408" s="14"/>
      <c r="E408" s="3"/>
    </row>
    <row r="409" spans="1:5" ht="13">
      <c r="A409" s="3"/>
      <c r="B409" s="3"/>
      <c r="C409" s="3"/>
      <c r="D409" s="14"/>
      <c r="E409" s="3"/>
    </row>
    <row r="410" spans="1:5" ht="13">
      <c r="A410" s="3"/>
      <c r="B410" s="3"/>
      <c r="C410" s="3"/>
      <c r="D410" s="14"/>
      <c r="E410" s="3"/>
    </row>
    <row r="411" spans="1:5" ht="13">
      <c r="A411" s="3"/>
      <c r="B411" s="3"/>
      <c r="C411" s="3"/>
      <c r="D411" s="14"/>
      <c r="E411" s="3"/>
    </row>
    <row r="412" spans="1:5" ht="13">
      <c r="A412" s="3"/>
      <c r="B412" s="3"/>
      <c r="C412" s="3"/>
      <c r="D412" s="14"/>
      <c r="E412" s="3"/>
    </row>
    <row r="413" spans="1:5" ht="13">
      <c r="A413" s="3"/>
      <c r="B413" s="3"/>
      <c r="C413" s="3"/>
      <c r="D413" s="14"/>
      <c r="E413" s="3"/>
    </row>
    <row r="414" spans="1:5" ht="13">
      <c r="A414" s="3"/>
      <c r="B414" s="3"/>
      <c r="C414" s="3"/>
      <c r="D414" s="14"/>
      <c r="E414" s="3"/>
    </row>
    <row r="415" spans="1:5" ht="13">
      <c r="A415" s="3"/>
      <c r="B415" s="3"/>
      <c r="C415" s="3"/>
      <c r="D415" s="14"/>
      <c r="E415" s="3"/>
    </row>
    <row r="416" spans="1:5" ht="13">
      <c r="A416" s="3"/>
      <c r="B416" s="3"/>
      <c r="C416" s="3"/>
      <c r="D416" s="14"/>
      <c r="E416" s="3"/>
    </row>
    <row r="417" spans="1:5" ht="13">
      <c r="A417" s="3"/>
      <c r="B417" s="3"/>
      <c r="C417" s="3"/>
      <c r="D417" s="14"/>
      <c r="E417" s="3"/>
    </row>
    <row r="418" spans="1:5" ht="13">
      <c r="A418" s="3"/>
      <c r="B418" s="3"/>
      <c r="C418" s="3"/>
      <c r="D418" s="14"/>
      <c r="E418" s="3"/>
    </row>
    <row r="419" spans="1:5" ht="13">
      <c r="A419" s="3"/>
      <c r="B419" s="3"/>
      <c r="C419" s="3"/>
      <c r="D419" s="14"/>
      <c r="E419" s="3"/>
    </row>
    <row r="420" spans="1:5" ht="13">
      <c r="A420" s="3"/>
      <c r="B420" s="3"/>
      <c r="C420" s="3"/>
      <c r="D420" s="14"/>
      <c r="E420" s="3"/>
    </row>
    <row r="421" spans="1:5" ht="13">
      <c r="A421" s="3"/>
      <c r="B421" s="3"/>
      <c r="C421" s="3"/>
      <c r="D421" s="14"/>
      <c r="E421" s="3"/>
    </row>
    <row r="422" spans="1:5" ht="13">
      <c r="A422" s="3"/>
      <c r="B422" s="3"/>
      <c r="C422" s="3"/>
      <c r="D422" s="14"/>
      <c r="E422" s="3"/>
    </row>
    <row r="423" spans="1:5" ht="13">
      <c r="A423" s="3"/>
      <c r="B423" s="3"/>
      <c r="C423" s="3"/>
      <c r="D423" s="14"/>
      <c r="E423" s="3"/>
    </row>
    <row r="424" spans="1:5" ht="13">
      <c r="A424" s="3"/>
      <c r="B424" s="3"/>
      <c r="C424" s="3"/>
      <c r="D424" s="14"/>
      <c r="E424" s="3"/>
    </row>
    <row r="425" spans="1:5" ht="13">
      <c r="A425" s="3"/>
      <c r="B425" s="3"/>
      <c r="C425" s="3"/>
      <c r="D425" s="14"/>
      <c r="E425" s="3"/>
    </row>
    <row r="426" spans="1:5" ht="13">
      <c r="A426" s="3"/>
      <c r="B426" s="3"/>
      <c r="C426" s="3"/>
      <c r="D426" s="14"/>
      <c r="E426" s="3"/>
    </row>
    <row r="427" spans="1:5" ht="13">
      <c r="A427" s="3"/>
      <c r="B427" s="3"/>
      <c r="C427" s="3"/>
      <c r="D427" s="14"/>
      <c r="E427" s="3"/>
    </row>
    <row r="428" spans="1:5" ht="13">
      <c r="A428" s="3"/>
      <c r="B428" s="3"/>
      <c r="C428" s="3"/>
      <c r="D428" s="14"/>
      <c r="E428" s="3"/>
    </row>
    <row r="429" spans="1:5" ht="13">
      <c r="A429" s="3"/>
      <c r="B429" s="3"/>
      <c r="C429" s="3"/>
      <c r="D429" s="14"/>
      <c r="E429" s="3"/>
    </row>
    <row r="430" spans="1:5" ht="13">
      <c r="A430" s="3"/>
      <c r="B430" s="3"/>
      <c r="C430" s="3"/>
      <c r="D430" s="14"/>
      <c r="E430" s="3"/>
    </row>
    <row r="431" spans="1:5" ht="13">
      <c r="A431" s="3"/>
      <c r="B431" s="3"/>
      <c r="C431" s="3"/>
      <c r="D431" s="14"/>
      <c r="E431" s="3"/>
    </row>
    <row r="432" spans="1:5" ht="13">
      <c r="A432" s="3"/>
      <c r="B432" s="3"/>
      <c r="C432" s="3"/>
      <c r="D432" s="14"/>
      <c r="E432" s="3"/>
    </row>
    <row r="433" spans="1:5" ht="13">
      <c r="A433" s="3"/>
      <c r="B433" s="3"/>
      <c r="C433" s="3"/>
      <c r="D433" s="14"/>
      <c r="E433" s="3"/>
    </row>
    <row r="434" spans="1:5" ht="13">
      <c r="A434" s="3"/>
      <c r="B434" s="3"/>
      <c r="C434" s="3"/>
      <c r="D434" s="14"/>
      <c r="E434" s="3"/>
    </row>
    <row r="435" spans="1:5" ht="13">
      <c r="A435" s="3"/>
      <c r="B435" s="3"/>
      <c r="C435" s="3"/>
      <c r="D435" s="14"/>
      <c r="E435" s="3"/>
    </row>
    <row r="436" spans="1:5" ht="13">
      <c r="A436" s="3"/>
      <c r="B436" s="3"/>
      <c r="C436" s="3"/>
      <c r="D436" s="14"/>
      <c r="E436" s="3"/>
    </row>
    <row r="437" spans="1:5" ht="13">
      <c r="A437" s="3"/>
      <c r="B437" s="3"/>
      <c r="C437" s="3"/>
      <c r="D437" s="14"/>
      <c r="E437" s="3"/>
    </row>
    <row r="438" spans="1:5" ht="13">
      <c r="A438" s="3"/>
      <c r="B438" s="3"/>
      <c r="C438" s="3"/>
      <c r="D438" s="14"/>
      <c r="E438" s="3"/>
    </row>
    <row r="439" spans="1:5" ht="13">
      <c r="A439" s="3"/>
      <c r="B439" s="3"/>
      <c r="C439" s="3"/>
      <c r="D439" s="14"/>
      <c r="E439" s="3"/>
    </row>
    <row r="440" spans="1:5" ht="13">
      <c r="A440" s="3"/>
      <c r="B440" s="3"/>
      <c r="C440" s="3"/>
      <c r="D440" s="14"/>
      <c r="E440" s="3"/>
    </row>
    <row r="441" spans="1:5" ht="13">
      <c r="A441" s="3"/>
      <c r="B441" s="3"/>
      <c r="C441" s="3"/>
      <c r="D441" s="14"/>
      <c r="E441" s="3"/>
    </row>
    <row r="442" spans="1:5" ht="13">
      <c r="A442" s="3"/>
      <c r="B442" s="3"/>
      <c r="C442" s="3"/>
      <c r="D442" s="14"/>
      <c r="E442" s="3"/>
    </row>
    <row r="443" spans="1:5" ht="13">
      <c r="A443" s="3"/>
      <c r="B443" s="3"/>
      <c r="C443" s="3"/>
      <c r="D443" s="14"/>
      <c r="E443" s="3"/>
    </row>
    <row r="444" spans="1:5" ht="13">
      <c r="A444" s="3"/>
      <c r="B444" s="3"/>
      <c r="C444" s="3"/>
      <c r="D444" s="14"/>
      <c r="E444" s="3"/>
    </row>
    <row r="445" spans="1:5" ht="13">
      <c r="A445" s="3"/>
      <c r="B445" s="3"/>
      <c r="C445" s="3"/>
      <c r="D445" s="14"/>
      <c r="E445" s="3"/>
    </row>
    <row r="446" spans="1:5" ht="13">
      <c r="A446" s="3"/>
      <c r="B446" s="3"/>
      <c r="C446" s="3"/>
      <c r="D446" s="14"/>
      <c r="E446" s="3"/>
    </row>
    <row r="447" spans="1:5" ht="13">
      <c r="A447" s="3"/>
      <c r="B447" s="3"/>
      <c r="C447" s="3"/>
      <c r="D447" s="14"/>
      <c r="E447" s="3"/>
    </row>
    <row r="448" spans="1:5" ht="13">
      <c r="A448" s="3"/>
      <c r="B448" s="3"/>
      <c r="C448" s="3"/>
      <c r="D448" s="14"/>
      <c r="E448" s="3"/>
    </row>
    <row r="449" spans="1:5" ht="13">
      <c r="A449" s="3"/>
      <c r="B449" s="3"/>
      <c r="C449" s="3"/>
      <c r="D449" s="14"/>
      <c r="E449" s="3"/>
    </row>
    <row r="450" spans="1:5" ht="13">
      <c r="A450" s="3"/>
      <c r="B450" s="3"/>
      <c r="C450" s="3"/>
      <c r="D450" s="14"/>
      <c r="E450" s="3"/>
    </row>
    <row r="451" spans="1:5" ht="13">
      <c r="A451" s="3"/>
      <c r="B451" s="3"/>
      <c r="C451" s="3"/>
      <c r="D451" s="14"/>
      <c r="E451" s="3"/>
    </row>
    <row r="452" spans="1:5" ht="13">
      <c r="A452" s="3"/>
      <c r="B452" s="3"/>
      <c r="C452" s="3"/>
      <c r="D452" s="14"/>
      <c r="E452" s="3"/>
    </row>
    <row r="453" spans="1:5" ht="13">
      <c r="A453" s="3"/>
      <c r="B453" s="3"/>
      <c r="C453" s="3"/>
      <c r="D453" s="14"/>
      <c r="E453" s="3"/>
    </row>
    <row r="454" spans="1:5" ht="13">
      <c r="A454" s="3"/>
      <c r="B454" s="3"/>
      <c r="C454" s="3"/>
      <c r="D454" s="14"/>
      <c r="E454" s="3"/>
    </row>
    <row r="455" spans="1:5" ht="13">
      <c r="A455" s="3"/>
      <c r="B455" s="3"/>
      <c r="C455" s="3"/>
      <c r="D455" s="14"/>
      <c r="E455" s="3"/>
    </row>
    <row r="456" spans="1:5" ht="13">
      <c r="A456" s="3"/>
      <c r="B456" s="3"/>
      <c r="C456" s="3"/>
      <c r="D456" s="14"/>
      <c r="E456" s="3"/>
    </row>
    <row r="457" spans="1:5" ht="13">
      <c r="A457" s="3"/>
      <c r="B457" s="3"/>
      <c r="C457" s="3"/>
      <c r="D457" s="14"/>
      <c r="E457" s="3"/>
    </row>
    <row r="458" spans="1:5" ht="13">
      <c r="A458" s="3"/>
      <c r="B458" s="3"/>
      <c r="C458" s="3"/>
      <c r="D458" s="14"/>
      <c r="E458" s="3"/>
    </row>
    <row r="459" spans="1:5" ht="13">
      <c r="A459" s="3"/>
      <c r="B459" s="3"/>
      <c r="C459" s="3"/>
      <c r="D459" s="14"/>
      <c r="E459" s="3"/>
    </row>
    <row r="460" spans="1:5" ht="13">
      <c r="A460" s="3"/>
      <c r="B460" s="3"/>
      <c r="C460" s="3"/>
      <c r="D460" s="14"/>
      <c r="E460" s="3"/>
    </row>
    <row r="461" spans="1:5" ht="13">
      <c r="A461" s="3"/>
      <c r="B461" s="3"/>
      <c r="C461" s="3"/>
      <c r="D461" s="14"/>
      <c r="E461" s="3"/>
    </row>
    <row r="462" spans="1:5" ht="13">
      <c r="A462" s="3"/>
      <c r="B462" s="3"/>
      <c r="C462" s="3"/>
      <c r="D462" s="14"/>
      <c r="E462" s="3"/>
    </row>
    <row r="463" spans="1:5" ht="13">
      <c r="A463" s="3"/>
      <c r="B463" s="3"/>
      <c r="C463" s="3"/>
      <c r="D463" s="14"/>
      <c r="E463" s="3"/>
    </row>
    <row r="464" spans="1:5" ht="13">
      <c r="A464" s="3"/>
      <c r="B464" s="3"/>
      <c r="C464" s="3"/>
      <c r="D464" s="14"/>
      <c r="E464" s="3"/>
    </row>
    <row r="465" spans="1:5" ht="13">
      <c r="A465" s="3"/>
      <c r="B465" s="3"/>
      <c r="C465" s="3"/>
      <c r="D465" s="14"/>
      <c r="E465" s="3"/>
    </row>
    <row r="466" spans="1:5" ht="13">
      <c r="A466" s="3"/>
      <c r="B466" s="3"/>
      <c r="C466" s="3"/>
      <c r="D466" s="14"/>
      <c r="E466" s="3"/>
    </row>
    <row r="467" spans="1:5" ht="13">
      <c r="A467" s="3"/>
      <c r="B467" s="3"/>
      <c r="C467" s="3"/>
      <c r="D467" s="14"/>
      <c r="E467" s="3"/>
    </row>
    <row r="468" spans="1:5" ht="13">
      <c r="A468" s="3"/>
      <c r="B468" s="3"/>
      <c r="C468" s="3"/>
      <c r="D468" s="14"/>
      <c r="E468" s="3"/>
    </row>
    <row r="469" spans="1:5" ht="13">
      <c r="A469" s="3"/>
      <c r="B469" s="3"/>
      <c r="C469" s="3"/>
      <c r="D469" s="14"/>
      <c r="E469" s="3"/>
    </row>
    <row r="470" spans="1:5" ht="13">
      <c r="A470" s="3"/>
      <c r="B470" s="3"/>
      <c r="C470" s="3"/>
      <c r="D470" s="14"/>
      <c r="E470" s="3"/>
    </row>
    <row r="471" spans="1:5" ht="13">
      <c r="A471" s="3"/>
      <c r="B471" s="3"/>
      <c r="C471" s="3"/>
      <c r="D471" s="14"/>
      <c r="E471" s="3"/>
    </row>
    <row r="472" spans="1:5" ht="13">
      <c r="A472" s="3"/>
      <c r="B472" s="3"/>
      <c r="C472" s="3"/>
      <c r="D472" s="14"/>
      <c r="E472" s="3"/>
    </row>
    <row r="473" spans="1:5" ht="13">
      <c r="A473" s="3"/>
      <c r="B473" s="3"/>
      <c r="C473" s="3"/>
      <c r="D473" s="14"/>
      <c r="E473" s="3"/>
    </row>
    <row r="474" spans="1:5" ht="13">
      <c r="A474" s="3"/>
      <c r="B474" s="3"/>
      <c r="C474" s="3"/>
      <c r="D474" s="14"/>
      <c r="E474" s="3"/>
    </row>
    <row r="475" spans="1:5" ht="13">
      <c r="A475" s="3"/>
      <c r="B475" s="3"/>
      <c r="C475" s="3"/>
      <c r="D475" s="14"/>
      <c r="E475" s="3"/>
    </row>
    <row r="476" spans="1:5" ht="13">
      <c r="A476" s="3"/>
      <c r="B476" s="3"/>
      <c r="C476" s="3"/>
      <c r="D476" s="14"/>
      <c r="E476" s="3"/>
    </row>
    <row r="477" spans="1:5" ht="13">
      <c r="A477" s="3"/>
      <c r="B477" s="3"/>
      <c r="C477" s="3"/>
      <c r="D477" s="14"/>
      <c r="E477" s="3"/>
    </row>
    <row r="478" spans="1:5" ht="13">
      <c r="A478" s="3"/>
      <c r="B478" s="3"/>
      <c r="C478" s="3"/>
      <c r="D478" s="14"/>
      <c r="E478" s="3"/>
    </row>
    <row r="479" spans="1:5" ht="13">
      <c r="A479" s="3"/>
      <c r="B479" s="3"/>
      <c r="C479" s="3"/>
      <c r="D479" s="14"/>
      <c r="E479" s="3"/>
    </row>
    <row r="480" spans="1:5" ht="13">
      <c r="A480" s="3"/>
      <c r="B480" s="3"/>
      <c r="C480" s="3"/>
      <c r="D480" s="14"/>
      <c r="E480" s="3"/>
    </row>
    <row r="481" spans="1:5" ht="13">
      <c r="A481" s="3"/>
      <c r="B481" s="3"/>
      <c r="C481" s="3"/>
      <c r="D481" s="14"/>
      <c r="E481" s="3"/>
    </row>
    <row r="482" spans="1:5" ht="13">
      <c r="A482" s="3"/>
      <c r="B482" s="3"/>
      <c r="C482" s="3"/>
      <c r="D482" s="14"/>
      <c r="E482" s="3"/>
    </row>
    <row r="483" spans="1:5" ht="13">
      <c r="A483" s="3"/>
      <c r="B483" s="3"/>
      <c r="C483" s="3"/>
      <c r="D483" s="14"/>
      <c r="E483" s="3"/>
    </row>
    <row r="484" spans="1:5" ht="13">
      <c r="A484" s="3"/>
      <c r="B484" s="3"/>
      <c r="C484" s="3"/>
      <c r="D484" s="14"/>
      <c r="E484" s="3"/>
    </row>
    <row r="485" spans="1:5" ht="13">
      <c r="A485" s="3"/>
      <c r="B485" s="3"/>
      <c r="C485" s="3"/>
      <c r="D485" s="14"/>
      <c r="E485" s="3"/>
    </row>
    <row r="486" spans="1:5" ht="13">
      <c r="A486" s="3"/>
      <c r="B486" s="3"/>
      <c r="C486" s="3"/>
      <c r="D486" s="14"/>
      <c r="E486" s="3"/>
    </row>
    <row r="487" spans="1:5" ht="13">
      <c r="A487" s="3"/>
      <c r="B487" s="3"/>
      <c r="C487" s="3"/>
      <c r="D487" s="14"/>
      <c r="E487" s="3"/>
    </row>
    <row r="488" spans="1:5" ht="13">
      <c r="A488" s="3"/>
      <c r="B488" s="3"/>
      <c r="C488" s="3"/>
      <c r="D488" s="14"/>
      <c r="E488" s="3"/>
    </row>
    <row r="489" spans="1:5" ht="13">
      <c r="A489" s="3"/>
      <c r="B489" s="3"/>
      <c r="C489" s="3"/>
      <c r="D489" s="14"/>
      <c r="E489" s="3"/>
    </row>
    <row r="490" spans="1:5" ht="13">
      <c r="A490" s="3"/>
      <c r="B490" s="3"/>
      <c r="C490" s="3"/>
      <c r="D490" s="14"/>
      <c r="E490" s="3"/>
    </row>
    <row r="491" spans="1:5" ht="13">
      <c r="A491" s="3"/>
      <c r="B491" s="3"/>
      <c r="C491" s="3"/>
      <c r="D491" s="14"/>
      <c r="E491" s="3"/>
    </row>
    <row r="492" spans="1:5" ht="13">
      <c r="A492" s="3"/>
      <c r="B492" s="3"/>
      <c r="C492" s="3"/>
      <c r="D492" s="14"/>
      <c r="E492" s="3"/>
    </row>
    <row r="493" spans="1:5" ht="13">
      <c r="A493" s="3"/>
      <c r="B493" s="3"/>
      <c r="C493" s="3"/>
      <c r="D493" s="14"/>
      <c r="E493" s="3"/>
    </row>
    <row r="494" spans="1:5" ht="13">
      <c r="A494" s="3"/>
      <c r="B494" s="3"/>
      <c r="C494" s="3"/>
      <c r="D494" s="14"/>
      <c r="E494" s="3"/>
    </row>
    <row r="495" spans="1:5" ht="13">
      <c r="A495" s="3"/>
      <c r="B495" s="3"/>
      <c r="C495" s="3"/>
      <c r="D495" s="14"/>
      <c r="E495" s="3"/>
    </row>
    <row r="496" spans="1:5" ht="13">
      <c r="A496" s="3"/>
      <c r="B496" s="3"/>
      <c r="C496" s="3"/>
      <c r="D496" s="14"/>
      <c r="E496" s="3"/>
    </row>
    <row r="497" spans="1:5" ht="13">
      <c r="A497" s="3"/>
      <c r="B497" s="3"/>
      <c r="C497" s="3"/>
      <c r="D497" s="14"/>
      <c r="E497" s="3"/>
    </row>
    <row r="498" spans="1:5" ht="13">
      <c r="A498" s="3"/>
      <c r="B498" s="3"/>
      <c r="C498" s="3"/>
      <c r="D498" s="14"/>
      <c r="E498" s="3"/>
    </row>
    <row r="499" spans="1:5" ht="13">
      <c r="A499" s="3"/>
      <c r="B499" s="3"/>
      <c r="C499" s="3"/>
      <c r="D499" s="14"/>
      <c r="E499" s="3"/>
    </row>
    <row r="500" spans="1:5" ht="13">
      <c r="A500" s="3"/>
      <c r="B500" s="3"/>
      <c r="C500" s="3"/>
      <c r="D500" s="14"/>
      <c r="E500" s="3"/>
    </row>
    <row r="501" spans="1:5" ht="13">
      <c r="A501" s="3"/>
      <c r="B501" s="3"/>
      <c r="C501" s="3"/>
      <c r="D501" s="14"/>
      <c r="E501" s="3"/>
    </row>
    <row r="502" spans="1:5" ht="13">
      <c r="A502" s="3"/>
      <c r="B502" s="3"/>
      <c r="C502" s="3"/>
      <c r="D502" s="14"/>
      <c r="E502" s="3"/>
    </row>
    <row r="503" spans="1:5" ht="13">
      <c r="A503" s="3"/>
      <c r="B503" s="3"/>
      <c r="C503" s="3"/>
      <c r="D503" s="14"/>
      <c r="E503" s="3"/>
    </row>
    <row r="504" spans="1:5" ht="13">
      <c r="A504" s="3"/>
      <c r="B504" s="3"/>
      <c r="C504" s="3"/>
      <c r="D504" s="14"/>
      <c r="E504" s="3"/>
    </row>
    <row r="505" spans="1:5" ht="13">
      <c r="A505" s="3"/>
      <c r="B505" s="3"/>
      <c r="C505" s="3"/>
      <c r="D505" s="14"/>
      <c r="E505" s="3"/>
    </row>
    <row r="506" spans="1:5" ht="13">
      <c r="A506" s="3"/>
      <c r="B506" s="3"/>
      <c r="C506" s="3"/>
      <c r="D506" s="14"/>
      <c r="E506" s="3"/>
    </row>
    <row r="507" spans="1:5" ht="13">
      <c r="A507" s="3"/>
      <c r="B507" s="3"/>
      <c r="C507" s="3"/>
      <c r="D507" s="14"/>
      <c r="E507" s="3"/>
    </row>
    <row r="508" spans="1:5" ht="13">
      <c r="A508" s="3"/>
      <c r="B508" s="3"/>
      <c r="C508" s="3"/>
      <c r="D508" s="14"/>
      <c r="E508" s="3"/>
    </row>
    <row r="509" spans="1:5" ht="13">
      <c r="A509" s="3"/>
      <c r="B509" s="3"/>
      <c r="C509" s="3"/>
      <c r="D509" s="14"/>
      <c r="E509" s="3"/>
    </row>
    <row r="510" spans="1:5" ht="13">
      <c r="A510" s="3"/>
      <c r="B510" s="3"/>
      <c r="C510" s="3"/>
      <c r="D510" s="14"/>
      <c r="E510" s="3"/>
    </row>
    <row r="511" spans="1:5" ht="13">
      <c r="A511" s="3"/>
      <c r="B511" s="3"/>
      <c r="C511" s="3"/>
      <c r="D511" s="14"/>
      <c r="E511" s="3"/>
    </row>
    <row r="512" spans="1:5" ht="13">
      <c r="A512" s="3"/>
      <c r="B512" s="3"/>
      <c r="C512" s="3"/>
      <c r="D512" s="14"/>
      <c r="E512" s="3"/>
    </row>
    <row r="513" spans="1:5" ht="13">
      <c r="A513" s="3"/>
      <c r="B513" s="3"/>
      <c r="C513" s="3"/>
      <c r="D513" s="14"/>
      <c r="E513" s="3"/>
    </row>
    <row r="514" spans="1:5" ht="13">
      <c r="A514" s="3"/>
      <c r="B514" s="3"/>
      <c r="C514" s="3"/>
      <c r="D514" s="14"/>
      <c r="E514" s="3"/>
    </row>
    <row r="515" spans="1:5" ht="13">
      <c r="A515" s="3"/>
      <c r="B515" s="3"/>
      <c r="C515" s="3"/>
      <c r="D515" s="14"/>
      <c r="E515" s="3"/>
    </row>
    <row r="516" spans="1:5" ht="13">
      <c r="A516" s="3"/>
      <c r="B516" s="3"/>
      <c r="C516" s="3"/>
      <c r="D516" s="14"/>
      <c r="E516" s="3"/>
    </row>
    <row r="517" spans="1:5" ht="13">
      <c r="A517" s="3"/>
      <c r="B517" s="3"/>
      <c r="C517" s="3"/>
      <c r="D517" s="14"/>
      <c r="E517" s="3"/>
    </row>
    <row r="518" spans="1:5" ht="13">
      <c r="A518" s="3"/>
      <c r="B518" s="3"/>
      <c r="C518" s="3"/>
      <c r="D518" s="14"/>
      <c r="E518" s="3"/>
    </row>
    <row r="519" spans="1:5" ht="13">
      <c r="A519" s="3"/>
      <c r="B519" s="3"/>
      <c r="C519" s="3"/>
      <c r="D519" s="14"/>
      <c r="E519" s="3"/>
    </row>
    <row r="520" spans="1:5" ht="13">
      <c r="A520" s="3"/>
      <c r="B520" s="3"/>
      <c r="C520" s="3"/>
      <c r="D520" s="14"/>
      <c r="E520" s="3"/>
    </row>
    <row r="521" spans="1:5" ht="13">
      <c r="A521" s="3"/>
      <c r="B521" s="3"/>
      <c r="C521" s="3"/>
      <c r="D521" s="14"/>
      <c r="E521" s="3"/>
    </row>
    <row r="522" spans="1:5" ht="13">
      <c r="A522" s="3"/>
      <c r="B522" s="3"/>
      <c r="C522" s="3"/>
      <c r="D522" s="14"/>
      <c r="E522" s="3"/>
    </row>
    <row r="523" spans="1:5" ht="13">
      <c r="A523" s="3"/>
      <c r="B523" s="3"/>
      <c r="C523" s="3"/>
      <c r="D523" s="14"/>
      <c r="E523" s="3"/>
    </row>
    <row r="524" spans="1:5" ht="13">
      <c r="A524" s="3"/>
      <c r="B524" s="3"/>
      <c r="C524" s="3"/>
      <c r="D524" s="14"/>
      <c r="E524" s="3"/>
    </row>
    <row r="525" spans="1:5" ht="13">
      <c r="A525" s="3"/>
      <c r="B525" s="3"/>
      <c r="C525" s="3"/>
      <c r="D525" s="14"/>
      <c r="E525" s="3"/>
    </row>
    <row r="526" spans="1:5" ht="13">
      <c r="A526" s="3"/>
      <c r="B526" s="3"/>
      <c r="C526" s="3"/>
      <c r="D526" s="14"/>
      <c r="E526" s="3"/>
    </row>
    <row r="527" spans="1:5" ht="13">
      <c r="A527" s="3"/>
      <c r="B527" s="3"/>
      <c r="C527" s="3"/>
      <c r="D527" s="14"/>
      <c r="E527" s="3"/>
    </row>
    <row r="528" spans="1:5" ht="13">
      <c r="A528" s="3"/>
      <c r="B528" s="3"/>
      <c r="C528" s="3"/>
      <c r="D528" s="14"/>
      <c r="E528" s="3"/>
    </row>
    <row r="529" spans="1:5" ht="13">
      <c r="A529" s="3"/>
      <c r="B529" s="3"/>
      <c r="C529" s="3"/>
      <c r="D529" s="14"/>
      <c r="E529" s="3"/>
    </row>
    <row r="530" spans="1:5" ht="13">
      <c r="A530" s="3"/>
      <c r="B530" s="3"/>
      <c r="C530" s="3"/>
      <c r="D530" s="14"/>
      <c r="E530" s="3"/>
    </row>
    <row r="531" spans="1:5" ht="13">
      <c r="A531" s="3"/>
      <c r="B531" s="3"/>
      <c r="C531" s="3"/>
      <c r="D531" s="14"/>
      <c r="E531" s="3"/>
    </row>
    <row r="532" spans="1:5" ht="13">
      <c r="A532" s="3"/>
      <c r="B532" s="3"/>
      <c r="C532" s="3"/>
      <c r="D532" s="14"/>
      <c r="E532" s="3"/>
    </row>
    <row r="533" spans="1:5" ht="13">
      <c r="A533" s="3"/>
      <c r="B533" s="3"/>
      <c r="C533" s="3"/>
      <c r="D533" s="14"/>
      <c r="E533" s="3"/>
    </row>
    <row r="534" spans="1:5" ht="13">
      <c r="A534" s="3"/>
      <c r="B534" s="3"/>
      <c r="C534" s="3"/>
      <c r="D534" s="14"/>
      <c r="E534" s="3"/>
    </row>
    <row r="535" spans="1:5" ht="13">
      <c r="A535" s="3"/>
      <c r="B535" s="3"/>
      <c r="C535" s="3"/>
      <c r="D535" s="14"/>
      <c r="E535" s="3"/>
    </row>
    <row r="536" spans="1:5" ht="13">
      <c r="A536" s="3"/>
      <c r="B536" s="3"/>
      <c r="C536" s="3"/>
      <c r="D536" s="14"/>
      <c r="E536" s="3"/>
    </row>
    <row r="537" spans="1:5" ht="13">
      <c r="A537" s="3"/>
      <c r="B537" s="3"/>
      <c r="C537" s="3"/>
      <c r="D537" s="14"/>
      <c r="E537" s="3"/>
    </row>
    <row r="538" spans="1:5" ht="13">
      <c r="A538" s="3"/>
      <c r="B538" s="3"/>
      <c r="C538" s="3"/>
      <c r="D538" s="14"/>
      <c r="E538" s="3"/>
    </row>
    <row r="539" spans="1:5" ht="13">
      <c r="A539" s="3"/>
      <c r="B539" s="3"/>
      <c r="C539" s="3"/>
      <c r="D539" s="14"/>
      <c r="E539" s="3"/>
    </row>
    <row r="540" spans="1:5" ht="13">
      <c r="A540" s="3"/>
      <c r="B540" s="3"/>
      <c r="C540" s="3"/>
      <c r="D540" s="14"/>
      <c r="E540" s="3"/>
    </row>
    <row r="541" spans="1:5" ht="13">
      <c r="A541" s="3"/>
      <c r="B541" s="3"/>
      <c r="C541" s="3"/>
      <c r="D541" s="14"/>
      <c r="E541" s="3"/>
    </row>
    <row r="542" spans="1:5" ht="13">
      <c r="A542" s="3"/>
      <c r="B542" s="3"/>
      <c r="C542" s="3"/>
      <c r="D542" s="14"/>
      <c r="E542" s="3"/>
    </row>
    <row r="543" spans="1:5" ht="13">
      <c r="A543" s="3"/>
      <c r="B543" s="3"/>
      <c r="C543" s="3"/>
      <c r="D543" s="14"/>
      <c r="E543" s="3"/>
    </row>
    <row r="544" spans="1:5" ht="13">
      <c r="A544" s="3"/>
      <c r="B544" s="3"/>
      <c r="C544" s="3"/>
      <c r="D544" s="14"/>
      <c r="E544" s="3"/>
    </row>
    <row r="545" spans="1:5" ht="13">
      <c r="A545" s="3"/>
      <c r="B545" s="3"/>
      <c r="C545" s="3"/>
      <c r="D545" s="14"/>
      <c r="E545" s="3"/>
    </row>
    <row r="546" spans="1:5" ht="13">
      <c r="A546" s="3"/>
      <c r="B546" s="3"/>
      <c r="C546" s="3"/>
      <c r="D546" s="14"/>
      <c r="E546" s="3"/>
    </row>
    <row r="547" spans="1:5" ht="13">
      <c r="A547" s="3"/>
      <c r="B547" s="3"/>
      <c r="C547" s="3"/>
      <c r="D547" s="14"/>
      <c r="E547" s="3"/>
    </row>
    <row r="548" spans="1:5" ht="13">
      <c r="A548" s="3"/>
      <c r="B548" s="3"/>
      <c r="C548" s="3"/>
      <c r="D548" s="14"/>
      <c r="E548" s="3"/>
    </row>
    <row r="549" spans="1:5" ht="13">
      <c r="A549" s="3"/>
      <c r="B549" s="3"/>
      <c r="C549" s="3"/>
      <c r="D549" s="14"/>
      <c r="E549" s="3"/>
    </row>
    <row r="550" spans="1:5" ht="13">
      <c r="A550" s="3"/>
      <c r="B550" s="3"/>
      <c r="C550" s="3"/>
      <c r="D550" s="14"/>
      <c r="E550" s="3"/>
    </row>
    <row r="551" spans="1:5" ht="13">
      <c r="A551" s="3"/>
      <c r="B551" s="3"/>
      <c r="C551" s="3"/>
      <c r="D551" s="14"/>
      <c r="E551" s="3"/>
    </row>
    <row r="552" spans="1:5" ht="13">
      <c r="A552" s="3"/>
      <c r="B552" s="3"/>
      <c r="C552" s="3"/>
      <c r="D552" s="14"/>
      <c r="E552" s="3"/>
    </row>
    <row r="553" spans="1:5" ht="13">
      <c r="A553" s="3"/>
      <c r="B553" s="3"/>
      <c r="C553" s="3"/>
      <c r="D553" s="14"/>
      <c r="E553" s="3"/>
    </row>
    <row r="554" spans="1:5" ht="13">
      <c r="A554" s="3"/>
      <c r="B554" s="3"/>
      <c r="C554" s="3"/>
      <c r="D554" s="14"/>
      <c r="E554" s="3"/>
    </row>
    <row r="555" spans="1:5" ht="13">
      <c r="A555" s="3"/>
      <c r="B555" s="3"/>
      <c r="C555" s="3"/>
      <c r="D555" s="14"/>
      <c r="E555" s="3"/>
    </row>
    <row r="556" spans="1:5" ht="13">
      <c r="A556" s="3"/>
      <c r="B556" s="3"/>
      <c r="C556" s="3"/>
      <c r="D556" s="14"/>
      <c r="E556" s="3"/>
    </row>
    <row r="557" spans="1:5" ht="13">
      <c r="A557" s="3"/>
      <c r="B557" s="3"/>
      <c r="C557" s="3"/>
      <c r="D557" s="14"/>
      <c r="E557" s="3"/>
    </row>
    <row r="558" spans="1:5" ht="13">
      <c r="A558" s="3"/>
      <c r="B558" s="3"/>
      <c r="C558" s="3"/>
      <c r="D558" s="14"/>
      <c r="E558" s="3"/>
    </row>
    <row r="559" spans="1:5" ht="13">
      <c r="A559" s="3"/>
      <c r="B559" s="3"/>
      <c r="C559" s="3"/>
      <c r="D559" s="14"/>
      <c r="E559" s="3"/>
    </row>
    <row r="560" spans="1:5" ht="13">
      <c r="A560" s="3"/>
      <c r="B560" s="3"/>
      <c r="C560" s="3"/>
      <c r="D560" s="14"/>
      <c r="E560" s="3"/>
    </row>
    <row r="561" spans="1:5" ht="13">
      <c r="A561" s="3"/>
      <c r="B561" s="3"/>
      <c r="C561" s="3"/>
      <c r="D561" s="14"/>
      <c r="E561" s="3"/>
    </row>
    <row r="562" spans="1:5" ht="13">
      <c r="A562" s="3"/>
      <c r="B562" s="3"/>
      <c r="C562" s="3"/>
      <c r="D562" s="14"/>
      <c r="E562" s="3"/>
    </row>
    <row r="563" spans="1:5" ht="13">
      <c r="A563" s="3"/>
      <c r="B563" s="3"/>
      <c r="C563" s="3"/>
      <c r="D563" s="14"/>
      <c r="E563" s="3"/>
    </row>
    <row r="564" spans="1:5" ht="13">
      <c r="A564" s="3"/>
      <c r="B564" s="3"/>
      <c r="C564" s="3"/>
      <c r="D564" s="14"/>
      <c r="E564" s="3"/>
    </row>
    <row r="565" spans="1:5" ht="13">
      <c r="A565" s="3"/>
      <c r="B565" s="3"/>
      <c r="C565" s="3"/>
      <c r="D565" s="14"/>
      <c r="E565" s="3"/>
    </row>
    <row r="566" spans="1:5" ht="13">
      <c r="A566" s="3"/>
      <c r="B566" s="3"/>
      <c r="C566" s="3"/>
      <c r="D566" s="14"/>
      <c r="E566" s="3"/>
    </row>
    <row r="567" spans="1:5" ht="13">
      <c r="A567" s="3"/>
      <c r="B567" s="3"/>
      <c r="C567" s="3"/>
      <c r="D567" s="14"/>
      <c r="E567" s="3"/>
    </row>
    <row r="568" spans="1:5" ht="13">
      <c r="A568" s="3"/>
      <c r="B568" s="3"/>
      <c r="C568" s="3"/>
      <c r="D568" s="14"/>
      <c r="E568" s="3"/>
    </row>
    <row r="569" spans="1:5" ht="13">
      <c r="A569" s="3"/>
      <c r="B569" s="3"/>
      <c r="C569" s="3"/>
      <c r="D569" s="14"/>
      <c r="E569" s="3"/>
    </row>
    <row r="570" spans="1:5" ht="13">
      <c r="A570" s="3"/>
      <c r="B570" s="3"/>
      <c r="C570" s="3"/>
      <c r="D570" s="14"/>
      <c r="E570" s="3"/>
    </row>
    <row r="571" spans="1:5" ht="13">
      <c r="A571" s="3"/>
      <c r="B571" s="3"/>
      <c r="C571" s="3"/>
      <c r="D571" s="14"/>
      <c r="E571" s="3"/>
    </row>
    <row r="572" spans="1:5" ht="13">
      <c r="A572" s="3"/>
      <c r="B572" s="3"/>
      <c r="C572" s="3"/>
      <c r="D572" s="14"/>
      <c r="E572" s="3"/>
    </row>
    <row r="573" spans="1:5" ht="13">
      <c r="A573" s="3"/>
      <c r="B573" s="3"/>
      <c r="C573" s="3"/>
      <c r="D573" s="14"/>
      <c r="E573" s="3"/>
    </row>
    <row r="574" spans="1:5" ht="13">
      <c r="A574" s="3"/>
      <c r="B574" s="3"/>
      <c r="C574" s="3"/>
      <c r="D574" s="14"/>
      <c r="E574" s="3"/>
    </row>
    <row r="575" spans="1:5" ht="13">
      <c r="A575" s="3"/>
      <c r="B575" s="3"/>
      <c r="C575" s="3"/>
      <c r="D575" s="14"/>
      <c r="E575" s="3"/>
    </row>
    <row r="576" spans="1:5" ht="13">
      <c r="A576" s="3"/>
      <c r="B576" s="3"/>
      <c r="C576" s="3"/>
      <c r="D576" s="14"/>
      <c r="E576" s="3"/>
    </row>
    <row r="577" spans="1:5" ht="13">
      <c r="A577" s="3"/>
      <c r="B577" s="3"/>
      <c r="C577" s="3"/>
      <c r="D577" s="14"/>
      <c r="E577" s="3"/>
    </row>
    <row r="578" spans="1:5" ht="13">
      <c r="A578" s="3"/>
      <c r="B578" s="3"/>
      <c r="C578" s="3"/>
      <c r="D578" s="14"/>
      <c r="E578" s="3"/>
    </row>
    <row r="579" spans="1:5" ht="13">
      <c r="A579" s="3"/>
      <c r="B579" s="3"/>
      <c r="C579" s="3"/>
      <c r="D579" s="14"/>
      <c r="E579" s="3"/>
    </row>
    <row r="580" spans="1:5" ht="13">
      <c r="A580" s="3"/>
      <c r="B580" s="3"/>
      <c r="C580" s="3"/>
      <c r="D580" s="14"/>
      <c r="E580" s="3"/>
    </row>
    <row r="581" spans="1:5" ht="13">
      <c r="A581" s="3"/>
      <c r="B581" s="3"/>
      <c r="C581" s="3"/>
      <c r="D581" s="14"/>
      <c r="E581" s="3"/>
    </row>
    <row r="582" spans="1:5" ht="13">
      <c r="A582" s="3"/>
      <c r="B582" s="3"/>
      <c r="C582" s="3"/>
      <c r="D582" s="14"/>
      <c r="E582" s="3"/>
    </row>
    <row r="583" spans="1:5" ht="13">
      <c r="A583" s="3"/>
      <c r="B583" s="3"/>
      <c r="C583" s="3"/>
      <c r="D583" s="14"/>
      <c r="E583" s="3"/>
    </row>
    <row r="584" spans="1:5" ht="13">
      <c r="A584" s="3"/>
      <c r="B584" s="3"/>
      <c r="C584" s="3"/>
      <c r="D584" s="14"/>
      <c r="E584" s="3"/>
    </row>
    <row r="585" spans="1:5" ht="13">
      <c r="A585" s="3"/>
      <c r="B585" s="3"/>
      <c r="C585" s="3"/>
      <c r="D585" s="14"/>
      <c r="E585" s="3"/>
    </row>
    <row r="586" spans="1:5" ht="13">
      <c r="A586" s="3"/>
      <c r="B586" s="3"/>
      <c r="C586" s="3"/>
      <c r="D586" s="14"/>
      <c r="E586" s="3"/>
    </row>
    <row r="587" spans="1:5" ht="13">
      <c r="A587" s="3"/>
      <c r="B587" s="3"/>
      <c r="C587" s="3"/>
      <c r="D587" s="14"/>
      <c r="E587" s="3"/>
    </row>
    <row r="588" spans="1:5" ht="13">
      <c r="A588" s="3"/>
      <c r="B588" s="3"/>
      <c r="C588" s="3"/>
      <c r="D588" s="14"/>
      <c r="E588" s="3"/>
    </row>
    <row r="589" spans="1:5" ht="13">
      <c r="A589" s="3"/>
      <c r="B589" s="3"/>
      <c r="C589" s="3"/>
      <c r="D589" s="14"/>
      <c r="E589" s="3"/>
    </row>
    <row r="590" spans="1:5" ht="13">
      <c r="A590" s="3"/>
      <c r="B590" s="3"/>
      <c r="C590" s="3"/>
      <c r="D590" s="14"/>
      <c r="E590" s="3"/>
    </row>
    <row r="591" spans="1:5" ht="13">
      <c r="A591" s="3"/>
      <c r="B591" s="3"/>
      <c r="C591" s="3"/>
      <c r="D591" s="14"/>
      <c r="E591" s="3"/>
    </row>
    <row r="592" spans="1:5" ht="13">
      <c r="A592" s="3"/>
      <c r="B592" s="3"/>
      <c r="C592" s="3"/>
      <c r="D592" s="14"/>
      <c r="E592" s="3"/>
    </row>
    <row r="593" spans="1:5" ht="13">
      <c r="A593" s="3"/>
      <c r="B593" s="3"/>
      <c r="C593" s="3"/>
      <c r="D593" s="14"/>
      <c r="E593" s="3"/>
    </row>
    <row r="594" spans="1:5" ht="13">
      <c r="A594" s="3"/>
      <c r="B594" s="3"/>
      <c r="C594" s="3"/>
      <c r="D594" s="14"/>
      <c r="E594" s="3"/>
    </row>
    <row r="595" spans="1:5" ht="13">
      <c r="A595" s="3"/>
      <c r="B595" s="3"/>
      <c r="C595" s="3"/>
      <c r="D595" s="14"/>
      <c r="E595" s="3"/>
    </row>
    <row r="596" spans="1:5" ht="13">
      <c r="A596" s="3"/>
      <c r="B596" s="3"/>
      <c r="C596" s="3"/>
      <c r="D596" s="14"/>
      <c r="E596" s="3"/>
    </row>
    <row r="597" spans="1:5" ht="13">
      <c r="A597" s="3"/>
      <c r="B597" s="3"/>
      <c r="C597" s="3"/>
      <c r="D597" s="14"/>
      <c r="E597" s="3"/>
    </row>
    <row r="598" spans="1:5" ht="13">
      <c r="A598" s="3"/>
      <c r="B598" s="3"/>
      <c r="C598" s="3"/>
      <c r="D598" s="14"/>
      <c r="E598" s="3"/>
    </row>
    <row r="599" spans="1:5" ht="13">
      <c r="A599" s="3"/>
      <c r="B599" s="3"/>
      <c r="C599" s="3"/>
      <c r="D599" s="14"/>
      <c r="E599" s="3"/>
    </row>
    <row r="600" spans="1:5" ht="13">
      <c r="A600" s="3"/>
      <c r="B600" s="3"/>
      <c r="C600" s="3"/>
      <c r="D600" s="14"/>
      <c r="E600" s="3"/>
    </row>
    <row r="601" spans="1:5" ht="13">
      <c r="A601" s="3"/>
      <c r="B601" s="3"/>
      <c r="C601" s="3"/>
      <c r="D601" s="14"/>
      <c r="E601" s="3"/>
    </row>
    <row r="602" spans="1:5" ht="13">
      <c r="A602" s="3"/>
      <c r="B602" s="3"/>
      <c r="C602" s="3"/>
      <c r="D602" s="14"/>
      <c r="E602" s="3"/>
    </row>
    <row r="603" spans="1:5" ht="13">
      <c r="A603" s="3"/>
      <c r="B603" s="3"/>
      <c r="C603" s="3"/>
      <c r="D603" s="14"/>
      <c r="E603" s="3"/>
    </row>
    <row r="604" spans="1:5" ht="13">
      <c r="A604" s="3"/>
      <c r="B604" s="3"/>
      <c r="C604" s="3"/>
      <c r="D604" s="14"/>
      <c r="E604" s="3"/>
    </row>
    <row r="605" spans="1:5" ht="13">
      <c r="A605" s="3"/>
      <c r="B605" s="3"/>
      <c r="C605" s="3"/>
      <c r="D605" s="14"/>
      <c r="E605" s="3"/>
    </row>
    <row r="606" spans="1:5" ht="13">
      <c r="A606" s="3"/>
      <c r="B606" s="3"/>
      <c r="C606" s="3"/>
      <c r="D606" s="14"/>
      <c r="E606" s="3"/>
    </row>
    <row r="607" spans="1:5" ht="13">
      <c r="A607" s="3"/>
      <c r="B607" s="3"/>
      <c r="C607" s="3"/>
      <c r="D607" s="14"/>
      <c r="E607" s="3"/>
    </row>
    <row r="608" spans="1:5" ht="13">
      <c r="A608" s="3"/>
      <c r="B608" s="3"/>
      <c r="C608" s="3"/>
      <c r="D608" s="14"/>
      <c r="E608" s="3"/>
    </row>
    <row r="609" spans="1:5" ht="13">
      <c r="A609" s="3"/>
      <c r="B609" s="3"/>
      <c r="C609" s="3"/>
      <c r="D609" s="14"/>
      <c r="E609" s="3"/>
    </row>
    <row r="610" spans="1:5" ht="13">
      <c r="A610" s="3"/>
      <c r="B610" s="3"/>
      <c r="C610" s="3"/>
      <c r="D610" s="14"/>
      <c r="E610" s="3"/>
    </row>
    <row r="611" spans="1:5" ht="13">
      <c r="A611" s="3"/>
      <c r="B611" s="3"/>
      <c r="C611" s="3"/>
      <c r="D611" s="14"/>
      <c r="E611" s="3"/>
    </row>
    <row r="612" spans="1:5" ht="13">
      <c r="A612" s="3"/>
      <c r="B612" s="3"/>
      <c r="C612" s="3"/>
      <c r="D612" s="14"/>
      <c r="E612" s="3"/>
    </row>
    <row r="613" spans="1:5" ht="13">
      <c r="A613" s="3"/>
      <c r="B613" s="3"/>
      <c r="C613" s="3"/>
      <c r="D613" s="14"/>
      <c r="E613" s="3"/>
    </row>
    <row r="614" spans="1:5" ht="13">
      <c r="A614" s="3"/>
      <c r="B614" s="3"/>
      <c r="C614" s="3"/>
      <c r="D614" s="14"/>
      <c r="E614" s="3"/>
    </row>
    <row r="615" spans="1:5" ht="13">
      <c r="A615" s="3"/>
      <c r="B615" s="3"/>
      <c r="C615" s="3"/>
      <c r="D615" s="14"/>
      <c r="E615" s="3"/>
    </row>
    <row r="616" spans="1:5" ht="13">
      <c r="A616" s="3"/>
      <c r="B616" s="3"/>
      <c r="C616" s="3"/>
      <c r="D616" s="14"/>
      <c r="E616" s="3"/>
    </row>
    <row r="617" spans="1:5" ht="13">
      <c r="A617" s="3"/>
      <c r="B617" s="3"/>
      <c r="C617" s="3"/>
      <c r="D617" s="14"/>
      <c r="E617" s="3"/>
    </row>
    <row r="618" spans="1:5" ht="13">
      <c r="A618" s="3"/>
      <c r="B618" s="3"/>
      <c r="C618" s="3"/>
      <c r="D618" s="14"/>
      <c r="E618" s="3"/>
    </row>
    <row r="619" spans="1:5" ht="13">
      <c r="A619" s="3"/>
      <c r="B619" s="3"/>
      <c r="C619" s="3"/>
      <c r="D619" s="14"/>
      <c r="E619" s="3"/>
    </row>
    <row r="620" spans="1:5" ht="13">
      <c r="A620" s="3"/>
      <c r="B620" s="3"/>
      <c r="C620" s="3"/>
      <c r="D620" s="14"/>
      <c r="E620" s="3"/>
    </row>
    <row r="621" spans="1:5" ht="13">
      <c r="A621" s="3"/>
      <c r="B621" s="3"/>
      <c r="C621" s="3"/>
      <c r="D621" s="14"/>
      <c r="E621" s="3"/>
    </row>
    <row r="622" spans="1:5" ht="13">
      <c r="A622" s="3"/>
      <c r="B622" s="3"/>
      <c r="C622" s="3"/>
      <c r="D622" s="14"/>
      <c r="E622" s="3"/>
    </row>
    <row r="623" spans="1:5" ht="13">
      <c r="A623" s="3"/>
      <c r="B623" s="3"/>
      <c r="C623" s="3"/>
      <c r="D623" s="14"/>
      <c r="E623" s="3"/>
    </row>
    <row r="624" spans="1:5" ht="13">
      <c r="A624" s="3"/>
      <c r="B624" s="3"/>
      <c r="C624" s="3"/>
      <c r="D624" s="14"/>
      <c r="E624" s="3"/>
    </row>
    <row r="625" spans="1:5" ht="13">
      <c r="A625" s="3"/>
      <c r="B625" s="3"/>
      <c r="C625" s="3"/>
      <c r="D625" s="14"/>
      <c r="E625" s="3"/>
    </row>
    <row r="626" spans="1:5" ht="13">
      <c r="A626" s="3"/>
      <c r="B626" s="3"/>
      <c r="C626" s="3"/>
      <c r="D626" s="14"/>
      <c r="E626" s="3"/>
    </row>
    <row r="627" spans="1:5" ht="13">
      <c r="A627" s="3"/>
      <c r="B627" s="3"/>
      <c r="C627" s="3"/>
      <c r="D627" s="14"/>
      <c r="E627" s="3"/>
    </row>
    <row r="628" spans="1:5" ht="13">
      <c r="A628" s="3"/>
      <c r="B628" s="3"/>
      <c r="C628" s="3"/>
      <c r="D628" s="14"/>
      <c r="E628" s="3"/>
    </row>
    <row r="629" spans="1:5" ht="13">
      <c r="A629" s="3"/>
      <c r="B629" s="3"/>
      <c r="C629" s="3"/>
      <c r="D629" s="14"/>
      <c r="E629" s="3"/>
    </row>
    <row r="630" spans="1:5" ht="13">
      <c r="A630" s="3"/>
      <c r="B630" s="3"/>
      <c r="C630" s="3"/>
      <c r="D630" s="14"/>
      <c r="E630" s="3"/>
    </row>
    <row r="631" spans="1:5" ht="13">
      <c r="A631" s="3"/>
      <c r="B631" s="3"/>
      <c r="C631" s="3"/>
      <c r="D631" s="14"/>
      <c r="E631" s="3"/>
    </row>
    <row r="632" spans="1:5" ht="13">
      <c r="A632" s="3"/>
      <c r="B632" s="3"/>
      <c r="C632" s="3"/>
      <c r="D632" s="14"/>
      <c r="E632" s="3"/>
    </row>
    <row r="633" spans="1:5" ht="13">
      <c r="A633" s="3"/>
      <c r="B633" s="3"/>
      <c r="C633" s="3"/>
      <c r="D633" s="14"/>
      <c r="E633" s="3"/>
    </row>
    <row r="634" spans="1:5" ht="13">
      <c r="A634" s="3"/>
      <c r="B634" s="3"/>
      <c r="C634" s="3"/>
      <c r="D634" s="14"/>
      <c r="E634" s="3"/>
    </row>
    <row r="635" spans="1:5" ht="13">
      <c r="A635" s="3"/>
      <c r="B635" s="3"/>
      <c r="C635" s="3"/>
      <c r="D635" s="14"/>
      <c r="E635" s="3"/>
    </row>
    <row r="636" spans="1:5" ht="13">
      <c r="A636" s="3"/>
      <c r="B636" s="3"/>
      <c r="C636" s="3"/>
      <c r="D636" s="14"/>
      <c r="E636" s="3"/>
    </row>
    <row r="637" spans="1:5" ht="13">
      <c r="A637" s="3"/>
      <c r="B637" s="3"/>
      <c r="C637" s="3"/>
      <c r="D637" s="14"/>
      <c r="E637" s="3"/>
    </row>
    <row r="638" spans="1:5" ht="13">
      <c r="A638" s="3"/>
      <c r="B638" s="3"/>
      <c r="C638" s="3"/>
      <c r="D638" s="14"/>
      <c r="E638" s="3"/>
    </row>
    <row r="639" spans="1:5" ht="13">
      <c r="A639" s="3"/>
      <c r="B639" s="3"/>
      <c r="C639" s="3"/>
      <c r="D639" s="14"/>
      <c r="E639" s="3"/>
    </row>
    <row r="640" spans="1:5" ht="13">
      <c r="A640" s="3"/>
      <c r="B640" s="3"/>
      <c r="C640" s="3"/>
      <c r="D640" s="14"/>
      <c r="E640" s="3"/>
    </row>
    <row r="641" spans="1:5" ht="13">
      <c r="A641" s="3"/>
      <c r="B641" s="3"/>
      <c r="C641" s="3"/>
      <c r="D641" s="14"/>
      <c r="E641" s="3"/>
    </row>
    <row r="642" spans="1:5" ht="13">
      <c r="A642" s="3"/>
      <c r="B642" s="3"/>
      <c r="C642" s="3"/>
      <c r="D642" s="14"/>
      <c r="E642" s="3"/>
    </row>
    <row r="643" spans="1:5" ht="13">
      <c r="A643" s="3"/>
      <c r="B643" s="3"/>
      <c r="C643" s="3"/>
      <c r="D643" s="14"/>
      <c r="E643" s="3"/>
    </row>
    <row r="644" spans="1:5" ht="13">
      <c r="A644" s="3"/>
      <c r="B644" s="3"/>
      <c r="C644" s="3"/>
      <c r="D644" s="14"/>
      <c r="E644" s="3"/>
    </row>
    <row r="645" spans="1:5" ht="13">
      <c r="A645" s="3"/>
      <c r="B645" s="3"/>
      <c r="C645" s="3"/>
      <c r="D645" s="14"/>
      <c r="E645" s="3"/>
    </row>
    <row r="646" spans="1:5" ht="13">
      <c r="A646" s="3"/>
      <c r="B646" s="3"/>
      <c r="C646" s="3"/>
      <c r="D646" s="14"/>
      <c r="E646" s="3"/>
    </row>
    <row r="647" spans="1:5" ht="13">
      <c r="A647" s="3"/>
      <c r="B647" s="3"/>
      <c r="C647" s="3"/>
      <c r="D647" s="14"/>
      <c r="E647" s="3"/>
    </row>
    <row r="648" spans="1:5" ht="13">
      <c r="A648" s="3"/>
      <c r="B648" s="3"/>
      <c r="C648" s="3"/>
      <c r="D648" s="14"/>
      <c r="E648" s="3"/>
    </row>
    <row r="649" spans="1:5" ht="13">
      <c r="A649" s="3"/>
      <c r="B649" s="3"/>
      <c r="C649" s="3"/>
      <c r="D649" s="14"/>
      <c r="E649" s="3"/>
    </row>
    <row r="650" spans="1:5" ht="13">
      <c r="A650" s="3"/>
      <c r="B650" s="3"/>
      <c r="C650" s="3"/>
      <c r="D650" s="14"/>
      <c r="E650" s="3"/>
    </row>
    <row r="651" spans="1:5" ht="13">
      <c r="A651" s="3"/>
      <c r="B651" s="3"/>
      <c r="C651" s="3"/>
      <c r="D651" s="14"/>
      <c r="E651" s="3"/>
    </row>
    <row r="652" spans="1:5" ht="13">
      <c r="A652" s="3"/>
      <c r="B652" s="3"/>
      <c r="C652" s="3"/>
      <c r="D652" s="14"/>
      <c r="E652" s="3"/>
    </row>
    <row r="653" spans="1:5" ht="13">
      <c r="A653" s="3"/>
      <c r="B653" s="3"/>
      <c r="C653" s="3"/>
      <c r="D653" s="14"/>
      <c r="E653" s="3"/>
    </row>
    <row r="654" spans="1:5" ht="13">
      <c r="A654" s="3"/>
      <c r="B654" s="3"/>
      <c r="C654" s="3"/>
      <c r="D654" s="14"/>
      <c r="E654" s="3"/>
    </row>
    <row r="655" spans="1:5" ht="13">
      <c r="A655" s="3"/>
      <c r="B655" s="3"/>
      <c r="C655" s="3"/>
      <c r="D655" s="14"/>
      <c r="E655" s="3"/>
    </row>
    <row r="656" spans="1:5" ht="13">
      <c r="A656" s="3"/>
      <c r="B656" s="3"/>
      <c r="C656" s="3"/>
      <c r="D656" s="14"/>
      <c r="E656" s="3"/>
    </row>
    <row r="657" spans="1:5" ht="13">
      <c r="A657" s="3"/>
      <c r="B657" s="3"/>
      <c r="C657" s="3"/>
      <c r="D657" s="14"/>
      <c r="E657" s="3"/>
    </row>
    <row r="658" spans="1:5" ht="13">
      <c r="A658" s="3"/>
      <c r="B658" s="3"/>
      <c r="C658" s="3"/>
      <c r="D658" s="14"/>
      <c r="E658" s="3"/>
    </row>
    <row r="659" spans="1:5" ht="13">
      <c r="A659" s="3"/>
      <c r="B659" s="3"/>
      <c r="C659" s="3"/>
      <c r="D659" s="14"/>
      <c r="E659" s="3"/>
    </row>
    <row r="660" spans="1:5" ht="13">
      <c r="A660" s="3"/>
      <c r="B660" s="3"/>
      <c r="C660" s="3"/>
      <c r="D660" s="14"/>
      <c r="E660" s="3"/>
    </row>
    <row r="661" spans="1:5" ht="13">
      <c r="A661" s="3"/>
      <c r="B661" s="3"/>
      <c r="C661" s="3"/>
      <c r="D661" s="14"/>
      <c r="E661" s="3"/>
    </row>
    <row r="662" spans="1:5" ht="13">
      <c r="A662" s="3"/>
      <c r="B662" s="3"/>
      <c r="C662" s="3"/>
      <c r="D662" s="14"/>
      <c r="E662" s="3"/>
    </row>
    <row r="663" spans="1:5" ht="13">
      <c r="A663" s="3"/>
      <c r="B663" s="3"/>
      <c r="C663" s="3"/>
      <c r="D663" s="14"/>
      <c r="E663" s="3"/>
    </row>
    <row r="664" spans="1:5" ht="13">
      <c r="A664" s="3"/>
      <c r="B664" s="3"/>
      <c r="C664" s="3"/>
      <c r="D664" s="14"/>
      <c r="E664" s="3"/>
    </row>
    <row r="665" spans="1:5" ht="13">
      <c r="A665" s="3"/>
      <c r="B665" s="3"/>
      <c r="C665" s="3"/>
      <c r="D665" s="14"/>
      <c r="E665" s="3"/>
    </row>
    <row r="666" spans="1:5" ht="13">
      <c r="A666" s="3"/>
      <c r="B666" s="3"/>
      <c r="C666" s="3"/>
      <c r="D666" s="14"/>
      <c r="E666" s="3"/>
    </row>
    <row r="667" spans="1:5" ht="13">
      <c r="A667" s="3"/>
      <c r="B667" s="3"/>
      <c r="C667" s="3"/>
      <c r="D667" s="14"/>
      <c r="E667" s="3"/>
    </row>
    <row r="668" spans="1:5" ht="13">
      <c r="A668" s="3"/>
      <c r="B668" s="3"/>
      <c r="C668" s="3"/>
      <c r="D668" s="14"/>
      <c r="E668" s="3"/>
    </row>
    <row r="669" spans="1:5" ht="13">
      <c r="A669" s="3"/>
      <c r="B669" s="3"/>
      <c r="C669" s="3"/>
      <c r="D669" s="14"/>
      <c r="E669" s="3"/>
    </row>
    <row r="670" spans="1:5" ht="13">
      <c r="A670" s="3"/>
      <c r="B670" s="3"/>
      <c r="C670" s="3"/>
      <c r="D670" s="14"/>
      <c r="E670" s="3"/>
    </row>
    <row r="671" spans="1:5" ht="13">
      <c r="A671" s="3"/>
      <c r="B671" s="3"/>
      <c r="C671" s="3"/>
      <c r="D671" s="14"/>
      <c r="E671" s="3"/>
    </row>
    <row r="672" spans="1:5" ht="13">
      <c r="A672" s="3"/>
      <c r="B672" s="3"/>
      <c r="C672" s="3"/>
      <c r="D672" s="14"/>
      <c r="E672" s="3"/>
    </row>
    <row r="673" spans="1:5" ht="13">
      <c r="A673" s="3"/>
      <c r="B673" s="3"/>
      <c r="C673" s="3"/>
      <c r="D673" s="14"/>
      <c r="E673" s="3"/>
    </row>
    <row r="674" spans="1:5" ht="13">
      <c r="A674" s="3"/>
      <c r="B674" s="3"/>
      <c r="C674" s="3"/>
      <c r="D674" s="14"/>
      <c r="E674" s="3"/>
    </row>
    <row r="675" spans="1:5" ht="13">
      <c r="A675" s="3"/>
      <c r="B675" s="3"/>
      <c r="C675" s="3"/>
      <c r="D675" s="14"/>
      <c r="E675" s="3"/>
    </row>
    <row r="676" spans="1:5" ht="13">
      <c r="A676" s="3"/>
      <c r="B676" s="3"/>
      <c r="C676" s="3"/>
      <c r="D676" s="14"/>
      <c r="E676" s="3"/>
    </row>
    <row r="677" spans="1:5" ht="13">
      <c r="A677" s="3"/>
      <c r="B677" s="3"/>
      <c r="C677" s="3"/>
      <c r="D677" s="14"/>
      <c r="E677" s="3"/>
    </row>
    <row r="678" spans="1:5" ht="13">
      <c r="A678" s="3"/>
      <c r="B678" s="3"/>
      <c r="C678" s="3"/>
      <c r="D678" s="14"/>
      <c r="E678" s="3"/>
    </row>
    <row r="679" spans="1:5" ht="13">
      <c r="A679" s="3"/>
      <c r="B679" s="3"/>
      <c r="C679" s="3"/>
      <c r="D679" s="14"/>
      <c r="E679" s="3"/>
    </row>
    <row r="680" spans="1:5" ht="13">
      <c r="A680" s="3"/>
      <c r="B680" s="3"/>
      <c r="C680" s="3"/>
      <c r="D680" s="14"/>
      <c r="E680" s="3"/>
    </row>
    <row r="681" spans="1:5" ht="13">
      <c r="A681" s="3"/>
      <c r="B681" s="3"/>
      <c r="C681" s="3"/>
      <c r="D681" s="14"/>
      <c r="E681" s="3"/>
    </row>
    <row r="682" spans="1:5" ht="13">
      <c r="A682" s="3"/>
      <c r="B682" s="3"/>
      <c r="C682" s="3"/>
      <c r="D682" s="14"/>
      <c r="E682" s="3"/>
    </row>
    <row r="683" spans="1:5" ht="13">
      <c r="A683" s="3"/>
      <c r="B683" s="3"/>
      <c r="C683" s="3"/>
      <c r="D683" s="14"/>
      <c r="E683" s="3"/>
    </row>
    <row r="684" spans="1:5" ht="13">
      <c r="A684" s="3"/>
      <c r="B684" s="3"/>
      <c r="C684" s="3"/>
      <c r="D684" s="14"/>
      <c r="E684" s="3"/>
    </row>
    <row r="685" spans="1:5" ht="13">
      <c r="A685" s="3"/>
      <c r="B685" s="3"/>
      <c r="C685" s="3"/>
      <c r="D685" s="14"/>
      <c r="E685" s="3"/>
    </row>
    <row r="686" spans="1:5" ht="13">
      <c r="A686" s="3"/>
      <c r="B686" s="3"/>
      <c r="C686" s="3"/>
      <c r="D686" s="14"/>
      <c r="E686" s="3"/>
    </row>
    <row r="687" spans="1:5" ht="13">
      <c r="A687" s="3"/>
      <c r="B687" s="3"/>
      <c r="C687" s="3"/>
      <c r="D687" s="14"/>
      <c r="E687" s="3"/>
    </row>
    <row r="688" spans="1:5" ht="13">
      <c r="A688" s="3"/>
      <c r="B688" s="3"/>
      <c r="C688" s="3"/>
      <c r="D688" s="14"/>
      <c r="E688" s="3"/>
    </row>
    <row r="689" spans="1:5" ht="13">
      <c r="A689" s="3"/>
      <c r="B689" s="3"/>
      <c r="C689" s="3"/>
      <c r="D689" s="14"/>
      <c r="E689" s="3"/>
    </row>
    <row r="690" spans="1:5" ht="13">
      <c r="A690" s="3"/>
      <c r="B690" s="3"/>
      <c r="C690" s="3"/>
      <c r="D690" s="14"/>
      <c r="E690" s="3"/>
    </row>
    <row r="691" spans="1:5" ht="13">
      <c r="A691" s="3"/>
      <c r="B691" s="3"/>
      <c r="C691" s="3"/>
      <c r="D691" s="14"/>
      <c r="E691" s="3"/>
    </row>
    <row r="692" spans="1:5" ht="13">
      <c r="A692" s="3"/>
      <c r="B692" s="3"/>
      <c r="C692" s="3"/>
      <c r="D692" s="14"/>
      <c r="E692" s="3"/>
    </row>
    <row r="693" spans="1:5" ht="13">
      <c r="A693" s="3"/>
      <c r="B693" s="3"/>
      <c r="C693" s="3"/>
      <c r="D693" s="14"/>
      <c r="E693" s="3"/>
    </row>
    <row r="694" spans="1:5" ht="13">
      <c r="A694" s="3"/>
      <c r="B694" s="3"/>
      <c r="C694" s="3"/>
      <c r="D694" s="14"/>
      <c r="E694" s="3"/>
    </row>
    <row r="695" spans="1:5" ht="13">
      <c r="A695" s="3"/>
      <c r="B695" s="3"/>
      <c r="C695" s="3"/>
      <c r="D695" s="14"/>
      <c r="E695" s="3"/>
    </row>
    <row r="696" spans="1:5" ht="13">
      <c r="A696" s="3"/>
      <c r="B696" s="3"/>
      <c r="C696" s="3"/>
      <c r="D696" s="14"/>
      <c r="E696" s="3"/>
    </row>
    <row r="697" spans="1:5" ht="13">
      <c r="A697" s="3"/>
      <c r="B697" s="3"/>
      <c r="C697" s="3"/>
      <c r="D697" s="14"/>
      <c r="E697" s="3"/>
    </row>
    <row r="698" spans="1:5" ht="13">
      <c r="A698" s="3"/>
      <c r="B698" s="3"/>
      <c r="C698" s="3"/>
      <c r="D698" s="14"/>
      <c r="E698" s="3"/>
    </row>
    <row r="699" spans="1:5" ht="13">
      <c r="A699" s="3"/>
      <c r="B699" s="3"/>
      <c r="C699" s="3"/>
      <c r="D699" s="14"/>
      <c r="E699" s="3"/>
    </row>
    <row r="700" spans="1:5" ht="13">
      <c r="A700" s="3"/>
      <c r="B700" s="3"/>
      <c r="C700" s="3"/>
      <c r="D700" s="14"/>
      <c r="E700" s="3"/>
    </row>
    <row r="701" spans="1:5" ht="13">
      <c r="A701" s="3"/>
      <c r="B701" s="3"/>
      <c r="C701" s="3"/>
      <c r="D701" s="14"/>
      <c r="E701" s="3"/>
    </row>
    <row r="702" spans="1:5" ht="13">
      <c r="A702" s="3"/>
      <c r="B702" s="3"/>
      <c r="C702" s="3"/>
      <c r="D702" s="14"/>
      <c r="E702" s="3"/>
    </row>
    <row r="703" spans="1:5" ht="13">
      <c r="A703" s="3"/>
      <c r="B703" s="3"/>
      <c r="C703" s="3"/>
      <c r="D703" s="14"/>
      <c r="E703" s="3"/>
    </row>
    <row r="704" spans="1:5" ht="13">
      <c r="A704" s="3"/>
      <c r="B704" s="3"/>
      <c r="C704" s="3"/>
      <c r="D704" s="14"/>
      <c r="E704" s="3"/>
    </row>
    <row r="705" spans="1:5" ht="13">
      <c r="A705" s="3"/>
      <c r="B705" s="3"/>
      <c r="C705" s="3"/>
      <c r="D705" s="14"/>
      <c r="E705" s="3"/>
    </row>
    <row r="706" spans="1:5" ht="13">
      <c r="A706" s="3"/>
      <c r="B706" s="3"/>
      <c r="C706" s="3"/>
      <c r="D706" s="14"/>
      <c r="E706" s="3"/>
    </row>
    <row r="707" spans="1:5" ht="13">
      <c r="D707" s="79"/>
    </row>
    <row r="708" spans="1:5" ht="13">
      <c r="D708" s="79"/>
    </row>
    <row r="709" spans="1:5" ht="13">
      <c r="D709" s="79"/>
    </row>
    <row r="710" spans="1:5" ht="13">
      <c r="D710" s="79"/>
    </row>
    <row r="711" spans="1:5" ht="13">
      <c r="D711" s="79"/>
    </row>
    <row r="712" spans="1:5" ht="13">
      <c r="D712" s="79"/>
    </row>
    <row r="713" spans="1:5" ht="13">
      <c r="D713" s="79"/>
    </row>
    <row r="714" spans="1:5" ht="13">
      <c r="D714" s="79"/>
    </row>
    <row r="715" spans="1:5" ht="13">
      <c r="D715" s="79"/>
    </row>
    <row r="716" spans="1:5" ht="13">
      <c r="D716" s="79"/>
    </row>
    <row r="717" spans="1:5" ht="13">
      <c r="D717" s="79"/>
    </row>
    <row r="718" spans="1:5" ht="13">
      <c r="D718" s="79"/>
    </row>
    <row r="719" spans="1:5" ht="13">
      <c r="D719" s="79"/>
    </row>
    <row r="720" spans="1:5" ht="13">
      <c r="D720" s="79"/>
    </row>
    <row r="721" spans="4:4" ht="13">
      <c r="D721" s="79"/>
    </row>
    <row r="722" spans="4:4" ht="13">
      <c r="D722" s="79"/>
    </row>
    <row r="723" spans="4:4" ht="13">
      <c r="D723" s="79"/>
    </row>
    <row r="724" spans="4:4" ht="13">
      <c r="D724" s="79"/>
    </row>
    <row r="725" spans="4:4" ht="13">
      <c r="D725" s="79"/>
    </row>
    <row r="726" spans="4:4" ht="13">
      <c r="D726" s="79"/>
    </row>
    <row r="727" spans="4:4" ht="13">
      <c r="D727" s="79"/>
    </row>
    <row r="728" spans="4:4" ht="13">
      <c r="D728" s="79"/>
    </row>
    <row r="729" spans="4:4" ht="13">
      <c r="D729" s="79"/>
    </row>
    <row r="730" spans="4:4" ht="13">
      <c r="D730" s="79"/>
    </row>
    <row r="731" spans="4:4" ht="13">
      <c r="D731" s="79"/>
    </row>
    <row r="732" spans="4:4" ht="13">
      <c r="D732" s="79"/>
    </row>
    <row r="733" spans="4:4" ht="13">
      <c r="D733" s="79"/>
    </row>
    <row r="734" spans="4:4" ht="13">
      <c r="D734" s="79"/>
    </row>
    <row r="735" spans="4:4" ht="13">
      <c r="D735" s="79"/>
    </row>
    <row r="736" spans="4:4" ht="13">
      <c r="D736" s="79"/>
    </row>
    <row r="737" spans="4:4" ht="13">
      <c r="D737" s="79"/>
    </row>
    <row r="738" spans="4:4" ht="13">
      <c r="D738" s="79"/>
    </row>
    <row r="739" spans="4:4" ht="13">
      <c r="D739" s="79"/>
    </row>
    <row r="740" spans="4:4" ht="13">
      <c r="D740" s="79"/>
    </row>
    <row r="741" spans="4:4" ht="13">
      <c r="D741" s="79"/>
    </row>
    <row r="742" spans="4:4" ht="13">
      <c r="D742" s="79"/>
    </row>
    <row r="743" spans="4:4" ht="13">
      <c r="D743" s="79"/>
    </row>
    <row r="744" spans="4:4" ht="13">
      <c r="D744" s="79"/>
    </row>
    <row r="745" spans="4:4" ht="13">
      <c r="D745" s="79"/>
    </row>
    <row r="746" spans="4:4" ht="13">
      <c r="D746" s="79"/>
    </row>
    <row r="747" spans="4:4" ht="13">
      <c r="D747" s="79"/>
    </row>
    <row r="748" spans="4:4" ht="13">
      <c r="D748" s="79"/>
    </row>
    <row r="749" spans="4:4" ht="13">
      <c r="D749" s="79"/>
    </row>
    <row r="750" spans="4:4" ht="13">
      <c r="D750" s="79"/>
    </row>
    <row r="751" spans="4:4" ht="13">
      <c r="D751" s="79"/>
    </row>
    <row r="752" spans="4:4" ht="13">
      <c r="D752" s="79"/>
    </row>
    <row r="753" spans="4:4" ht="13">
      <c r="D753" s="79"/>
    </row>
    <row r="754" spans="4:4" ht="13">
      <c r="D754" s="79"/>
    </row>
    <row r="755" spans="4:4" ht="13">
      <c r="D755" s="79"/>
    </row>
    <row r="756" spans="4:4" ht="13">
      <c r="D756" s="79"/>
    </row>
    <row r="757" spans="4:4" ht="13">
      <c r="D757" s="79"/>
    </row>
    <row r="758" spans="4:4" ht="13">
      <c r="D758" s="79"/>
    </row>
    <row r="759" spans="4:4" ht="13">
      <c r="D759" s="79"/>
    </row>
    <row r="760" spans="4:4" ht="13">
      <c r="D760" s="79"/>
    </row>
    <row r="761" spans="4:4" ht="13">
      <c r="D761" s="79"/>
    </row>
    <row r="762" spans="4:4" ht="13">
      <c r="D762" s="79"/>
    </row>
    <row r="763" spans="4:4" ht="13">
      <c r="D763" s="79"/>
    </row>
    <row r="764" spans="4:4" ht="13">
      <c r="D764" s="79"/>
    </row>
    <row r="765" spans="4:4" ht="13">
      <c r="D765" s="79"/>
    </row>
    <row r="766" spans="4:4" ht="13">
      <c r="D766" s="79"/>
    </row>
    <row r="767" spans="4:4" ht="13">
      <c r="D767" s="79"/>
    </row>
    <row r="768" spans="4:4" ht="13">
      <c r="D768" s="79"/>
    </row>
    <row r="769" spans="4:4" ht="13">
      <c r="D769" s="79"/>
    </row>
    <row r="770" spans="4:4" ht="13">
      <c r="D770" s="79"/>
    </row>
    <row r="771" spans="4:4" ht="13">
      <c r="D771" s="79"/>
    </row>
    <row r="772" spans="4:4" ht="13">
      <c r="D772" s="79"/>
    </row>
    <row r="773" spans="4:4" ht="13">
      <c r="D773" s="79"/>
    </row>
    <row r="774" spans="4:4" ht="13">
      <c r="D774" s="79"/>
    </row>
    <row r="775" spans="4:4" ht="13">
      <c r="D775" s="79"/>
    </row>
    <row r="776" spans="4:4" ht="13">
      <c r="D776" s="79"/>
    </row>
    <row r="777" spans="4:4" ht="13">
      <c r="D777" s="79"/>
    </row>
    <row r="778" spans="4:4" ht="13">
      <c r="D778" s="79"/>
    </row>
    <row r="779" spans="4:4" ht="13">
      <c r="D779" s="79"/>
    </row>
    <row r="780" spans="4:4" ht="13">
      <c r="D780" s="79"/>
    </row>
    <row r="781" spans="4:4" ht="13">
      <c r="D781" s="79"/>
    </row>
    <row r="782" spans="4:4" ht="13">
      <c r="D782" s="79"/>
    </row>
    <row r="783" spans="4:4" ht="13">
      <c r="D783" s="79"/>
    </row>
    <row r="784" spans="4:4" ht="13">
      <c r="D784" s="79"/>
    </row>
    <row r="785" spans="4:4" ht="13">
      <c r="D785" s="79"/>
    </row>
    <row r="786" spans="4:4" ht="13">
      <c r="D786" s="79"/>
    </row>
    <row r="787" spans="4:4" ht="13">
      <c r="D787" s="79"/>
    </row>
    <row r="788" spans="4:4" ht="13">
      <c r="D788" s="79"/>
    </row>
    <row r="789" spans="4:4" ht="13">
      <c r="D789" s="79"/>
    </row>
    <row r="790" spans="4:4" ht="13">
      <c r="D790" s="79"/>
    </row>
    <row r="791" spans="4:4" ht="13">
      <c r="D791" s="79"/>
    </row>
    <row r="792" spans="4:4" ht="13">
      <c r="D792" s="79"/>
    </row>
    <row r="793" spans="4:4" ht="13">
      <c r="D793" s="79"/>
    </row>
    <row r="794" spans="4:4" ht="13">
      <c r="D794" s="79"/>
    </row>
    <row r="795" spans="4:4" ht="13">
      <c r="D795" s="79"/>
    </row>
    <row r="796" spans="4:4" ht="13">
      <c r="D796" s="79"/>
    </row>
    <row r="797" spans="4:4" ht="13">
      <c r="D797" s="79"/>
    </row>
    <row r="798" spans="4:4" ht="13">
      <c r="D798" s="79"/>
    </row>
    <row r="799" spans="4:4" ht="13">
      <c r="D799" s="79"/>
    </row>
    <row r="800" spans="4:4" ht="13">
      <c r="D800" s="79"/>
    </row>
    <row r="801" spans="4:4" ht="13">
      <c r="D801" s="79"/>
    </row>
    <row r="802" spans="4:4" ht="13">
      <c r="D802" s="79"/>
    </row>
    <row r="803" spans="4:4" ht="13">
      <c r="D803" s="79"/>
    </row>
    <row r="804" spans="4:4" ht="13">
      <c r="D804" s="79"/>
    </row>
    <row r="805" spans="4:4" ht="13">
      <c r="D805" s="79"/>
    </row>
    <row r="806" spans="4:4" ht="13">
      <c r="D806" s="79"/>
    </row>
    <row r="807" spans="4:4" ht="13">
      <c r="D807" s="79"/>
    </row>
    <row r="808" spans="4:4" ht="13">
      <c r="D808" s="79"/>
    </row>
    <row r="809" spans="4:4" ht="13">
      <c r="D809" s="79"/>
    </row>
    <row r="810" spans="4:4" ht="13">
      <c r="D810" s="79"/>
    </row>
    <row r="811" spans="4:4" ht="13">
      <c r="D811" s="79"/>
    </row>
    <row r="812" spans="4:4" ht="13">
      <c r="D812" s="79"/>
    </row>
    <row r="813" spans="4:4" ht="13">
      <c r="D813" s="79"/>
    </row>
    <row r="814" spans="4:4" ht="13">
      <c r="D814" s="79"/>
    </row>
    <row r="815" spans="4:4" ht="13">
      <c r="D815" s="79"/>
    </row>
    <row r="816" spans="4:4" ht="13">
      <c r="D816" s="79"/>
    </row>
    <row r="817" spans="4:4" ht="13">
      <c r="D817" s="79"/>
    </row>
    <row r="818" spans="4:4" ht="13">
      <c r="D818" s="79"/>
    </row>
    <row r="819" spans="4:4" ht="13">
      <c r="D819" s="79"/>
    </row>
    <row r="820" spans="4:4" ht="13">
      <c r="D820" s="79"/>
    </row>
    <row r="821" spans="4:4" ht="13">
      <c r="D821" s="79"/>
    </row>
    <row r="822" spans="4:4" ht="13">
      <c r="D822" s="79"/>
    </row>
    <row r="823" spans="4:4" ht="13">
      <c r="D823" s="79"/>
    </row>
    <row r="824" spans="4:4" ht="13">
      <c r="D824" s="79"/>
    </row>
    <row r="825" spans="4:4" ht="13">
      <c r="D825" s="79"/>
    </row>
    <row r="826" spans="4:4" ht="13">
      <c r="D826" s="79"/>
    </row>
    <row r="827" spans="4:4" ht="13">
      <c r="D827" s="79"/>
    </row>
    <row r="828" spans="4:4" ht="13">
      <c r="D828" s="79"/>
    </row>
    <row r="829" spans="4:4" ht="13">
      <c r="D829" s="79"/>
    </row>
    <row r="830" spans="4:4" ht="13">
      <c r="D830" s="79"/>
    </row>
    <row r="831" spans="4:4" ht="13">
      <c r="D831" s="79"/>
    </row>
    <row r="832" spans="4:4" ht="13">
      <c r="D832" s="79"/>
    </row>
    <row r="833" spans="4:4" ht="13">
      <c r="D833" s="79"/>
    </row>
    <row r="834" spans="4:4" ht="13">
      <c r="D834" s="79"/>
    </row>
    <row r="835" spans="4:4" ht="13">
      <c r="D835" s="79"/>
    </row>
    <row r="836" spans="4:4" ht="13">
      <c r="D836" s="79"/>
    </row>
    <row r="837" spans="4:4" ht="13">
      <c r="D837" s="79"/>
    </row>
    <row r="838" spans="4:4" ht="13">
      <c r="D838" s="79"/>
    </row>
    <row r="839" spans="4:4" ht="13">
      <c r="D839" s="79"/>
    </row>
    <row r="840" spans="4:4" ht="13">
      <c r="D840" s="79"/>
    </row>
    <row r="841" spans="4:4" ht="13">
      <c r="D841" s="79"/>
    </row>
    <row r="842" spans="4:4" ht="13">
      <c r="D842" s="79"/>
    </row>
    <row r="843" spans="4:4" ht="13">
      <c r="D843" s="79"/>
    </row>
    <row r="844" spans="4:4" ht="13">
      <c r="D844" s="79"/>
    </row>
    <row r="845" spans="4:4" ht="13">
      <c r="D845" s="79"/>
    </row>
    <row r="846" spans="4:4" ht="13">
      <c r="D846" s="79"/>
    </row>
    <row r="847" spans="4:4" ht="13">
      <c r="D847" s="79"/>
    </row>
    <row r="848" spans="4:4" ht="13">
      <c r="D848" s="79"/>
    </row>
    <row r="849" spans="4:4" ht="13">
      <c r="D849" s="79"/>
    </row>
    <row r="850" spans="4:4" ht="13">
      <c r="D850" s="79"/>
    </row>
    <row r="851" spans="4:4" ht="13">
      <c r="D851" s="79"/>
    </row>
    <row r="852" spans="4:4" ht="13">
      <c r="D852" s="79"/>
    </row>
    <row r="853" spans="4:4" ht="13">
      <c r="D853" s="79"/>
    </row>
    <row r="854" spans="4:4" ht="13">
      <c r="D854" s="79"/>
    </row>
    <row r="855" spans="4:4" ht="13">
      <c r="D855" s="79"/>
    </row>
    <row r="856" spans="4:4" ht="13">
      <c r="D856" s="79"/>
    </row>
    <row r="857" spans="4:4" ht="13">
      <c r="D857" s="79"/>
    </row>
    <row r="858" spans="4:4" ht="13">
      <c r="D858" s="79"/>
    </row>
    <row r="859" spans="4:4" ht="13">
      <c r="D859" s="79"/>
    </row>
    <row r="860" spans="4:4" ht="13">
      <c r="D860" s="79"/>
    </row>
    <row r="861" spans="4:4" ht="13">
      <c r="D861" s="79"/>
    </row>
    <row r="862" spans="4:4" ht="13">
      <c r="D862" s="79"/>
    </row>
    <row r="863" spans="4:4" ht="13">
      <c r="D863" s="79"/>
    </row>
    <row r="864" spans="4:4" ht="13">
      <c r="D864" s="79"/>
    </row>
    <row r="865" spans="4:4" ht="13">
      <c r="D865" s="79"/>
    </row>
    <row r="866" spans="4:4" ht="13">
      <c r="D866" s="79"/>
    </row>
    <row r="867" spans="4:4" ht="13">
      <c r="D867" s="79"/>
    </row>
    <row r="868" spans="4:4" ht="13">
      <c r="D868" s="79"/>
    </row>
    <row r="869" spans="4:4" ht="13">
      <c r="D869" s="79"/>
    </row>
    <row r="870" spans="4:4" ht="13">
      <c r="D870" s="79"/>
    </row>
    <row r="871" spans="4:4" ht="13">
      <c r="D871" s="79"/>
    </row>
    <row r="872" spans="4:4" ht="13">
      <c r="D872" s="79"/>
    </row>
    <row r="873" spans="4:4" ht="13">
      <c r="D873" s="79"/>
    </row>
    <row r="874" spans="4:4" ht="13">
      <c r="D874" s="79"/>
    </row>
    <row r="875" spans="4:4" ht="13">
      <c r="D875" s="79"/>
    </row>
    <row r="876" spans="4:4" ht="13">
      <c r="D876" s="79"/>
    </row>
    <row r="877" spans="4:4" ht="13">
      <c r="D877" s="79"/>
    </row>
    <row r="878" spans="4:4" ht="13">
      <c r="D878" s="79"/>
    </row>
    <row r="879" spans="4:4" ht="13">
      <c r="D879" s="79"/>
    </row>
    <row r="880" spans="4:4" ht="13">
      <c r="D880" s="79"/>
    </row>
    <row r="881" spans="4:4" ht="13">
      <c r="D881" s="79"/>
    </row>
    <row r="882" spans="4:4" ht="13">
      <c r="D882" s="79"/>
    </row>
    <row r="883" spans="4:4" ht="13">
      <c r="D883" s="79"/>
    </row>
    <row r="884" spans="4:4" ht="13">
      <c r="D884" s="79"/>
    </row>
    <row r="885" spans="4:4" ht="13">
      <c r="D885" s="79"/>
    </row>
    <row r="886" spans="4:4" ht="13">
      <c r="D886" s="79"/>
    </row>
    <row r="887" spans="4:4" ht="13">
      <c r="D887" s="79"/>
    </row>
    <row r="888" spans="4:4" ht="13">
      <c r="D888" s="79"/>
    </row>
    <row r="889" spans="4:4" ht="13">
      <c r="D889" s="79"/>
    </row>
    <row r="890" spans="4:4" ht="13">
      <c r="D890" s="79"/>
    </row>
    <row r="891" spans="4:4" ht="13">
      <c r="D891" s="79"/>
    </row>
    <row r="892" spans="4:4" ht="13">
      <c r="D892" s="79"/>
    </row>
    <row r="893" spans="4:4" ht="13">
      <c r="D893" s="79"/>
    </row>
    <row r="894" spans="4:4" ht="13">
      <c r="D894" s="79"/>
    </row>
    <row r="895" spans="4:4" ht="13">
      <c r="D895" s="79"/>
    </row>
    <row r="896" spans="4:4" ht="13">
      <c r="D896" s="79"/>
    </row>
    <row r="897" spans="4:4" ht="13">
      <c r="D897" s="79"/>
    </row>
    <row r="898" spans="4:4" ht="13">
      <c r="D898" s="79"/>
    </row>
    <row r="899" spans="4:4" ht="13">
      <c r="D899" s="79"/>
    </row>
    <row r="900" spans="4:4" ht="13">
      <c r="D900" s="79"/>
    </row>
    <row r="901" spans="4:4" ht="13">
      <c r="D901" s="79"/>
    </row>
    <row r="902" spans="4:4" ht="13">
      <c r="D902" s="79"/>
    </row>
    <row r="903" spans="4:4" ht="13">
      <c r="D903" s="79"/>
    </row>
    <row r="904" spans="4:4" ht="13">
      <c r="D904" s="79"/>
    </row>
    <row r="905" spans="4:4" ht="13">
      <c r="D905" s="79"/>
    </row>
    <row r="906" spans="4:4" ht="13">
      <c r="D906" s="79"/>
    </row>
    <row r="907" spans="4:4" ht="13">
      <c r="D907" s="79"/>
    </row>
    <row r="908" spans="4:4" ht="13">
      <c r="D908" s="79"/>
    </row>
    <row r="909" spans="4:4" ht="13">
      <c r="D909" s="79"/>
    </row>
    <row r="910" spans="4:4" ht="13">
      <c r="D910" s="79"/>
    </row>
    <row r="911" spans="4:4" ht="13">
      <c r="D911" s="79"/>
    </row>
    <row r="912" spans="4:4" ht="13">
      <c r="D912" s="79"/>
    </row>
    <row r="913" spans="4:4" ht="13">
      <c r="D913" s="79"/>
    </row>
    <row r="914" spans="4:4" ht="13">
      <c r="D914" s="79"/>
    </row>
    <row r="915" spans="4:4" ht="13">
      <c r="D915" s="79"/>
    </row>
    <row r="916" spans="4:4" ht="13">
      <c r="D916" s="79"/>
    </row>
    <row r="917" spans="4:4" ht="13">
      <c r="D917" s="79"/>
    </row>
    <row r="918" spans="4:4" ht="13">
      <c r="D918" s="79"/>
    </row>
    <row r="919" spans="4:4" ht="13">
      <c r="D919" s="79"/>
    </row>
    <row r="920" spans="4:4" ht="13">
      <c r="D920" s="79"/>
    </row>
    <row r="921" spans="4:4" ht="13">
      <c r="D921" s="79"/>
    </row>
    <row r="922" spans="4:4" ht="13">
      <c r="D922" s="79"/>
    </row>
    <row r="923" spans="4:4" ht="13">
      <c r="D923" s="79"/>
    </row>
    <row r="924" spans="4:4" ht="13">
      <c r="D924" s="79"/>
    </row>
    <row r="925" spans="4:4" ht="13">
      <c r="D925" s="79"/>
    </row>
    <row r="926" spans="4:4" ht="13">
      <c r="D926" s="79"/>
    </row>
    <row r="927" spans="4:4" ht="13">
      <c r="D927" s="79"/>
    </row>
    <row r="928" spans="4:4" ht="13">
      <c r="D928" s="79"/>
    </row>
    <row r="929" spans="4:4" ht="13">
      <c r="D929" s="79"/>
    </row>
    <row r="930" spans="4:4" ht="13">
      <c r="D930" s="79"/>
    </row>
    <row r="931" spans="4:4" ht="13">
      <c r="D931" s="79"/>
    </row>
    <row r="932" spans="4:4" ht="13">
      <c r="D932" s="79"/>
    </row>
    <row r="933" spans="4:4" ht="13">
      <c r="D933" s="79"/>
    </row>
    <row r="934" spans="4:4" ht="13">
      <c r="D934" s="79"/>
    </row>
    <row r="935" spans="4:4" ht="13">
      <c r="D935" s="79"/>
    </row>
    <row r="936" spans="4:4" ht="13">
      <c r="D936" s="79"/>
    </row>
    <row r="937" spans="4:4" ht="13">
      <c r="D937" s="79"/>
    </row>
    <row r="938" spans="4:4" ht="13">
      <c r="D938" s="79"/>
    </row>
    <row r="939" spans="4:4" ht="13">
      <c r="D939" s="79"/>
    </row>
    <row r="940" spans="4:4" ht="13">
      <c r="D940" s="79"/>
    </row>
    <row r="941" spans="4:4" ht="13">
      <c r="D941" s="79"/>
    </row>
    <row r="942" spans="4:4" ht="13">
      <c r="D942" s="79"/>
    </row>
    <row r="943" spans="4:4" ht="13">
      <c r="D943" s="79"/>
    </row>
    <row r="944" spans="4:4" ht="13">
      <c r="D944" s="79"/>
    </row>
    <row r="945" spans="4:4" ht="13">
      <c r="D945" s="79"/>
    </row>
    <row r="946" spans="4:4" ht="13">
      <c r="D946" s="79"/>
    </row>
    <row r="947" spans="4:4" ht="13">
      <c r="D947" s="79"/>
    </row>
    <row r="948" spans="4:4" ht="13">
      <c r="D948" s="79"/>
    </row>
    <row r="949" spans="4:4" ht="13">
      <c r="D949" s="79"/>
    </row>
    <row r="950" spans="4:4" ht="13">
      <c r="D950" s="79"/>
    </row>
    <row r="951" spans="4:4" ht="13">
      <c r="D951" s="7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V646"/>
  <sheetViews>
    <sheetView showGridLines="0" topLeftCell="D1" workbookViewId="0">
      <selection activeCell="A22" sqref="A22:XFD22"/>
    </sheetView>
  </sheetViews>
  <sheetFormatPr baseColWidth="10" defaultColWidth="14.5" defaultRowHeight="15.75" customHeight="1"/>
  <cols>
    <col min="1" max="1" width="3.5" customWidth="1"/>
    <col min="2" max="2" width="27" customWidth="1"/>
    <col min="3" max="3" width="29" customWidth="1"/>
    <col min="4" max="4" width="30.6640625" customWidth="1"/>
    <col min="5" max="5" width="33.1640625" customWidth="1"/>
    <col min="6" max="6" width="37.5" customWidth="1"/>
    <col min="7" max="7" width="85.5" customWidth="1"/>
    <col min="8" max="8" width="22.83203125" customWidth="1"/>
  </cols>
  <sheetData>
    <row r="1" spans="1:22" ht="12.75" customHeight="1">
      <c r="A1" s="12"/>
      <c r="B1" s="12"/>
      <c r="C1" s="12"/>
      <c r="D1" s="3"/>
      <c r="E1" s="3"/>
      <c r="H1" s="3"/>
    </row>
    <row r="2" spans="1:22" ht="23.25" customHeight="1">
      <c r="A2" s="12"/>
      <c r="B2" s="13" t="s">
        <v>0</v>
      </c>
      <c r="C2" s="12"/>
      <c r="D2" s="3"/>
      <c r="E2" s="3"/>
      <c r="H2" s="91"/>
    </row>
    <row r="3" spans="1:22" ht="18">
      <c r="A3" s="92"/>
      <c r="B3" s="53" t="s">
        <v>250</v>
      </c>
      <c r="C3" s="92"/>
      <c r="D3" s="93"/>
      <c r="E3" s="93"/>
      <c r="F3" s="93"/>
      <c r="G3" s="26" t="s">
        <v>251</v>
      </c>
      <c r="H3" s="55">
        <f>SUM(H9:H192)</f>
        <v>42376.85</v>
      </c>
      <c r="I3" s="34" t="s">
        <v>22</v>
      </c>
      <c r="J3" s="93"/>
      <c r="K3" s="93"/>
      <c r="L3" s="93"/>
      <c r="M3" s="93"/>
      <c r="N3" s="93"/>
      <c r="O3" s="93"/>
      <c r="P3" s="93"/>
      <c r="Q3" s="93"/>
      <c r="R3" s="93"/>
      <c r="S3" s="93"/>
      <c r="T3" s="93"/>
      <c r="U3" s="93"/>
      <c r="V3" s="93"/>
    </row>
    <row r="4" spans="1:22" ht="13">
      <c r="A4" s="3"/>
      <c r="B4" s="166" t="s">
        <v>252</v>
      </c>
      <c r="C4" s="157"/>
      <c r="D4" s="157"/>
      <c r="E4" s="157"/>
      <c r="F4" s="157"/>
      <c r="H4" s="3"/>
    </row>
    <row r="5" spans="1:22" ht="12.75" customHeight="1">
      <c r="A5" s="3"/>
      <c r="B5" s="3"/>
      <c r="C5" s="3"/>
      <c r="H5" s="3"/>
    </row>
    <row r="6" spans="1:22" ht="12.75" customHeight="1">
      <c r="A6" s="3"/>
      <c r="B6" s="35" t="s">
        <v>253</v>
      </c>
      <c r="C6" s="3"/>
      <c r="H6" s="3"/>
    </row>
    <row r="7" spans="1:22" ht="12.75" customHeight="1">
      <c r="A7" s="3"/>
      <c r="B7" s="3"/>
      <c r="C7" s="3"/>
      <c r="H7" s="3"/>
    </row>
    <row r="8" spans="1:22" ht="28">
      <c r="A8" s="59"/>
      <c r="B8" s="153" t="s">
        <v>254</v>
      </c>
      <c r="C8" s="153" t="s">
        <v>53</v>
      </c>
      <c r="D8" s="153" t="s">
        <v>255</v>
      </c>
      <c r="E8" s="153" t="s">
        <v>256</v>
      </c>
      <c r="F8" s="153" t="s">
        <v>257</v>
      </c>
      <c r="G8" s="153" t="s">
        <v>258</v>
      </c>
      <c r="H8" s="154" t="s">
        <v>54</v>
      </c>
      <c r="I8" s="64"/>
      <c r="J8" s="64"/>
      <c r="K8" s="64"/>
      <c r="L8" s="64"/>
      <c r="M8" s="64"/>
      <c r="N8" s="64"/>
      <c r="O8" s="64"/>
      <c r="P8" s="64"/>
      <c r="Q8" s="64"/>
      <c r="R8" s="64"/>
      <c r="S8" s="64"/>
      <c r="T8" s="64"/>
      <c r="U8" s="64"/>
    </row>
    <row r="9" spans="1:22" ht="13">
      <c r="A9" s="65"/>
      <c r="B9" s="149" t="s">
        <v>868</v>
      </c>
      <c r="C9" s="155" t="s">
        <v>66</v>
      </c>
      <c r="D9" s="155" t="s">
        <v>899</v>
      </c>
      <c r="E9" s="155"/>
      <c r="F9" s="149" t="s">
        <v>260</v>
      </c>
      <c r="G9" s="149" t="s">
        <v>869</v>
      </c>
      <c r="H9" s="149">
        <v>11970.3</v>
      </c>
      <c r="I9" s="39"/>
      <c r="J9" s="39"/>
      <c r="K9" s="39"/>
      <c r="L9" s="39"/>
      <c r="M9" s="39"/>
      <c r="N9" s="39"/>
      <c r="O9" s="39"/>
      <c r="P9" s="39"/>
      <c r="Q9" s="39"/>
      <c r="R9" s="39"/>
      <c r="S9" s="39"/>
      <c r="T9" s="39"/>
      <c r="U9" s="39"/>
    </row>
    <row r="10" spans="1:22" ht="13">
      <c r="A10" s="65"/>
      <c r="B10" s="149" t="s">
        <v>870</v>
      </c>
      <c r="C10" s="155" t="s">
        <v>887</v>
      </c>
      <c r="D10" s="155" t="s">
        <v>900</v>
      </c>
      <c r="E10" s="155"/>
      <c r="F10" s="149" t="s">
        <v>260</v>
      </c>
      <c r="G10" s="149" t="s">
        <v>869</v>
      </c>
      <c r="H10" s="149">
        <v>4441.25</v>
      </c>
      <c r="I10" s="39"/>
      <c r="J10" s="39"/>
      <c r="K10" s="39"/>
      <c r="L10" s="39"/>
      <c r="M10" s="39"/>
      <c r="N10" s="39"/>
      <c r="O10" s="39"/>
      <c r="P10" s="39"/>
      <c r="Q10" s="39"/>
      <c r="R10" s="39"/>
      <c r="S10" s="39"/>
      <c r="T10" s="39"/>
      <c r="U10" s="39"/>
    </row>
    <row r="11" spans="1:22" ht="13">
      <c r="A11" s="65"/>
      <c r="B11" s="149" t="s">
        <v>871</v>
      </c>
      <c r="C11" s="155" t="s">
        <v>396</v>
      </c>
      <c r="D11" s="155"/>
      <c r="E11" s="155" t="s">
        <v>901</v>
      </c>
      <c r="F11" s="149" t="s">
        <v>260</v>
      </c>
      <c r="G11" s="149" t="s">
        <v>869</v>
      </c>
      <c r="H11" s="149">
        <v>2661.45</v>
      </c>
      <c r="I11" s="39"/>
      <c r="J11" s="39"/>
      <c r="K11" s="39"/>
      <c r="L11" s="39"/>
      <c r="M11" s="39"/>
      <c r="N11" s="39"/>
      <c r="O11" s="39"/>
      <c r="P11" s="39"/>
      <c r="Q11" s="39"/>
      <c r="R11" s="39"/>
      <c r="S11" s="39"/>
      <c r="T11" s="39"/>
      <c r="U11" s="39"/>
    </row>
    <row r="12" spans="1:22" ht="13">
      <c r="A12" s="65"/>
      <c r="B12" s="149" t="s">
        <v>872</v>
      </c>
      <c r="C12" s="155" t="s">
        <v>396</v>
      </c>
      <c r="D12" s="155" t="s">
        <v>902</v>
      </c>
      <c r="E12" s="155" t="s">
        <v>903</v>
      </c>
      <c r="F12" s="149" t="s">
        <v>260</v>
      </c>
      <c r="G12" s="149" t="s">
        <v>869</v>
      </c>
      <c r="H12" s="149">
        <v>2220</v>
      </c>
      <c r="I12" s="39"/>
      <c r="J12" s="39"/>
      <c r="K12" s="39"/>
      <c r="L12" s="39"/>
      <c r="M12" s="39"/>
      <c r="N12" s="39"/>
      <c r="O12" s="39"/>
      <c r="P12" s="39"/>
      <c r="Q12" s="39"/>
      <c r="R12" s="39"/>
      <c r="S12" s="39"/>
      <c r="T12" s="39"/>
      <c r="U12" s="39"/>
    </row>
    <row r="13" spans="1:22" ht="13">
      <c r="A13" s="65"/>
      <c r="B13" s="149" t="s">
        <v>873</v>
      </c>
      <c r="C13" s="155" t="s">
        <v>396</v>
      </c>
      <c r="D13" s="155"/>
      <c r="E13" s="155" t="s">
        <v>905</v>
      </c>
      <c r="F13" s="149" t="s">
        <v>260</v>
      </c>
      <c r="G13" s="149" t="s">
        <v>869</v>
      </c>
      <c r="H13" s="149">
        <v>1704.94</v>
      </c>
      <c r="I13" s="39"/>
      <c r="J13" s="39"/>
      <c r="K13" s="39"/>
      <c r="L13" s="39"/>
      <c r="M13" s="39"/>
      <c r="N13" s="39"/>
      <c r="O13" s="39"/>
      <c r="P13" s="39"/>
      <c r="Q13" s="39"/>
      <c r="R13" s="39"/>
      <c r="S13" s="39"/>
      <c r="T13" s="39"/>
      <c r="U13" s="39"/>
    </row>
    <row r="14" spans="1:22" ht="13">
      <c r="A14" s="65"/>
      <c r="B14" s="149" t="s">
        <v>874</v>
      </c>
      <c r="C14" s="155" t="s">
        <v>885</v>
      </c>
      <c r="D14" s="155" t="s">
        <v>904</v>
      </c>
      <c r="E14" s="155"/>
      <c r="F14" s="149" t="s">
        <v>260</v>
      </c>
      <c r="G14" s="149" t="s">
        <v>869</v>
      </c>
      <c r="H14" s="149">
        <v>175</v>
      </c>
      <c r="I14" s="39"/>
      <c r="J14" s="39"/>
      <c r="K14" s="39"/>
      <c r="L14" s="39"/>
      <c r="M14" s="39"/>
      <c r="N14" s="39"/>
      <c r="O14" s="39"/>
      <c r="P14" s="39"/>
      <c r="Q14" s="39"/>
      <c r="R14" s="39"/>
      <c r="S14" s="39"/>
      <c r="T14" s="39"/>
      <c r="U14" s="39"/>
    </row>
    <row r="15" spans="1:22" ht="13">
      <c r="A15" s="65"/>
      <c r="B15" s="149" t="s">
        <v>875</v>
      </c>
      <c r="C15" s="155" t="s">
        <v>885</v>
      </c>
      <c r="D15" s="155"/>
      <c r="E15" s="155" t="s">
        <v>906</v>
      </c>
      <c r="F15" s="149" t="s">
        <v>260</v>
      </c>
      <c r="G15" s="149" t="s">
        <v>869</v>
      </c>
      <c r="H15" s="149">
        <v>30.77</v>
      </c>
      <c r="I15" s="39"/>
      <c r="J15" s="39"/>
      <c r="K15" s="39"/>
      <c r="L15" s="39"/>
      <c r="M15" s="39"/>
      <c r="N15" s="39"/>
      <c r="O15" s="39"/>
      <c r="P15" s="39"/>
      <c r="Q15" s="39"/>
      <c r="R15" s="39"/>
      <c r="S15" s="39"/>
      <c r="T15" s="39"/>
      <c r="U15" s="39"/>
    </row>
    <row r="16" spans="1:22" ht="12" customHeight="1">
      <c r="A16" s="3"/>
      <c r="B16" s="149" t="s">
        <v>868</v>
      </c>
      <c r="C16" s="155" t="s">
        <v>66</v>
      </c>
      <c r="D16" s="155" t="s">
        <v>899</v>
      </c>
      <c r="E16" s="155"/>
      <c r="F16" s="149" t="s">
        <v>260</v>
      </c>
      <c r="G16" s="149" t="s">
        <v>869</v>
      </c>
      <c r="H16" s="149">
        <v>8623.7900000000009</v>
      </c>
    </row>
    <row r="17" spans="1:8" ht="13" customHeight="1">
      <c r="A17" s="3"/>
      <c r="B17" s="149" t="s">
        <v>876</v>
      </c>
      <c r="C17" s="155" t="s">
        <v>886</v>
      </c>
      <c r="D17" s="170" t="s">
        <v>907</v>
      </c>
      <c r="E17" s="155"/>
      <c r="F17" s="149" t="s">
        <v>260</v>
      </c>
      <c r="G17" s="149" t="s">
        <v>869</v>
      </c>
      <c r="H17" s="149">
        <v>4815.6000000000004</v>
      </c>
    </row>
    <row r="18" spans="1:8" ht="13" customHeight="1">
      <c r="A18" s="3"/>
      <c r="B18" s="149" t="s">
        <v>871</v>
      </c>
      <c r="C18" s="155" t="s">
        <v>396</v>
      </c>
      <c r="D18" s="155"/>
      <c r="E18" s="155" t="s">
        <v>901</v>
      </c>
      <c r="F18" s="149" t="s">
        <v>260</v>
      </c>
      <c r="G18" s="149" t="s">
        <v>869</v>
      </c>
      <c r="H18" s="149">
        <v>2383.35</v>
      </c>
    </row>
    <row r="19" spans="1:8" ht="13">
      <c r="A19" s="3"/>
      <c r="B19" s="149" t="s">
        <v>877</v>
      </c>
      <c r="C19" s="155" t="s">
        <v>885</v>
      </c>
      <c r="D19" s="155"/>
      <c r="E19" s="155" t="s">
        <v>908</v>
      </c>
      <c r="F19" s="149" t="s">
        <v>260</v>
      </c>
      <c r="G19" s="149" t="s">
        <v>869</v>
      </c>
      <c r="H19" s="149">
        <f>1462.2+69.13</f>
        <v>1531.33</v>
      </c>
    </row>
    <row r="20" spans="1:8" ht="13">
      <c r="A20" s="3"/>
      <c r="B20" s="149" t="s">
        <v>875</v>
      </c>
      <c r="C20" s="155" t="s">
        <v>885</v>
      </c>
      <c r="D20" s="155"/>
      <c r="E20" s="155" t="s">
        <v>906</v>
      </c>
      <c r="F20" s="149" t="s">
        <v>260</v>
      </c>
      <c r="G20" s="149" t="s">
        <v>869</v>
      </c>
      <c r="H20" s="149">
        <v>931.77</v>
      </c>
    </row>
    <row r="21" spans="1:8" ht="13">
      <c r="A21" s="3"/>
      <c r="B21" s="149" t="s">
        <v>873</v>
      </c>
      <c r="C21" s="155" t="s">
        <v>898</v>
      </c>
      <c r="D21" s="155"/>
      <c r="E21" s="155" t="s">
        <v>905</v>
      </c>
      <c r="F21" s="149" t="s">
        <v>260</v>
      </c>
      <c r="G21" s="149" t="s">
        <v>869</v>
      </c>
      <c r="H21" s="149">
        <v>604.79999999999995</v>
      </c>
    </row>
    <row r="22" spans="1:8" ht="13">
      <c r="A22" s="3"/>
      <c r="B22" s="149" t="s">
        <v>872</v>
      </c>
      <c r="C22" s="155" t="s">
        <v>898</v>
      </c>
      <c r="D22" s="155"/>
      <c r="E22" s="155"/>
      <c r="F22" s="149" t="s">
        <v>260</v>
      </c>
      <c r="G22" s="149" t="s">
        <v>869</v>
      </c>
      <c r="H22" s="149">
        <v>282.5</v>
      </c>
    </row>
    <row r="23" spans="1:8" s="140" customFormat="1" ht="13">
      <c r="A23" s="132"/>
      <c r="B23" s="167"/>
      <c r="C23" s="168"/>
      <c r="D23" s="168"/>
      <c r="E23" s="168"/>
      <c r="F23" s="167"/>
      <c r="G23" s="167"/>
      <c r="H23" s="167"/>
    </row>
    <row r="24" spans="1:8" ht="13">
      <c r="A24" s="3"/>
      <c r="B24" s="132"/>
      <c r="C24" s="132"/>
      <c r="D24" s="132"/>
      <c r="E24" s="132"/>
      <c r="F24" s="139"/>
      <c r="G24" s="139"/>
      <c r="H24" s="132"/>
    </row>
    <row r="25" spans="1:8" ht="13">
      <c r="A25" s="3"/>
      <c r="B25" s="132"/>
      <c r="C25" s="132"/>
      <c r="D25" s="132"/>
      <c r="E25" s="132"/>
      <c r="F25" s="139"/>
      <c r="G25" s="139"/>
      <c r="H25" s="132"/>
    </row>
    <row r="26" spans="1:8" ht="13">
      <c r="A26" s="3"/>
      <c r="B26" s="3"/>
      <c r="C26" s="3"/>
      <c r="D26" s="3"/>
      <c r="E26" s="3"/>
      <c r="H26" s="3"/>
    </row>
    <row r="27" spans="1:8" ht="13">
      <c r="A27" s="3"/>
      <c r="B27" s="3"/>
      <c r="C27" s="3"/>
      <c r="D27" s="3"/>
      <c r="E27" s="3"/>
      <c r="H27" s="3"/>
    </row>
    <row r="28" spans="1:8" ht="13">
      <c r="A28" s="3"/>
      <c r="B28" s="3"/>
      <c r="C28" s="3"/>
      <c r="D28" s="3"/>
      <c r="E28" s="3"/>
      <c r="H28" s="3"/>
    </row>
    <row r="29" spans="1:8" ht="13">
      <c r="A29" s="3"/>
      <c r="B29" s="3"/>
      <c r="C29" s="3"/>
      <c r="D29" s="3"/>
      <c r="E29" s="3"/>
      <c r="H29" s="3"/>
    </row>
    <row r="30" spans="1:8" ht="13">
      <c r="A30" s="3"/>
      <c r="B30" s="3"/>
      <c r="C30" s="3"/>
      <c r="D30" s="3"/>
      <c r="E30" s="3"/>
      <c r="H30" s="3"/>
    </row>
    <row r="31" spans="1:8" ht="13">
      <c r="A31" s="3"/>
      <c r="B31" s="3"/>
      <c r="C31" s="3"/>
      <c r="D31" s="3"/>
      <c r="E31" s="3"/>
      <c r="H31" s="3"/>
    </row>
    <row r="32" spans="1:8" ht="13">
      <c r="A32" s="3"/>
      <c r="B32" s="3"/>
      <c r="C32" s="3"/>
      <c r="D32" s="3"/>
      <c r="E32" s="3"/>
      <c r="H32" s="3"/>
    </row>
    <row r="33" spans="1:8" ht="13">
      <c r="A33" s="3"/>
      <c r="B33" s="3"/>
      <c r="C33" s="3"/>
      <c r="D33" s="3"/>
      <c r="E33" s="3"/>
      <c r="H33" s="3"/>
    </row>
    <row r="34" spans="1:8" ht="13">
      <c r="A34" s="3"/>
      <c r="B34" s="3"/>
      <c r="C34" s="3"/>
      <c r="D34" s="3"/>
      <c r="E34" s="3"/>
      <c r="H34" s="3"/>
    </row>
    <row r="35" spans="1:8" ht="13">
      <c r="A35" s="3"/>
      <c r="B35" s="3"/>
      <c r="C35" s="3"/>
      <c r="D35" s="3"/>
      <c r="E35" s="3"/>
      <c r="H35" s="3"/>
    </row>
    <row r="36" spans="1:8" ht="13">
      <c r="A36" s="3"/>
      <c r="B36" s="3"/>
      <c r="C36" s="3"/>
      <c r="D36" s="3"/>
      <c r="E36" s="3"/>
      <c r="H36" s="3"/>
    </row>
    <row r="37" spans="1:8" ht="13">
      <c r="A37" s="3"/>
      <c r="B37" s="3"/>
      <c r="C37" s="3"/>
      <c r="D37" s="3"/>
      <c r="E37" s="3"/>
      <c r="H37" s="3"/>
    </row>
    <row r="38" spans="1:8" ht="13">
      <c r="A38" s="3"/>
      <c r="B38" s="3"/>
      <c r="C38" s="3"/>
      <c r="D38" s="3"/>
      <c r="E38" s="3"/>
      <c r="H38" s="3"/>
    </row>
    <row r="39" spans="1:8" ht="13">
      <c r="A39" s="3"/>
      <c r="B39" s="3"/>
      <c r="C39" s="3"/>
      <c r="D39" s="3"/>
      <c r="E39" s="3"/>
      <c r="H39" s="3"/>
    </row>
    <row r="40" spans="1:8" ht="13">
      <c r="A40" s="3"/>
      <c r="B40" s="3"/>
      <c r="C40" s="3"/>
      <c r="D40" s="3"/>
      <c r="E40" s="3"/>
      <c r="H40" s="3"/>
    </row>
    <row r="41" spans="1:8" ht="13">
      <c r="A41" s="3"/>
      <c r="B41" s="3"/>
      <c r="C41" s="3"/>
      <c r="D41" s="3"/>
      <c r="E41" s="3"/>
      <c r="H41" s="3"/>
    </row>
    <row r="42" spans="1:8" ht="13">
      <c r="A42" s="3"/>
      <c r="B42" s="3"/>
      <c r="C42" s="3"/>
      <c r="D42" s="3"/>
      <c r="E42" s="3"/>
      <c r="H42" s="3"/>
    </row>
    <row r="43" spans="1:8" ht="13">
      <c r="A43" s="3"/>
      <c r="B43" s="3"/>
      <c r="C43" s="3"/>
      <c r="D43" s="3"/>
      <c r="E43" s="3"/>
      <c r="H43" s="3"/>
    </row>
    <row r="44" spans="1:8" ht="13">
      <c r="A44" s="3"/>
      <c r="B44" s="3"/>
      <c r="C44" s="3"/>
      <c r="D44" s="3"/>
      <c r="E44" s="3"/>
      <c r="H44" s="3"/>
    </row>
    <row r="45" spans="1:8" ht="13">
      <c r="A45" s="3"/>
      <c r="B45" s="3"/>
      <c r="C45" s="3"/>
      <c r="D45" s="3"/>
      <c r="E45" s="3"/>
      <c r="H45" s="3"/>
    </row>
    <row r="46" spans="1:8" ht="13">
      <c r="A46" s="3"/>
      <c r="B46" s="3"/>
      <c r="C46" s="3"/>
      <c r="D46" s="3"/>
      <c r="E46" s="3"/>
      <c r="H46" s="3"/>
    </row>
    <row r="47" spans="1:8" ht="13">
      <c r="A47" s="3"/>
      <c r="B47" s="3"/>
      <c r="C47" s="3"/>
      <c r="D47" s="3"/>
      <c r="E47" s="3"/>
      <c r="H47" s="3"/>
    </row>
    <row r="48" spans="1:8" ht="13">
      <c r="A48" s="3"/>
      <c r="B48" s="3"/>
      <c r="C48" s="3"/>
      <c r="D48" s="3"/>
      <c r="E48" s="3"/>
      <c r="H48" s="3"/>
    </row>
    <row r="49" spans="1:8" ht="13">
      <c r="A49" s="3"/>
      <c r="B49" s="3"/>
      <c r="C49" s="3"/>
      <c r="D49" s="3"/>
      <c r="E49" s="3"/>
      <c r="H49" s="3"/>
    </row>
    <row r="50" spans="1:8" ht="13">
      <c r="A50" s="3"/>
      <c r="B50" s="3"/>
      <c r="C50" s="3"/>
      <c r="D50" s="3"/>
      <c r="E50" s="3"/>
      <c r="H50" s="3"/>
    </row>
    <row r="51" spans="1:8" ht="13">
      <c r="A51" s="3"/>
      <c r="B51" s="3"/>
      <c r="C51" s="3"/>
      <c r="D51" s="3"/>
      <c r="E51" s="3"/>
      <c r="H51" s="3"/>
    </row>
    <row r="52" spans="1:8" ht="13">
      <c r="A52" s="3"/>
      <c r="B52" s="3"/>
      <c r="C52" s="3"/>
      <c r="D52" s="3"/>
      <c r="E52" s="3"/>
      <c r="H52" s="3"/>
    </row>
    <row r="53" spans="1:8" ht="13">
      <c r="A53" s="3"/>
      <c r="B53" s="3"/>
      <c r="C53" s="3"/>
      <c r="D53" s="3"/>
      <c r="E53" s="3"/>
      <c r="H53" s="3"/>
    </row>
    <row r="54" spans="1:8" ht="13">
      <c r="A54" s="3"/>
      <c r="B54" s="3"/>
      <c r="C54" s="3"/>
      <c r="D54" s="3"/>
      <c r="E54" s="3"/>
      <c r="H54" s="3"/>
    </row>
    <row r="55" spans="1:8" ht="13">
      <c r="A55" s="3"/>
      <c r="B55" s="3"/>
      <c r="C55" s="3"/>
      <c r="D55" s="3"/>
      <c r="E55" s="3"/>
      <c r="H55" s="3"/>
    </row>
    <row r="56" spans="1:8" ht="13">
      <c r="A56" s="3"/>
      <c r="B56" s="3"/>
      <c r="C56" s="3"/>
      <c r="D56" s="3"/>
      <c r="E56" s="3"/>
      <c r="H56" s="3"/>
    </row>
    <row r="57" spans="1:8" ht="13">
      <c r="A57" s="3"/>
      <c r="B57" s="3"/>
      <c r="C57" s="3"/>
      <c r="D57" s="3"/>
      <c r="E57" s="3"/>
      <c r="H57" s="3"/>
    </row>
    <row r="58" spans="1:8" ht="13">
      <c r="A58" s="3"/>
      <c r="B58" s="3"/>
      <c r="C58" s="3"/>
      <c r="D58" s="3"/>
      <c r="E58" s="3"/>
      <c r="H58" s="3"/>
    </row>
    <row r="59" spans="1:8" ht="13">
      <c r="A59" s="3"/>
      <c r="B59" s="3"/>
      <c r="C59" s="3"/>
      <c r="D59" s="3"/>
      <c r="E59" s="3"/>
      <c r="H59" s="3"/>
    </row>
    <row r="60" spans="1:8" ht="13">
      <c r="A60" s="3"/>
      <c r="B60" s="3"/>
      <c r="C60" s="3"/>
      <c r="D60" s="3"/>
      <c r="E60" s="3"/>
      <c r="H60" s="3"/>
    </row>
    <row r="61" spans="1:8" ht="13">
      <c r="A61" s="3"/>
      <c r="B61" s="3"/>
      <c r="C61" s="3"/>
      <c r="D61" s="3"/>
      <c r="E61" s="3"/>
      <c r="H61" s="3"/>
    </row>
    <row r="62" spans="1:8" ht="13">
      <c r="A62" s="3"/>
      <c r="B62" s="3"/>
      <c r="C62" s="3"/>
      <c r="D62" s="3"/>
      <c r="E62" s="3"/>
      <c r="H62" s="3"/>
    </row>
    <row r="63" spans="1:8" ht="13">
      <c r="A63" s="3"/>
      <c r="B63" s="3"/>
      <c r="C63" s="3"/>
      <c r="D63" s="3"/>
      <c r="E63" s="3"/>
      <c r="H63" s="3"/>
    </row>
    <row r="64" spans="1:8" ht="13">
      <c r="A64" s="3"/>
      <c r="B64" s="3"/>
      <c r="C64" s="3"/>
      <c r="D64" s="3"/>
      <c r="E64" s="3"/>
      <c r="H64" s="3"/>
    </row>
    <row r="65" spans="1:8" ht="13">
      <c r="A65" s="3"/>
      <c r="B65" s="3"/>
      <c r="C65" s="3"/>
      <c r="D65" s="3"/>
      <c r="E65" s="3"/>
      <c r="H65" s="3"/>
    </row>
    <row r="66" spans="1:8" ht="13">
      <c r="A66" s="3"/>
      <c r="B66" s="3"/>
      <c r="C66" s="3"/>
      <c r="D66" s="3"/>
      <c r="E66" s="3"/>
      <c r="H66" s="3"/>
    </row>
    <row r="67" spans="1:8" ht="13">
      <c r="A67" s="3"/>
      <c r="B67" s="3"/>
      <c r="C67" s="3"/>
      <c r="D67" s="3"/>
      <c r="E67" s="3"/>
      <c r="H67" s="3"/>
    </row>
    <row r="68" spans="1:8" ht="13">
      <c r="A68" s="3"/>
      <c r="B68" s="3"/>
      <c r="C68" s="3"/>
      <c r="D68" s="3"/>
      <c r="E68" s="3"/>
      <c r="H68" s="3"/>
    </row>
    <row r="69" spans="1:8" ht="13">
      <c r="A69" s="3"/>
      <c r="B69" s="3"/>
      <c r="C69" s="3"/>
      <c r="D69" s="3"/>
      <c r="E69" s="3"/>
      <c r="H69" s="3"/>
    </row>
    <row r="70" spans="1:8" ht="13">
      <c r="A70" s="3"/>
      <c r="B70" s="3"/>
      <c r="C70" s="3"/>
      <c r="D70" s="3"/>
      <c r="E70" s="3"/>
      <c r="H70" s="3"/>
    </row>
    <row r="71" spans="1:8" ht="13">
      <c r="A71" s="3"/>
      <c r="B71" s="3"/>
      <c r="C71" s="3"/>
      <c r="D71" s="3"/>
      <c r="E71" s="3"/>
      <c r="H71" s="3"/>
    </row>
    <row r="72" spans="1:8" ht="13">
      <c r="A72" s="3"/>
      <c r="B72" s="3"/>
      <c r="C72" s="3"/>
      <c r="D72" s="3"/>
      <c r="E72" s="3"/>
      <c r="H72" s="3"/>
    </row>
    <row r="73" spans="1:8" ht="13">
      <c r="A73" s="3"/>
      <c r="B73" s="3"/>
      <c r="C73" s="3"/>
      <c r="D73" s="3"/>
      <c r="E73" s="3"/>
      <c r="H73" s="3"/>
    </row>
    <row r="74" spans="1:8" ht="13">
      <c r="A74" s="3"/>
      <c r="B74" s="3"/>
      <c r="C74" s="3"/>
      <c r="D74" s="3"/>
      <c r="E74" s="3"/>
      <c r="H74" s="3"/>
    </row>
    <row r="75" spans="1:8" ht="13">
      <c r="A75" s="3"/>
      <c r="B75" s="3"/>
      <c r="C75" s="3"/>
      <c r="D75" s="3"/>
      <c r="E75" s="3"/>
      <c r="H75" s="3"/>
    </row>
    <row r="76" spans="1:8" ht="13">
      <c r="A76" s="3"/>
      <c r="B76" s="3"/>
      <c r="C76" s="3"/>
      <c r="D76" s="3"/>
      <c r="E76" s="3"/>
      <c r="H76" s="3"/>
    </row>
    <row r="77" spans="1:8" ht="13">
      <c r="A77" s="3"/>
      <c r="B77" s="3"/>
      <c r="C77" s="3"/>
      <c r="D77" s="3"/>
      <c r="E77" s="3"/>
      <c r="H77" s="3"/>
    </row>
    <row r="78" spans="1:8" ht="13">
      <c r="A78" s="3"/>
      <c r="B78" s="3"/>
      <c r="C78" s="3"/>
      <c r="D78" s="3"/>
      <c r="E78" s="3"/>
      <c r="H78" s="3"/>
    </row>
    <row r="79" spans="1:8" ht="13">
      <c r="A79" s="3"/>
      <c r="B79" s="3"/>
      <c r="C79" s="3"/>
      <c r="D79" s="3"/>
      <c r="E79" s="3"/>
      <c r="H79" s="3"/>
    </row>
    <row r="80" spans="1:8" ht="13">
      <c r="A80" s="3"/>
      <c r="B80" s="3"/>
      <c r="C80" s="3"/>
      <c r="D80" s="3"/>
      <c r="E80" s="3"/>
      <c r="H80" s="3"/>
    </row>
    <row r="81" spans="1:8" ht="13">
      <c r="A81" s="3"/>
      <c r="B81" s="3"/>
      <c r="C81" s="3"/>
      <c r="D81" s="3"/>
      <c r="E81" s="3"/>
      <c r="H81" s="3"/>
    </row>
    <row r="82" spans="1:8" ht="13">
      <c r="A82" s="3"/>
      <c r="B82" s="3"/>
      <c r="C82" s="3"/>
      <c r="D82" s="3"/>
      <c r="E82" s="3"/>
      <c r="H82" s="3"/>
    </row>
    <row r="83" spans="1:8" ht="13">
      <c r="A83" s="3"/>
      <c r="B83" s="3"/>
      <c r="C83" s="3"/>
      <c r="D83" s="3"/>
      <c r="E83" s="3"/>
      <c r="H83" s="3"/>
    </row>
    <row r="84" spans="1:8" ht="13">
      <c r="A84" s="3"/>
      <c r="B84" s="3"/>
      <c r="C84" s="3"/>
      <c r="D84" s="3"/>
      <c r="E84" s="3"/>
      <c r="H84" s="3"/>
    </row>
    <row r="85" spans="1:8" ht="13">
      <c r="A85" s="3"/>
      <c r="B85" s="3"/>
      <c r="C85" s="3"/>
      <c r="D85" s="3"/>
      <c r="E85" s="3"/>
      <c r="H85" s="3"/>
    </row>
    <row r="86" spans="1:8" ht="13">
      <c r="A86" s="3"/>
      <c r="B86" s="3"/>
      <c r="C86" s="3"/>
      <c r="D86" s="3"/>
      <c r="E86" s="3"/>
      <c r="H86" s="3"/>
    </row>
    <row r="87" spans="1:8" ht="13">
      <c r="A87" s="3"/>
      <c r="B87" s="3"/>
      <c r="C87" s="3"/>
      <c r="D87" s="3"/>
      <c r="E87" s="3"/>
      <c r="H87" s="3"/>
    </row>
    <row r="88" spans="1:8" ht="13">
      <c r="A88" s="3"/>
      <c r="B88" s="3"/>
      <c r="C88" s="3"/>
      <c r="D88" s="3"/>
      <c r="E88" s="3"/>
      <c r="H88" s="3"/>
    </row>
    <row r="89" spans="1:8" ht="13">
      <c r="A89" s="3"/>
      <c r="B89" s="3"/>
      <c r="C89" s="3"/>
      <c r="D89" s="3"/>
      <c r="E89" s="3"/>
      <c r="H89" s="3"/>
    </row>
    <row r="90" spans="1:8" ht="13">
      <c r="A90" s="3"/>
      <c r="B90" s="3"/>
      <c r="C90" s="3"/>
      <c r="D90" s="3"/>
      <c r="E90" s="3"/>
      <c r="H90" s="3"/>
    </row>
    <row r="91" spans="1:8" ht="13">
      <c r="A91" s="3"/>
      <c r="B91" s="3"/>
      <c r="C91" s="3"/>
      <c r="D91" s="3"/>
      <c r="E91" s="3"/>
      <c r="H91" s="3"/>
    </row>
    <row r="92" spans="1:8" ht="13">
      <c r="A92" s="3"/>
      <c r="B92" s="3"/>
      <c r="C92" s="3"/>
      <c r="D92" s="3"/>
      <c r="E92" s="3"/>
      <c r="H92" s="3"/>
    </row>
    <row r="93" spans="1:8" ht="13">
      <c r="A93" s="3"/>
      <c r="B93" s="3"/>
      <c r="C93" s="3"/>
      <c r="D93" s="3"/>
      <c r="E93" s="3"/>
      <c r="H93" s="3"/>
    </row>
    <row r="94" spans="1:8" ht="13">
      <c r="A94" s="3"/>
      <c r="B94" s="3"/>
      <c r="C94" s="3"/>
      <c r="D94" s="3"/>
      <c r="E94" s="3"/>
      <c r="H94" s="3"/>
    </row>
    <row r="95" spans="1:8" ht="13">
      <c r="A95" s="3"/>
      <c r="B95" s="3"/>
      <c r="C95" s="3"/>
      <c r="D95" s="3"/>
      <c r="E95" s="3"/>
      <c r="H95" s="3"/>
    </row>
    <row r="96" spans="1:8" ht="13">
      <c r="A96" s="3"/>
      <c r="B96" s="3"/>
      <c r="C96" s="3"/>
      <c r="D96" s="3"/>
      <c r="E96" s="3"/>
      <c r="H96" s="3"/>
    </row>
    <row r="97" spans="1:8" ht="13">
      <c r="A97" s="3"/>
      <c r="B97" s="3"/>
      <c r="C97" s="3"/>
      <c r="D97" s="3"/>
      <c r="E97" s="3"/>
      <c r="H97" s="3"/>
    </row>
    <row r="98" spans="1:8" ht="13">
      <c r="A98" s="3"/>
      <c r="B98" s="3"/>
      <c r="C98" s="3"/>
      <c r="D98" s="3"/>
      <c r="E98" s="3"/>
      <c r="H98" s="3"/>
    </row>
    <row r="99" spans="1:8" ht="13">
      <c r="A99" s="3"/>
      <c r="B99" s="3"/>
      <c r="C99" s="3"/>
      <c r="D99" s="3"/>
      <c r="E99" s="3"/>
      <c r="H99" s="3"/>
    </row>
    <row r="100" spans="1:8" ht="13">
      <c r="A100" s="3"/>
      <c r="B100" s="3"/>
      <c r="C100" s="3"/>
      <c r="D100" s="3"/>
      <c r="E100" s="3"/>
      <c r="H100" s="3"/>
    </row>
    <row r="101" spans="1:8" ht="13">
      <c r="A101" s="3"/>
      <c r="B101" s="3"/>
      <c r="C101" s="3"/>
      <c r="D101" s="3"/>
      <c r="E101" s="3"/>
      <c r="H101" s="3"/>
    </row>
    <row r="102" spans="1:8" ht="13">
      <c r="A102" s="3"/>
      <c r="B102" s="3"/>
      <c r="C102" s="3"/>
      <c r="D102" s="3"/>
      <c r="E102" s="3"/>
      <c r="H102" s="3"/>
    </row>
    <row r="103" spans="1:8" ht="13">
      <c r="A103" s="3"/>
      <c r="B103" s="3"/>
      <c r="C103" s="3"/>
      <c r="D103" s="3"/>
      <c r="E103" s="3"/>
      <c r="H103" s="3"/>
    </row>
    <row r="104" spans="1:8" ht="13">
      <c r="A104" s="3"/>
      <c r="B104" s="3"/>
      <c r="C104" s="3"/>
      <c r="D104" s="3"/>
      <c r="E104" s="3"/>
      <c r="H104" s="3"/>
    </row>
    <row r="105" spans="1:8" ht="13">
      <c r="A105" s="3"/>
      <c r="B105" s="3"/>
      <c r="C105" s="3"/>
      <c r="D105" s="3"/>
      <c r="E105" s="3"/>
      <c r="H105" s="3"/>
    </row>
    <row r="106" spans="1:8" ht="13">
      <c r="A106" s="3"/>
      <c r="B106" s="3"/>
      <c r="C106" s="3"/>
      <c r="D106" s="3"/>
      <c r="E106" s="3"/>
      <c r="H106" s="3"/>
    </row>
    <row r="107" spans="1:8" ht="13">
      <c r="A107" s="3"/>
      <c r="B107" s="3"/>
      <c r="C107" s="3"/>
      <c r="D107" s="3"/>
      <c r="E107" s="3"/>
      <c r="H107" s="3"/>
    </row>
    <row r="108" spans="1:8" ht="13">
      <c r="A108" s="3"/>
      <c r="B108" s="3"/>
      <c r="C108" s="3"/>
      <c r="D108" s="3"/>
      <c r="E108" s="3"/>
      <c r="H108" s="3"/>
    </row>
    <row r="109" spans="1:8" ht="13">
      <c r="A109" s="3"/>
      <c r="B109" s="3"/>
      <c r="C109" s="3"/>
      <c r="D109" s="3"/>
      <c r="E109" s="3"/>
      <c r="H109" s="3"/>
    </row>
    <row r="110" spans="1:8" ht="13">
      <c r="A110" s="3"/>
      <c r="B110" s="3"/>
      <c r="C110" s="3"/>
      <c r="D110" s="3"/>
      <c r="E110" s="3"/>
      <c r="H110" s="3"/>
    </row>
    <row r="111" spans="1:8" ht="13">
      <c r="A111" s="3"/>
      <c r="B111" s="3"/>
      <c r="C111" s="3"/>
      <c r="D111" s="3"/>
      <c r="E111" s="3"/>
      <c r="H111" s="3"/>
    </row>
    <row r="112" spans="1:8" ht="13">
      <c r="A112" s="3"/>
      <c r="B112" s="3"/>
      <c r="C112" s="3"/>
      <c r="D112" s="3"/>
      <c r="E112" s="3"/>
      <c r="H112" s="3"/>
    </row>
    <row r="113" spans="1:8" ht="13">
      <c r="A113" s="3"/>
      <c r="B113" s="3"/>
      <c r="C113" s="3"/>
      <c r="D113" s="3"/>
      <c r="E113" s="3"/>
      <c r="H113" s="3"/>
    </row>
    <row r="114" spans="1:8" ht="13">
      <c r="A114" s="3"/>
      <c r="B114" s="3"/>
      <c r="C114" s="3"/>
      <c r="D114" s="3"/>
      <c r="E114" s="3"/>
      <c r="H114" s="3"/>
    </row>
    <row r="115" spans="1:8" ht="13">
      <c r="A115" s="3"/>
      <c r="B115" s="3"/>
      <c r="C115" s="3"/>
      <c r="D115" s="3"/>
      <c r="E115" s="3"/>
      <c r="H115" s="3"/>
    </row>
    <row r="116" spans="1:8" ht="13">
      <c r="A116" s="3"/>
      <c r="B116" s="3"/>
      <c r="C116" s="3"/>
      <c r="D116" s="3"/>
      <c r="E116" s="3"/>
      <c r="H116" s="3"/>
    </row>
    <row r="117" spans="1:8" ht="13">
      <c r="A117" s="3"/>
      <c r="B117" s="3"/>
      <c r="C117" s="3"/>
      <c r="D117" s="3"/>
      <c r="E117" s="3"/>
      <c r="H117" s="3"/>
    </row>
    <row r="118" spans="1:8" ht="13">
      <c r="A118" s="3"/>
      <c r="B118" s="3"/>
      <c r="C118" s="3"/>
      <c r="D118" s="3"/>
      <c r="E118" s="3"/>
      <c r="H118" s="3"/>
    </row>
    <row r="119" spans="1:8" ht="13">
      <c r="A119" s="3"/>
      <c r="B119" s="3"/>
      <c r="C119" s="3"/>
      <c r="D119" s="3"/>
      <c r="E119" s="3"/>
      <c r="H119" s="3"/>
    </row>
    <row r="120" spans="1:8" ht="13">
      <c r="A120" s="3"/>
      <c r="B120" s="3"/>
      <c r="C120" s="3"/>
      <c r="D120" s="3"/>
      <c r="E120" s="3"/>
      <c r="H120" s="3"/>
    </row>
    <row r="121" spans="1:8" ht="13">
      <c r="A121" s="3"/>
      <c r="B121" s="3"/>
      <c r="C121" s="3"/>
      <c r="D121" s="3"/>
      <c r="E121" s="3"/>
      <c r="H121" s="3"/>
    </row>
    <row r="122" spans="1:8" ht="13">
      <c r="A122" s="3"/>
      <c r="B122" s="3"/>
      <c r="C122" s="3"/>
      <c r="D122" s="3"/>
      <c r="E122" s="3"/>
      <c r="H122" s="3"/>
    </row>
    <row r="123" spans="1:8" ht="13">
      <c r="A123" s="3"/>
      <c r="B123" s="3"/>
      <c r="C123" s="3"/>
      <c r="D123" s="3"/>
      <c r="E123" s="3"/>
      <c r="H123" s="3"/>
    </row>
    <row r="124" spans="1:8" ht="13">
      <c r="A124" s="3"/>
      <c r="B124" s="3"/>
      <c r="C124" s="3"/>
      <c r="D124" s="3"/>
      <c r="E124" s="3"/>
      <c r="H124" s="3"/>
    </row>
    <row r="125" spans="1:8" ht="13">
      <c r="A125" s="3"/>
      <c r="B125" s="3"/>
      <c r="C125" s="3"/>
      <c r="D125" s="3"/>
      <c r="E125" s="3"/>
      <c r="H125" s="3"/>
    </row>
    <row r="126" spans="1:8" ht="13">
      <c r="A126" s="3"/>
      <c r="B126" s="3"/>
      <c r="C126" s="3"/>
      <c r="D126" s="3"/>
      <c r="E126" s="3"/>
      <c r="H126" s="3"/>
    </row>
    <row r="127" spans="1:8" ht="13">
      <c r="A127" s="3"/>
      <c r="B127" s="3"/>
      <c r="C127" s="3"/>
      <c r="D127" s="3"/>
      <c r="E127" s="3"/>
      <c r="H127" s="3"/>
    </row>
    <row r="128" spans="1:8" ht="13">
      <c r="A128" s="3"/>
      <c r="B128" s="3"/>
      <c r="C128" s="3"/>
      <c r="D128" s="3"/>
      <c r="E128" s="3"/>
      <c r="H128" s="3"/>
    </row>
    <row r="129" spans="1:8" ht="13">
      <c r="A129" s="3"/>
      <c r="B129" s="3"/>
      <c r="C129" s="3"/>
      <c r="D129" s="3"/>
      <c r="E129" s="3"/>
      <c r="H129" s="3"/>
    </row>
    <row r="130" spans="1:8" ht="13">
      <c r="A130" s="3"/>
      <c r="B130" s="3"/>
      <c r="C130" s="3"/>
      <c r="D130" s="3"/>
      <c r="E130" s="3"/>
      <c r="H130" s="3"/>
    </row>
    <row r="131" spans="1:8" ht="13">
      <c r="A131" s="3"/>
      <c r="B131" s="3"/>
      <c r="C131" s="3"/>
      <c r="D131" s="3"/>
      <c r="E131" s="3"/>
      <c r="H131" s="3"/>
    </row>
    <row r="132" spans="1:8" ht="13">
      <c r="A132" s="3"/>
      <c r="B132" s="3"/>
      <c r="C132" s="3"/>
      <c r="D132" s="3"/>
      <c r="E132" s="3"/>
      <c r="H132" s="3"/>
    </row>
    <row r="133" spans="1:8" ht="13">
      <c r="A133" s="3"/>
      <c r="B133" s="3"/>
      <c r="C133" s="3"/>
      <c r="D133" s="3"/>
      <c r="E133" s="3"/>
      <c r="H133" s="3"/>
    </row>
    <row r="134" spans="1:8" ht="13">
      <c r="A134" s="3"/>
      <c r="B134" s="3"/>
      <c r="C134" s="3"/>
      <c r="D134" s="3"/>
      <c r="E134" s="3"/>
      <c r="H134" s="3"/>
    </row>
    <row r="135" spans="1:8" ht="13">
      <c r="A135" s="3"/>
      <c r="B135" s="3"/>
      <c r="C135" s="3"/>
      <c r="D135" s="3"/>
      <c r="E135" s="3"/>
      <c r="H135" s="3"/>
    </row>
    <row r="136" spans="1:8" ht="13">
      <c r="A136" s="3"/>
      <c r="B136" s="3"/>
      <c r="C136" s="3"/>
      <c r="D136" s="3"/>
      <c r="E136" s="3"/>
      <c r="H136" s="3"/>
    </row>
    <row r="137" spans="1:8" ht="13">
      <c r="A137" s="3"/>
      <c r="B137" s="3"/>
      <c r="C137" s="3"/>
      <c r="D137" s="3"/>
      <c r="E137" s="3"/>
      <c r="H137" s="3"/>
    </row>
    <row r="138" spans="1:8" ht="13">
      <c r="A138" s="3"/>
      <c r="B138" s="3"/>
      <c r="C138" s="3"/>
      <c r="D138" s="3"/>
      <c r="E138" s="3"/>
      <c r="H138" s="3"/>
    </row>
    <row r="139" spans="1:8" ht="13">
      <c r="A139" s="3"/>
      <c r="B139" s="3"/>
      <c r="C139" s="3"/>
      <c r="D139" s="3"/>
      <c r="E139" s="3"/>
      <c r="H139" s="3"/>
    </row>
    <row r="140" spans="1:8" ht="13">
      <c r="A140" s="3"/>
      <c r="B140" s="3"/>
      <c r="C140" s="3"/>
      <c r="D140" s="3"/>
      <c r="E140" s="3"/>
      <c r="H140" s="3"/>
    </row>
    <row r="141" spans="1:8" ht="13">
      <c r="A141" s="3"/>
      <c r="B141" s="3"/>
      <c r="C141" s="3"/>
      <c r="D141" s="3"/>
      <c r="E141" s="3"/>
      <c r="H141" s="3"/>
    </row>
    <row r="142" spans="1:8" ht="13">
      <c r="A142" s="3"/>
      <c r="B142" s="3"/>
      <c r="C142" s="3"/>
      <c r="D142" s="3"/>
      <c r="E142" s="3"/>
      <c r="H142" s="3"/>
    </row>
    <row r="143" spans="1:8" ht="13">
      <c r="A143" s="3"/>
      <c r="B143" s="3"/>
      <c r="C143" s="3"/>
      <c r="D143" s="3"/>
      <c r="E143" s="3"/>
      <c r="H143" s="3"/>
    </row>
    <row r="144" spans="1:8" ht="13">
      <c r="A144" s="3"/>
      <c r="B144" s="3"/>
      <c r="C144" s="3"/>
      <c r="D144" s="3"/>
      <c r="E144" s="3"/>
      <c r="H144" s="3"/>
    </row>
    <row r="145" spans="1:8" ht="13">
      <c r="A145" s="3"/>
      <c r="B145" s="3"/>
      <c r="C145" s="3"/>
      <c r="D145" s="3"/>
      <c r="E145" s="3"/>
      <c r="H145" s="3"/>
    </row>
    <row r="146" spans="1:8" ht="13">
      <c r="A146" s="3"/>
      <c r="B146" s="3"/>
      <c r="C146" s="3"/>
      <c r="D146" s="3"/>
      <c r="E146" s="3"/>
      <c r="H146" s="3"/>
    </row>
    <row r="147" spans="1:8" ht="13">
      <c r="A147" s="3"/>
      <c r="B147" s="3"/>
      <c r="C147" s="3"/>
      <c r="D147" s="3"/>
      <c r="E147" s="3"/>
      <c r="H147" s="3"/>
    </row>
    <row r="148" spans="1:8" ht="13">
      <c r="A148" s="3"/>
      <c r="B148" s="3"/>
      <c r="C148" s="3"/>
      <c r="D148" s="3"/>
      <c r="E148" s="3"/>
      <c r="H148" s="3"/>
    </row>
    <row r="149" spans="1:8" ht="13">
      <c r="A149" s="3"/>
      <c r="B149" s="3"/>
      <c r="C149" s="3"/>
      <c r="D149" s="3"/>
      <c r="E149" s="3"/>
      <c r="H149" s="3"/>
    </row>
    <row r="150" spans="1:8" ht="13">
      <c r="A150" s="3"/>
      <c r="B150" s="3"/>
      <c r="C150" s="3"/>
      <c r="D150" s="3"/>
      <c r="E150" s="3"/>
      <c r="H150" s="3"/>
    </row>
    <row r="151" spans="1:8" ht="13">
      <c r="A151" s="3"/>
      <c r="B151" s="3"/>
      <c r="C151" s="3"/>
      <c r="D151" s="3"/>
      <c r="E151" s="3"/>
      <c r="H151" s="3"/>
    </row>
    <row r="152" spans="1:8" ht="13">
      <c r="A152" s="3"/>
      <c r="B152" s="3"/>
      <c r="C152" s="3"/>
      <c r="D152" s="3"/>
      <c r="E152" s="3"/>
      <c r="H152" s="3"/>
    </row>
    <row r="153" spans="1:8" ht="13">
      <c r="A153" s="3"/>
      <c r="B153" s="3"/>
      <c r="C153" s="3"/>
      <c r="D153" s="3"/>
      <c r="E153" s="3"/>
      <c r="H153" s="3"/>
    </row>
    <row r="154" spans="1:8" ht="13">
      <c r="A154" s="3"/>
      <c r="B154" s="3"/>
      <c r="C154" s="3"/>
      <c r="D154" s="3"/>
      <c r="E154" s="3"/>
      <c r="H154" s="3"/>
    </row>
    <row r="155" spans="1:8" ht="13">
      <c r="A155" s="3"/>
      <c r="B155" s="3"/>
      <c r="C155" s="3"/>
      <c r="D155" s="3"/>
      <c r="E155" s="3"/>
      <c r="H155" s="3"/>
    </row>
    <row r="156" spans="1:8" ht="13">
      <c r="A156" s="3"/>
      <c r="B156" s="3"/>
      <c r="C156" s="3"/>
      <c r="D156" s="3"/>
      <c r="E156" s="3"/>
      <c r="H156" s="3"/>
    </row>
    <row r="157" spans="1:8" ht="13">
      <c r="A157" s="3"/>
      <c r="B157" s="3"/>
      <c r="C157" s="3"/>
      <c r="D157" s="3"/>
      <c r="E157" s="3"/>
      <c r="H157" s="3"/>
    </row>
    <row r="158" spans="1:8" ht="13">
      <c r="A158" s="3"/>
      <c r="B158" s="3"/>
      <c r="C158" s="3"/>
      <c r="D158" s="3"/>
      <c r="E158" s="3"/>
      <c r="H158" s="3"/>
    </row>
    <row r="159" spans="1:8" ht="13">
      <c r="A159" s="3"/>
      <c r="B159" s="3"/>
      <c r="C159" s="3"/>
      <c r="D159" s="3"/>
      <c r="E159" s="3"/>
      <c r="H159" s="3"/>
    </row>
    <row r="160" spans="1:8" ht="13">
      <c r="A160" s="3"/>
      <c r="B160" s="3"/>
      <c r="C160" s="3"/>
      <c r="D160" s="3"/>
      <c r="E160" s="3"/>
      <c r="H160" s="3"/>
    </row>
    <row r="161" spans="1:8" ht="13">
      <c r="A161" s="3"/>
      <c r="B161" s="3"/>
      <c r="C161" s="3"/>
      <c r="D161" s="3"/>
      <c r="E161" s="3"/>
      <c r="H161" s="3"/>
    </row>
    <row r="162" spans="1:8" ht="13">
      <c r="A162" s="3"/>
      <c r="B162" s="3"/>
      <c r="C162" s="3"/>
      <c r="D162" s="3"/>
      <c r="E162" s="3"/>
      <c r="H162" s="3"/>
    </row>
    <row r="163" spans="1:8" ht="13">
      <c r="A163" s="3"/>
      <c r="B163" s="3"/>
      <c r="C163" s="3"/>
      <c r="D163" s="3"/>
      <c r="E163" s="3"/>
      <c r="H163" s="3"/>
    </row>
    <row r="164" spans="1:8" ht="13">
      <c r="A164" s="3"/>
      <c r="B164" s="3"/>
      <c r="C164" s="3"/>
      <c r="D164" s="3"/>
      <c r="E164" s="3"/>
      <c r="H164" s="3"/>
    </row>
    <row r="165" spans="1:8" ht="13">
      <c r="A165" s="3"/>
      <c r="B165" s="3"/>
      <c r="C165" s="3"/>
      <c r="D165" s="3"/>
      <c r="E165" s="3"/>
      <c r="H165" s="3"/>
    </row>
    <row r="166" spans="1:8" ht="13">
      <c r="A166" s="3"/>
      <c r="B166" s="3"/>
      <c r="C166" s="3"/>
      <c r="D166" s="3"/>
      <c r="E166" s="3"/>
      <c r="H166" s="3"/>
    </row>
    <row r="167" spans="1:8" ht="13">
      <c r="A167" s="3"/>
      <c r="B167" s="3"/>
      <c r="C167" s="3"/>
      <c r="D167" s="3"/>
      <c r="E167" s="3"/>
      <c r="H167" s="3"/>
    </row>
    <row r="168" spans="1:8" ht="13">
      <c r="A168" s="3"/>
      <c r="B168" s="3"/>
      <c r="C168" s="3"/>
      <c r="D168" s="3"/>
      <c r="E168" s="3"/>
      <c r="H168" s="3"/>
    </row>
    <row r="169" spans="1:8" ht="13">
      <c r="A169" s="3"/>
      <c r="B169" s="3"/>
      <c r="C169" s="3"/>
      <c r="D169" s="3"/>
      <c r="E169" s="3"/>
      <c r="H169" s="3"/>
    </row>
    <row r="170" spans="1:8" ht="13">
      <c r="A170" s="3"/>
      <c r="B170" s="3"/>
      <c r="C170" s="3"/>
      <c r="D170" s="3"/>
      <c r="E170" s="3"/>
      <c r="H170" s="3"/>
    </row>
    <row r="171" spans="1:8" ht="13">
      <c r="A171" s="3"/>
      <c r="B171" s="3"/>
      <c r="C171" s="3"/>
      <c r="D171" s="3"/>
      <c r="E171" s="3"/>
      <c r="H171" s="3"/>
    </row>
    <row r="172" spans="1:8" ht="13">
      <c r="A172" s="3"/>
      <c r="B172" s="3"/>
      <c r="C172" s="3"/>
      <c r="D172" s="3"/>
      <c r="E172" s="3"/>
      <c r="H172" s="3"/>
    </row>
    <row r="173" spans="1:8" ht="13">
      <c r="A173" s="3"/>
      <c r="B173" s="3"/>
      <c r="C173" s="3"/>
      <c r="D173" s="3"/>
      <c r="E173" s="3"/>
      <c r="H173" s="3"/>
    </row>
    <row r="174" spans="1:8" ht="13">
      <c r="A174" s="3"/>
      <c r="B174" s="3"/>
      <c r="C174" s="3"/>
      <c r="D174" s="3"/>
      <c r="E174" s="3"/>
      <c r="H174" s="3"/>
    </row>
    <row r="175" spans="1:8" ht="13">
      <c r="A175" s="3"/>
      <c r="B175" s="3"/>
      <c r="C175" s="3"/>
      <c r="D175" s="3"/>
      <c r="E175" s="3"/>
      <c r="H175" s="3"/>
    </row>
    <row r="176" spans="1:8" ht="13">
      <c r="A176" s="3"/>
      <c r="B176" s="3"/>
      <c r="C176" s="3"/>
      <c r="D176" s="3"/>
      <c r="E176" s="3"/>
      <c r="H176" s="3"/>
    </row>
    <row r="177" spans="1:8" ht="13">
      <c r="A177" s="3"/>
      <c r="B177" s="3"/>
      <c r="C177" s="3"/>
      <c r="D177" s="3"/>
      <c r="E177" s="3"/>
      <c r="H177" s="3"/>
    </row>
    <row r="178" spans="1:8" ht="13">
      <c r="A178" s="3"/>
      <c r="B178" s="3"/>
      <c r="C178" s="3"/>
      <c r="D178" s="3"/>
      <c r="E178" s="3"/>
      <c r="H178" s="3"/>
    </row>
    <row r="179" spans="1:8" ht="13">
      <c r="A179" s="3"/>
      <c r="B179" s="3"/>
      <c r="C179" s="3"/>
      <c r="D179" s="3"/>
      <c r="E179" s="3"/>
      <c r="H179" s="3"/>
    </row>
    <row r="180" spans="1:8" ht="13">
      <c r="A180" s="3"/>
      <c r="B180" s="3"/>
      <c r="C180" s="3"/>
      <c r="D180" s="3"/>
      <c r="E180" s="3"/>
      <c r="H180" s="3"/>
    </row>
    <row r="181" spans="1:8" ht="13">
      <c r="A181" s="3"/>
      <c r="B181" s="3"/>
      <c r="C181" s="3"/>
      <c r="D181" s="3"/>
      <c r="E181" s="3"/>
      <c r="H181" s="3"/>
    </row>
    <row r="182" spans="1:8" ht="13">
      <c r="A182" s="3"/>
      <c r="B182" s="3"/>
      <c r="C182" s="3"/>
      <c r="D182" s="3"/>
      <c r="E182" s="3"/>
      <c r="H182" s="3"/>
    </row>
    <row r="183" spans="1:8" ht="13">
      <c r="A183" s="3"/>
      <c r="B183" s="3"/>
      <c r="C183" s="3"/>
      <c r="D183" s="3"/>
      <c r="E183" s="3"/>
      <c r="H183" s="3"/>
    </row>
    <row r="184" spans="1:8" ht="13">
      <c r="A184" s="3"/>
      <c r="B184" s="3"/>
      <c r="C184" s="3"/>
      <c r="D184" s="3"/>
      <c r="E184" s="3"/>
      <c r="H184" s="3"/>
    </row>
    <row r="185" spans="1:8" ht="13">
      <c r="A185" s="3"/>
      <c r="B185" s="3"/>
      <c r="C185" s="3"/>
      <c r="D185" s="3"/>
      <c r="E185" s="3"/>
      <c r="H185" s="3"/>
    </row>
    <row r="186" spans="1:8" ht="13">
      <c r="A186" s="3"/>
      <c r="B186" s="3"/>
      <c r="C186" s="3"/>
      <c r="D186" s="3"/>
      <c r="E186" s="3"/>
      <c r="H186" s="3"/>
    </row>
    <row r="187" spans="1:8" ht="13">
      <c r="A187" s="3"/>
      <c r="B187" s="3"/>
      <c r="C187" s="3"/>
      <c r="D187" s="3"/>
      <c r="E187" s="3"/>
      <c r="H187" s="3"/>
    </row>
    <row r="188" spans="1:8" ht="13">
      <c r="A188" s="3"/>
      <c r="B188" s="3"/>
      <c r="C188" s="3"/>
      <c r="D188" s="3"/>
      <c r="E188" s="3"/>
      <c r="H188" s="3"/>
    </row>
    <row r="189" spans="1:8" ht="13">
      <c r="A189" s="3"/>
      <c r="B189" s="3"/>
      <c r="C189" s="3"/>
      <c r="D189" s="3"/>
      <c r="E189" s="3"/>
      <c r="H189" s="3"/>
    </row>
    <row r="190" spans="1:8" ht="13">
      <c r="A190" s="3"/>
      <c r="B190" s="3"/>
      <c r="C190" s="3"/>
      <c r="D190" s="3"/>
      <c r="E190" s="3"/>
      <c r="H190" s="3"/>
    </row>
    <row r="191" spans="1:8" ht="13">
      <c r="A191" s="3"/>
      <c r="B191" s="3"/>
      <c r="C191" s="3"/>
      <c r="D191" s="3"/>
      <c r="E191" s="3"/>
      <c r="H191" s="3"/>
    </row>
    <row r="192" spans="1:8" ht="13">
      <c r="A192" s="3"/>
      <c r="B192" s="3"/>
      <c r="C192" s="3"/>
      <c r="D192" s="3"/>
      <c r="E192" s="3"/>
      <c r="H192" s="3"/>
    </row>
    <row r="193" spans="1:8" ht="13">
      <c r="A193" s="3"/>
      <c r="B193" s="3"/>
      <c r="C193" s="3"/>
      <c r="D193" s="3"/>
      <c r="E193" s="3"/>
      <c r="H193" s="3"/>
    </row>
    <row r="194" spans="1:8" ht="13">
      <c r="A194" s="3"/>
      <c r="B194" s="3"/>
      <c r="C194" s="3"/>
      <c r="D194" s="3"/>
      <c r="E194" s="3"/>
      <c r="H194" s="3"/>
    </row>
    <row r="195" spans="1:8" ht="13">
      <c r="A195" s="3"/>
      <c r="B195" s="3"/>
      <c r="C195" s="3"/>
      <c r="D195" s="3"/>
      <c r="E195" s="3"/>
      <c r="H195" s="3"/>
    </row>
    <row r="196" spans="1:8" ht="13">
      <c r="A196" s="3"/>
      <c r="B196" s="3"/>
      <c r="C196" s="3"/>
      <c r="D196" s="3"/>
      <c r="E196" s="3"/>
      <c r="H196" s="3"/>
    </row>
    <row r="197" spans="1:8" ht="13">
      <c r="A197" s="3"/>
      <c r="B197" s="3"/>
      <c r="C197" s="3"/>
      <c r="D197" s="3"/>
      <c r="E197" s="3"/>
      <c r="H197" s="3"/>
    </row>
    <row r="198" spans="1:8" ht="13">
      <c r="A198" s="3"/>
      <c r="B198" s="3"/>
      <c r="C198" s="3"/>
      <c r="D198" s="3"/>
      <c r="E198" s="3"/>
      <c r="H198" s="3"/>
    </row>
    <row r="199" spans="1:8" ht="13">
      <c r="A199" s="3"/>
      <c r="B199" s="3"/>
      <c r="C199" s="3"/>
      <c r="D199" s="3"/>
      <c r="E199" s="3"/>
      <c r="H199" s="3"/>
    </row>
    <row r="200" spans="1:8" ht="13">
      <c r="A200" s="3"/>
      <c r="B200" s="3"/>
      <c r="C200" s="3"/>
      <c r="D200" s="3"/>
      <c r="E200" s="3"/>
      <c r="H200" s="3"/>
    </row>
    <row r="201" spans="1:8" ht="13">
      <c r="A201" s="3"/>
      <c r="B201" s="3"/>
      <c r="C201" s="3"/>
      <c r="D201" s="3"/>
      <c r="E201" s="3"/>
      <c r="H201" s="3"/>
    </row>
    <row r="202" spans="1:8" ht="13">
      <c r="A202" s="3"/>
      <c r="B202" s="3"/>
      <c r="C202" s="3"/>
      <c r="D202" s="3"/>
      <c r="E202" s="3"/>
      <c r="H202" s="3"/>
    </row>
    <row r="203" spans="1:8" ht="13">
      <c r="A203" s="3"/>
      <c r="B203" s="3"/>
      <c r="C203" s="3"/>
      <c r="D203" s="3"/>
      <c r="E203" s="3"/>
      <c r="H203" s="3"/>
    </row>
    <row r="204" spans="1:8" ht="13">
      <c r="A204" s="3"/>
      <c r="B204" s="3"/>
      <c r="C204" s="3"/>
      <c r="D204" s="3"/>
      <c r="E204" s="3"/>
      <c r="H204" s="3"/>
    </row>
    <row r="205" spans="1:8" ht="13">
      <c r="A205" s="3"/>
      <c r="B205" s="3"/>
      <c r="C205" s="3"/>
      <c r="D205" s="3"/>
      <c r="E205" s="3"/>
      <c r="H205" s="3"/>
    </row>
    <row r="206" spans="1:8" ht="13">
      <c r="A206" s="3"/>
      <c r="B206" s="3"/>
      <c r="C206" s="3"/>
      <c r="D206" s="3"/>
      <c r="E206" s="3"/>
      <c r="H206" s="3"/>
    </row>
    <row r="207" spans="1:8" ht="13">
      <c r="A207" s="3"/>
      <c r="B207" s="3"/>
      <c r="C207" s="3"/>
      <c r="D207" s="3"/>
      <c r="E207" s="3"/>
      <c r="H207" s="3"/>
    </row>
    <row r="208" spans="1:8" ht="13">
      <c r="A208" s="3"/>
      <c r="B208" s="3"/>
      <c r="C208" s="3"/>
      <c r="D208" s="3"/>
      <c r="E208" s="3"/>
      <c r="H208" s="3"/>
    </row>
    <row r="209" spans="1:8" ht="13">
      <c r="A209" s="3"/>
      <c r="B209" s="3"/>
      <c r="C209" s="3"/>
      <c r="D209" s="3"/>
      <c r="E209" s="3"/>
      <c r="H209" s="3"/>
    </row>
    <row r="210" spans="1:8" ht="13">
      <c r="A210" s="3"/>
      <c r="B210" s="3"/>
      <c r="C210" s="3"/>
      <c r="D210" s="3"/>
      <c r="E210" s="3"/>
      <c r="H210" s="3"/>
    </row>
    <row r="211" spans="1:8" ht="13">
      <c r="A211" s="3"/>
      <c r="B211" s="3"/>
      <c r="C211" s="3"/>
      <c r="D211" s="3"/>
      <c r="E211" s="3"/>
      <c r="H211" s="3"/>
    </row>
    <row r="212" spans="1:8" ht="13">
      <c r="A212" s="3"/>
      <c r="B212" s="3"/>
      <c r="C212" s="3"/>
      <c r="D212" s="3"/>
      <c r="E212" s="3"/>
      <c r="H212" s="3"/>
    </row>
    <row r="213" spans="1:8" ht="13">
      <c r="A213" s="3"/>
      <c r="B213" s="3"/>
      <c r="C213" s="3"/>
      <c r="D213" s="3"/>
      <c r="E213" s="3"/>
      <c r="H213" s="3"/>
    </row>
    <row r="214" spans="1:8" ht="13">
      <c r="A214" s="3"/>
      <c r="B214" s="3"/>
      <c r="C214" s="3"/>
      <c r="D214" s="3"/>
      <c r="E214" s="3"/>
      <c r="H214" s="3"/>
    </row>
    <row r="215" spans="1:8" ht="13">
      <c r="A215" s="3"/>
      <c r="B215" s="3"/>
      <c r="C215" s="3"/>
      <c r="D215" s="3"/>
      <c r="E215" s="3"/>
      <c r="H215" s="3"/>
    </row>
    <row r="216" spans="1:8" ht="13">
      <c r="A216" s="3"/>
      <c r="B216" s="3"/>
      <c r="C216" s="3"/>
      <c r="D216" s="3"/>
      <c r="E216" s="3"/>
      <c r="H216" s="3"/>
    </row>
    <row r="217" spans="1:8" ht="13">
      <c r="A217" s="3"/>
      <c r="B217" s="3"/>
      <c r="C217" s="3"/>
      <c r="D217" s="3"/>
      <c r="E217" s="3"/>
      <c r="H217" s="3"/>
    </row>
    <row r="218" spans="1:8" ht="13">
      <c r="A218" s="3"/>
      <c r="B218" s="3"/>
      <c r="C218" s="3"/>
      <c r="D218" s="3"/>
      <c r="E218" s="3"/>
      <c r="H218" s="3"/>
    </row>
    <row r="219" spans="1:8" ht="13">
      <c r="A219" s="3"/>
      <c r="B219" s="3"/>
      <c r="C219" s="3"/>
      <c r="D219" s="3"/>
      <c r="E219" s="3"/>
      <c r="H219" s="3"/>
    </row>
    <row r="220" spans="1:8" ht="13">
      <c r="A220" s="3"/>
      <c r="B220" s="3"/>
      <c r="C220" s="3"/>
      <c r="D220" s="3"/>
      <c r="E220" s="3"/>
      <c r="H220" s="3"/>
    </row>
    <row r="221" spans="1:8" ht="13">
      <c r="A221" s="3"/>
      <c r="B221" s="3"/>
      <c r="C221" s="3"/>
      <c r="D221" s="3"/>
      <c r="E221" s="3"/>
      <c r="H221" s="3"/>
    </row>
    <row r="222" spans="1:8" ht="13">
      <c r="A222" s="3"/>
      <c r="B222" s="3"/>
      <c r="C222" s="3"/>
      <c r="D222" s="3"/>
      <c r="E222" s="3"/>
      <c r="H222" s="3"/>
    </row>
    <row r="223" spans="1:8" ht="13">
      <c r="A223" s="3"/>
      <c r="B223" s="3"/>
      <c r="C223" s="3"/>
      <c r="D223" s="3"/>
      <c r="E223" s="3"/>
      <c r="H223" s="3"/>
    </row>
    <row r="224" spans="1:8" ht="13">
      <c r="A224" s="3"/>
      <c r="B224" s="3"/>
      <c r="C224" s="3"/>
      <c r="D224" s="3"/>
      <c r="E224" s="3"/>
      <c r="H224" s="3"/>
    </row>
    <row r="225" spans="1:8" ht="13">
      <c r="A225" s="3"/>
      <c r="B225" s="3"/>
      <c r="C225" s="3"/>
      <c r="D225" s="3"/>
      <c r="E225" s="3"/>
      <c r="H225" s="3"/>
    </row>
    <row r="226" spans="1:8" ht="13">
      <c r="A226" s="3"/>
      <c r="B226" s="3"/>
      <c r="C226" s="3"/>
      <c r="D226" s="3"/>
      <c r="E226" s="3"/>
      <c r="H226" s="3"/>
    </row>
    <row r="227" spans="1:8" ht="13">
      <c r="A227" s="3"/>
      <c r="B227" s="3"/>
      <c r="C227" s="3"/>
      <c r="D227" s="3"/>
      <c r="E227" s="3"/>
      <c r="H227" s="3"/>
    </row>
    <row r="228" spans="1:8" ht="13">
      <c r="A228" s="3"/>
      <c r="B228" s="3"/>
      <c r="C228" s="3"/>
      <c r="D228" s="3"/>
      <c r="E228" s="3"/>
      <c r="H228" s="3"/>
    </row>
    <row r="229" spans="1:8" ht="13">
      <c r="A229" s="3"/>
      <c r="B229" s="3"/>
      <c r="C229" s="3"/>
      <c r="D229" s="3"/>
      <c r="E229" s="3"/>
      <c r="H229" s="3"/>
    </row>
    <row r="230" spans="1:8" ht="13">
      <c r="A230" s="3"/>
      <c r="B230" s="3"/>
      <c r="C230" s="3"/>
      <c r="D230" s="3"/>
      <c r="E230" s="3"/>
      <c r="H230" s="3"/>
    </row>
    <row r="231" spans="1:8" ht="13">
      <c r="A231" s="3"/>
      <c r="B231" s="3"/>
      <c r="C231" s="3"/>
      <c r="D231" s="3"/>
      <c r="E231" s="3"/>
      <c r="H231" s="3"/>
    </row>
    <row r="232" spans="1:8" ht="13">
      <c r="A232" s="3"/>
      <c r="B232" s="3"/>
      <c r="C232" s="3"/>
      <c r="D232" s="3"/>
      <c r="E232" s="3"/>
      <c r="H232" s="3"/>
    </row>
    <row r="233" spans="1:8" ht="13">
      <c r="A233" s="3"/>
      <c r="B233" s="3"/>
      <c r="C233" s="3"/>
      <c r="D233" s="3"/>
      <c r="E233" s="3"/>
      <c r="H233" s="3"/>
    </row>
    <row r="234" spans="1:8" ht="13">
      <c r="A234" s="3"/>
      <c r="B234" s="3"/>
      <c r="C234" s="3"/>
      <c r="D234" s="3"/>
      <c r="E234" s="3"/>
      <c r="H234" s="3"/>
    </row>
    <row r="235" spans="1:8" ht="13">
      <c r="A235" s="3"/>
      <c r="B235" s="3"/>
      <c r="C235" s="3"/>
      <c r="D235" s="3"/>
      <c r="E235" s="3"/>
      <c r="H235" s="3"/>
    </row>
    <row r="236" spans="1:8" ht="13">
      <c r="A236" s="3"/>
      <c r="B236" s="3"/>
      <c r="C236" s="3"/>
      <c r="D236" s="3"/>
      <c r="E236" s="3"/>
      <c r="H236" s="3"/>
    </row>
    <row r="237" spans="1:8" ht="13">
      <c r="A237" s="3"/>
      <c r="B237" s="3"/>
      <c r="C237" s="3"/>
      <c r="D237" s="3"/>
      <c r="E237" s="3"/>
      <c r="H237" s="3"/>
    </row>
    <row r="238" spans="1:8" ht="13">
      <c r="A238" s="3"/>
      <c r="B238" s="3"/>
      <c r="C238" s="3"/>
      <c r="D238" s="3"/>
      <c r="E238" s="3"/>
      <c r="H238" s="3"/>
    </row>
    <row r="239" spans="1:8" ht="13">
      <c r="A239" s="3"/>
      <c r="B239" s="3"/>
      <c r="C239" s="3"/>
      <c r="D239" s="3"/>
      <c r="E239" s="3"/>
      <c r="H239" s="3"/>
    </row>
    <row r="240" spans="1:8" ht="13">
      <c r="A240" s="3"/>
      <c r="B240" s="3"/>
      <c r="C240" s="3"/>
      <c r="D240" s="3"/>
      <c r="E240" s="3"/>
      <c r="H240" s="3"/>
    </row>
    <row r="241" spans="1:8" ht="13">
      <c r="A241" s="3"/>
      <c r="B241" s="3"/>
      <c r="C241" s="3"/>
      <c r="D241" s="3"/>
      <c r="E241" s="3"/>
      <c r="H241" s="3"/>
    </row>
    <row r="242" spans="1:8" ht="13">
      <c r="A242" s="3"/>
      <c r="B242" s="3"/>
      <c r="C242" s="3"/>
      <c r="D242" s="3"/>
      <c r="E242" s="3"/>
      <c r="H242" s="3"/>
    </row>
    <row r="243" spans="1:8" ht="13">
      <c r="A243" s="3"/>
      <c r="B243" s="3"/>
      <c r="C243" s="3"/>
      <c r="D243" s="3"/>
      <c r="E243" s="3"/>
      <c r="H243" s="3"/>
    </row>
    <row r="244" spans="1:8" ht="13">
      <c r="A244" s="3"/>
      <c r="B244" s="3"/>
      <c r="C244" s="3"/>
      <c r="D244" s="3"/>
      <c r="E244" s="3"/>
      <c r="H244" s="3"/>
    </row>
    <row r="245" spans="1:8" ht="13">
      <c r="A245" s="3"/>
      <c r="B245" s="3"/>
      <c r="C245" s="3"/>
      <c r="D245" s="3"/>
      <c r="E245" s="3"/>
      <c r="H245" s="3"/>
    </row>
    <row r="246" spans="1:8" ht="13">
      <c r="A246" s="3"/>
      <c r="B246" s="3"/>
      <c r="C246" s="3"/>
      <c r="D246" s="3"/>
      <c r="E246" s="3"/>
      <c r="H246" s="3"/>
    </row>
    <row r="247" spans="1:8" ht="13">
      <c r="A247" s="3"/>
      <c r="B247" s="3"/>
      <c r="C247" s="3"/>
      <c r="D247" s="3"/>
      <c r="E247" s="3"/>
      <c r="H247" s="3"/>
    </row>
    <row r="248" spans="1:8" ht="13">
      <c r="A248" s="3"/>
      <c r="B248" s="3"/>
      <c r="C248" s="3"/>
      <c r="D248" s="3"/>
      <c r="E248" s="3"/>
      <c r="H248" s="3"/>
    </row>
    <row r="249" spans="1:8" ht="13">
      <c r="A249" s="3"/>
      <c r="B249" s="3"/>
      <c r="C249" s="3"/>
      <c r="D249" s="3"/>
      <c r="E249" s="3"/>
      <c r="H249" s="3"/>
    </row>
    <row r="250" spans="1:8" ht="13">
      <c r="A250" s="3"/>
      <c r="B250" s="3"/>
      <c r="C250" s="3"/>
      <c r="D250" s="3"/>
      <c r="E250" s="3"/>
      <c r="H250" s="3"/>
    </row>
    <row r="251" spans="1:8" ht="13">
      <c r="A251" s="3"/>
      <c r="B251" s="3"/>
      <c r="C251" s="3"/>
      <c r="D251" s="3"/>
      <c r="E251" s="3"/>
      <c r="H251" s="3"/>
    </row>
    <row r="252" spans="1:8" ht="13">
      <c r="A252" s="3"/>
      <c r="B252" s="3"/>
      <c r="C252" s="3"/>
      <c r="D252" s="3"/>
      <c r="E252" s="3"/>
      <c r="H252" s="3"/>
    </row>
    <row r="253" spans="1:8" ht="13">
      <c r="A253" s="3"/>
      <c r="B253" s="3"/>
      <c r="C253" s="3"/>
      <c r="D253" s="3"/>
      <c r="E253" s="3"/>
      <c r="H253" s="3"/>
    </row>
    <row r="254" spans="1:8" ht="13">
      <c r="A254" s="3"/>
      <c r="B254" s="3"/>
      <c r="C254" s="3"/>
      <c r="D254" s="3"/>
      <c r="E254" s="3"/>
      <c r="H254" s="3"/>
    </row>
    <row r="255" spans="1:8" ht="13">
      <c r="A255" s="3"/>
      <c r="B255" s="3"/>
      <c r="C255" s="3"/>
      <c r="D255" s="3"/>
      <c r="E255" s="3"/>
      <c r="H255" s="3"/>
    </row>
    <row r="256" spans="1:8" ht="13">
      <c r="A256" s="3"/>
      <c r="B256" s="3"/>
      <c r="C256" s="3"/>
      <c r="D256" s="3"/>
      <c r="E256" s="3"/>
      <c r="H256" s="3"/>
    </row>
    <row r="257" spans="1:8" ht="13">
      <c r="A257" s="3"/>
      <c r="B257" s="3"/>
      <c r="C257" s="3"/>
      <c r="D257" s="3"/>
      <c r="E257" s="3"/>
      <c r="H257" s="3"/>
    </row>
    <row r="258" spans="1:8" ht="13">
      <c r="A258" s="3"/>
      <c r="B258" s="3"/>
      <c r="C258" s="3"/>
      <c r="D258" s="3"/>
      <c r="E258" s="3"/>
      <c r="H258" s="3"/>
    </row>
    <row r="259" spans="1:8" ht="13">
      <c r="A259" s="3"/>
      <c r="B259" s="3"/>
      <c r="C259" s="3"/>
      <c r="D259" s="3"/>
      <c r="E259" s="3"/>
      <c r="H259" s="3"/>
    </row>
    <row r="260" spans="1:8" ht="13">
      <c r="A260" s="3"/>
      <c r="B260" s="3"/>
      <c r="C260" s="3"/>
      <c r="D260" s="3"/>
      <c r="E260" s="3"/>
      <c r="H260" s="3"/>
    </row>
    <row r="261" spans="1:8" ht="13">
      <c r="A261" s="3"/>
      <c r="B261" s="3"/>
      <c r="C261" s="3"/>
      <c r="D261" s="3"/>
      <c r="E261" s="3"/>
      <c r="H261" s="3"/>
    </row>
    <row r="262" spans="1:8" ht="13">
      <c r="A262" s="3"/>
      <c r="B262" s="3"/>
      <c r="C262" s="3"/>
      <c r="D262" s="3"/>
      <c r="E262" s="3"/>
      <c r="H262" s="3"/>
    </row>
    <row r="263" spans="1:8" ht="13">
      <c r="A263" s="3"/>
      <c r="B263" s="3"/>
      <c r="C263" s="3"/>
      <c r="D263" s="3"/>
      <c r="E263" s="3"/>
      <c r="H263" s="3"/>
    </row>
    <row r="264" spans="1:8" ht="13">
      <c r="A264" s="3"/>
      <c r="B264" s="3"/>
      <c r="C264" s="3"/>
      <c r="D264" s="3"/>
      <c r="E264" s="3"/>
      <c r="H264" s="3"/>
    </row>
    <row r="265" spans="1:8" ht="13">
      <c r="A265" s="3"/>
      <c r="B265" s="3"/>
      <c r="C265" s="3"/>
      <c r="D265" s="3"/>
      <c r="E265" s="3"/>
      <c r="H265" s="3"/>
    </row>
    <row r="266" spans="1:8" ht="13">
      <c r="A266" s="3"/>
      <c r="B266" s="3"/>
      <c r="C266" s="3"/>
      <c r="D266" s="3"/>
      <c r="E266" s="3"/>
      <c r="H266" s="3"/>
    </row>
    <row r="267" spans="1:8" ht="13">
      <c r="A267" s="3"/>
      <c r="B267" s="3"/>
      <c r="C267" s="3"/>
      <c r="D267" s="3"/>
      <c r="E267" s="3"/>
      <c r="H267" s="3"/>
    </row>
    <row r="268" spans="1:8" ht="13">
      <c r="A268" s="3"/>
      <c r="B268" s="3"/>
      <c r="C268" s="3"/>
      <c r="D268" s="3"/>
      <c r="E268" s="3"/>
      <c r="H268" s="3"/>
    </row>
    <row r="269" spans="1:8" ht="13">
      <c r="A269" s="3"/>
      <c r="B269" s="3"/>
      <c r="C269" s="3"/>
      <c r="D269" s="3"/>
      <c r="E269" s="3"/>
      <c r="H269" s="3"/>
    </row>
    <row r="270" spans="1:8" ht="13">
      <c r="A270" s="3"/>
      <c r="B270" s="3"/>
      <c r="C270" s="3"/>
      <c r="D270" s="3"/>
      <c r="E270" s="3"/>
      <c r="H270" s="3"/>
    </row>
    <row r="271" spans="1:8" ht="13">
      <c r="A271" s="3"/>
      <c r="B271" s="3"/>
      <c r="C271" s="3"/>
      <c r="D271" s="3"/>
      <c r="E271" s="3"/>
      <c r="H271" s="3"/>
    </row>
    <row r="272" spans="1:8" ht="13">
      <c r="A272" s="3"/>
      <c r="B272" s="3"/>
      <c r="C272" s="3"/>
      <c r="D272" s="3"/>
      <c r="E272" s="3"/>
      <c r="H272" s="3"/>
    </row>
    <row r="273" spans="1:8" ht="13">
      <c r="A273" s="3"/>
      <c r="B273" s="3"/>
      <c r="C273" s="3"/>
      <c r="D273" s="3"/>
      <c r="E273" s="3"/>
      <c r="H273" s="3"/>
    </row>
    <row r="274" spans="1:8" ht="13">
      <c r="A274" s="3"/>
      <c r="B274" s="3"/>
      <c r="C274" s="3"/>
      <c r="D274" s="3"/>
      <c r="E274" s="3"/>
      <c r="H274" s="3"/>
    </row>
    <row r="275" spans="1:8" ht="13">
      <c r="A275" s="3"/>
      <c r="B275" s="3"/>
      <c r="C275" s="3"/>
      <c r="D275" s="3"/>
      <c r="E275" s="3"/>
      <c r="H275" s="3"/>
    </row>
    <row r="276" spans="1:8" ht="13">
      <c r="A276" s="3"/>
      <c r="B276" s="3"/>
      <c r="C276" s="3"/>
      <c r="D276" s="3"/>
      <c r="E276" s="3"/>
      <c r="H276" s="3"/>
    </row>
    <row r="277" spans="1:8" ht="13">
      <c r="A277" s="3"/>
      <c r="B277" s="3"/>
      <c r="C277" s="3"/>
      <c r="D277" s="3"/>
      <c r="E277" s="3"/>
      <c r="H277" s="3"/>
    </row>
    <row r="278" spans="1:8" ht="13">
      <c r="A278" s="3"/>
      <c r="B278" s="3"/>
      <c r="C278" s="3"/>
      <c r="D278" s="3"/>
      <c r="E278" s="3"/>
      <c r="H278" s="3"/>
    </row>
    <row r="279" spans="1:8" ht="13">
      <c r="A279" s="3"/>
      <c r="B279" s="3"/>
      <c r="C279" s="3"/>
      <c r="D279" s="3"/>
      <c r="E279" s="3"/>
      <c r="H279" s="3"/>
    </row>
    <row r="280" spans="1:8" ht="13">
      <c r="A280" s="3"/>
      <c r="B280" s="3"/>
      <c r="C280" s="3"/>
      <c r="D280" s="3"/>
      <c r="E280" s="3"/>
      <c r="H280" s="3"/>
    </row>
    <row r="281" spans="1:8" ht="13">
      <c r="A281" s="3"/>
      <c r="B281" s="3"/>
      <c r="C281" s="3"/>
      <c r="D281" s="3"/>
      <c r="E281" s="3"/>
      <c r="H281" s="3"/>
    </row>
    <row r="282" spans="1:8" ht="13">
      <c r="A282" s="3"/>
      <c r="B282" s="3"/>
      <c r="C282" s="3"/>
      <c r="D282" s="3"/>
      <c r="E282" s="3"/>
      <c r="H282" s="3"/>
    </row>
    <row r="283" spans="1:8" ht="13">
      <c r="A283" s="3"/>
      <c r="B283" s="3"/>
      <c r="C283" s="3"/>
      <c r="D283" s="3"/>
      <c r="E283" s="3"/>
      <c r="H283" s="3"/>
    </row>
    <row r="284" spans="1:8" ht="13">
      <c r="A284" s="3"/>
      <c r="B284" s="3"/>
      <c r="C284" s="3"/>
      <c r="D284" s="3"/>
      <c r="E284" s="3"/>
      <c r="H284" s="3"/>
    </row>
    <row r="285" spans="1:8" ht="13">
      <c r="A285" s="3"/>
      <c r="B285" s="3"/>
      <c r="C285" s="3"/>
      <c r="D285" s="3"/>
      <c r="E285" s="3"/>
      <c r="H285" s="3"/>
    </row>
    <row r="286" spans="1:8" ht="13">
      <c r="A286" s="3"/>
      <c r="B286" s="3"/>
      <c r="C286" s="3"/>
      <c r="D286" s="3"/>
      <c r="E286" s="3"/>
      <c r="H286" s="3"/>
    </row>
    <row r="287" spans="1:8" ht="13">
      <c r="A287" s="3"/>
      <c r="B287" s="3"/>
      <c r="C287" s="3"/>
      <c r="D287" s="3"/>
      <c r="E287" s="3"/>
      <c r="H287" s="3"/>
    </row>
    <row r="288" spans="1:8" ht="13">
      <c r="A288" s="3"/>
      <c r="B288" s="3"/>
      <c r="C288" s="3"/>
      <c r="D288" s="3"/>
      <c r="E288" s="3"/>
      <c r="H288" s="3"/>
    </row>
    <row r="289" spans="1:8" ht="13">
      <c r="A289" s="3"/>
      <c r="B289" s="3"/>
      <c r="C289" s="3"/>
      <c r="D289" s="3"/>
      <c r="E289" s="3"/>
      <c r="H289" s="3"/>
    </row>
    <row r="290" spans="1:8" ht="13">
      <c r="A290" s="3"/>
      <c r="B290" s="3"/>
      <c r="C290" s="3"/>
      <c r="D290" s="3"/>
      <c r="E290" s="3"/>
      <c r="H290" s="3"/>
    </row>
    <row r="291" spans="1:8" ht="13">
      <c r="A291" s="3"/>
      <c r="B291" s="3"/>
      <c r="C291" s="3"/>
      <c r="D291" s="3"/>
      <c r="E291" s="3"/>
      <c r="H291" s="3"/>
    </row>
    <row r="292" spans="1:8" ht="13">
      <c r="A292" s="3"/>
      <c r="B292" s="3"/>
      <c r="C292" s="3"/>
      <c r="D292" s="3"/>
      <c r="E292" s="3"/>
      <c r="H292" s="3"/>
    </row>
    <row r="293" spans="1:8" ht="13">
      <c r="A293" s="3"/>
      <c r="B293" s="3"/>
      <c r="C293" s="3"/>
      <c r="D293" s="3"/>
      <c r="E293" s="3"/>
      <c r="H293" s="3"/>
    </row>
    <row r="294" spans="1:8" ht="13">
      <c r="A294" s="3"/>
      <c r="B294" s="3"/>
      <c r="C294" s="3"/>
      <c r="D294" s="3"/>
      <c r="E294" s="3"/>
      <c r="H294" s="3"/>
    </row>
    <row r="295" spans="1:8" ht="13">
      <c r="A295" s="3"/>
      <c r="B295" s="3"/>
      <c r="C295" s="3"/>
      <c r="D295" s="3"/>
      <c r="E295" s="3"/>
      <c r="H295" s="3"/>
    </row>
    <row r="296" spans="1:8" ht="13">
      <c r="A296" s="3"/>
      <c r="B296" s="3"/>
      <c r="C296" s="3"/>
      <c r="D296" s="3"/>
      <c r="E296" s="3"/>
      <c r="H296" s="3"/>
    </row>
    <row r="297" spans="1:8" ht="13">
      <c r="A297" s="3"/>
      <c r="B297" s="3"/>
      <c r="C297" s="3"/>
      <c r="D297" s="3"/>
      <c r="E297" s="3"/>
      <c r="H297" s="3"/>
    </row>
    <row r="298" spans="1:8" ht="13">
      <c r="A298" s="3"/>
      <c r="B298" s="3"/>
      <c r="C298" s="3"/>
      <c r="D298" s="3"/>
      <c r="E298" s="3"/>
      <c r="H298" s="3"/>
    </row>
    <row r="299" spans="1:8" ht="13">
      <c r="A299" s="3"/>
      <c r="B299" s="3"/>
      <c r="C299" s="3"/>
      <c r="D299" s="3"/>
      <c r="E299" s="3"/>
      <c r="H299" s="3"/>
    </row>
    <row r="300" spans="1:8" ht="13">
      <c r="A300" s="3"/>
      <c r="B300" s="3"/>
      <c r="C300" s="3"/>
      <c r="D300" s="3"/>
      <c r="E300" s="3"/>
      <c r="H300" s="3"/>
    </row>
    <row r="301" spans="1:8" ht="13">
      <c r="A301" s="3"/>
      <c r="B301" s="3"/>
      <c r="C301" s="3"/>
      <c r="D301" s="3"/>
      <c r="E301" s="3"/>
      <c r="H301" s="3"/>
    </row>
    <row r="302" spans="1:8" ht="13">
      <c r="A302" s="3"/>
      <c r="B302" s="3"/>
      <c r="C302" s="3"/>
      <c r="D302" s="3"/>
      <c r="E302" s="3"/>
      <c r="H302" s="3"/>
    </row>
    <row r="303" spans="1:8" ht="13">
      <c r="A303" s="3"/>
      <c r="B303" s="3"/>
      <c r="C303" s="3"/>
      <c r="D303" s="3"/>
      <c r="E303" s="3"/>
      <c r="H303" s="3"/>
    </row>
    <row r="304" spans="1:8" ht="13">
      <c r="A304" s="3"/>
      <c r="B304" s="3"/>
      <c r="C304" s="3"/>
      <c r="D304" s="3"/>
      <c r="E304" s="3"/>
      <c r="H304" s="3"/>
    </row>
    <row r="305" spans="1:8" ht="13">
      <c r="A305" s="3"/>
      <c r="B305" s="3"/>
      <c r="C305" s="3"/>
      <c r="D305" s="3"/>
      <c r="E305" s="3"/>
      <c r="H305" s="3"/>
    </row>
    <row r="306" spans="1:8" ht="13">
      <c r="A306" s="3"/>
      <c r="B306" s="3"/>
      <c r="C306" s="3"/>
      <c r="D306" s="3"/>
      <c r="E306" s="3"/>
      <c r="H306" s="3"/>
    </row>
    <row r="307" spans="1:8" ht="13">
      <c r="A307" s="3"/>
      <c r="B307" s="3"/>
      <c r="C307" s="3"/>
      <c r="D307" s="3"/>
      <c r="E307" s="3"/>
      <c r="H307" s="3"/>
    </row>
    <row r="308" spans="1:8" ht="13">
      <c r="A308" s="3"/>
      <c r="B308" s="3"/>
      <c r="C308" s="3"/>
      <c r="D308" s="3"/>
      <c r="E308" s="3"/>
      <c r="H308" s="3"/>
    </row>
    <row r="309" spans="1:8" ht="13">
      <c r="A309" s="3"/>
      <c r="B309" s="3"/>
      <c r="C309" s="3"/>
      <c r="D309" s="3"/>
      <c r="E309" s="3"/>
      <c r="H309" s="3"/>
    </row>
    <row r="310" spans="1:8" ht="13">
      <c r="A310" s="3"/>
      <c r="B310" s="3"/>
      <c r="C310" s="3"/>
      <c r="D310" s="3"/>
      <c r="E310" s="3"/>
      <c r="H310" s="3"/>
    </row>
    <row r="311" spans="1:8" ht="13">
      <c r="A311" s="3"/>
      <c r="B311" s="3"/>
      <c r="C311" s="3"/>
      <c r="D311" s="3"/>
      <c r="E311" s="3"/>
      <c r="H311" s="3"/>
    </row>
    <row r="312" spans="1:8" ht="13">
      <c r="A312" s="3"/>
      <c r="B312" s="3"/>
      <c r="C312" s="3"/>
      <c r="D312" s="3"/>
      <c r="E312" s="3"/>
      <c r="H312" s="3"/>
    </row>
    <row r="313" spans="1:8" ht="13">
      <c r="A313" s="3"/>
      <c r="B313" s="3"/>
      <c r="C313" s="3"/>
      <c r="D313" s="3"/>
      <c r="E313" s="3"/>
      <c r="H313" s="3"/>
    </row>
    <row r="314" spans="1:8" ht="13">
      <c r="A314" s="3"/>
      <c r="B314" s="3"/>
      <c r="C314" s="3"/>
      <c r="D314" s="3"/>
      <c r="E314" s="3"/>
      <c r="H314" s="3"/>
    </row>
    <row r="315" spans="1:8" ht="13">
      <c r="A315" s="3"/>
      <c r="B315" s="3"/>
      <c r="C315" s="3"/>
      <c r="D315" s="3"/>
      <c r="E315" s="3"/>
      <c r="H315" s="3"/>
    </row>
    <row r="316" spans="1:8" ht="13">
      <c r="A316" s="3"/>
      <c r="B316" s="3"/>
      <c r="C316" s="3"/>
      <c r="D316" s="3"/>
      <c r="E316" s="3"/>
      <c r="H316" s="3"/>
    </row>
    <row r="317" spans="1:8" ht="13">
      <c r="A317" s="3"/>
      <c r="B317" s="3"/>
      <c r="C317" s="3"/>
      <c r="D317" s="3"/>
      <c r="E317" s="3"/>
      <c r="H317" s="3"/>
    </row>
    <row r="318" spans="1:8" ht="13">
      <c r="A318" s="3"/>
      <c r="B318" s="3"/>
      <c r="C318" s="3"/>
      <c r="D318" s="3"/>
      <c r="E318" s="3"/>
      <c r="H318" s="3"/>
    </row>
    <row r="319" spans="1:8" ht="13">
      <c r="A319" s="3"/>
      <c r="B319" s="3"/>
      <c r="C319" s="3"/>
      <c r="D319" s="3"/>
      <c r="E319" s="3"/>
      <c r="H319" s="3"/>
    </row>
    <row r="320" spans="1:8" ht="13">
      <c r="A320" s="3"/>
      <c r="B320" s="3"/>
      <c r="C320" s="3"/>
      <c r="D320" s="3"/>
      <c r="E320" s="3"/>
      <c r="H320" s="3"/>
    </row>
    <row r="321" spans="1:8" ht="13">
      <c r="A321" s="3"/>
      <c r="B321" s="3"/>
      <c r="C321" s="3"/>
      <c r="D321" s="3"/>
      <c r="E321" s="3"/>
      <c r="H321" s="3"/>
    </row>
    <row r="322" spans="1:8" ht="13">
      <c r="A322" s="3"/>
      <c r="B322" s="3"/>
      <c r="C322" s="3"/>
      <c r="D322" s="3"/>
      <c r="E322" s="3"/>
      <c r="H322" s="3"/>
    </row>
    <row r="323" spans="1:8" ht="13">
      <c r="A323" s="3"/>
      <c r="B323" s="3"/>
      <c r="C323" s="3"/>
      <c r="D323" s="3"/>
      <c r="E323" s="3"/>
      <c r="H323" s="3"/>
    </row>
    <row r="324" spans="1:8" ht="13">
      <c r="A324" s="3"/>
      <c r="B324" s="3"/>
      <c r="C324" s="3"/>
      <c r="D324" s="3"/>
      <c r="E324" s="3"/>
      <c r="H324" s="3"/>
    </row>
    <row r="325" spans="1:8" ht="13">
      <c r="A325" s="3"/>
      <c r="B325" s="3"/>
      <c r="C325" s="3"/>
      <c r="D325" s="3"/>
      <c r="E325" s="3"/>
      <c r="H325" s="3"/>
    </row>
    <row r="326" spans="1:8" ht="13">
      <c r="A326" s="3"/>
      <c r="B326" s="3"/>
      <c r="C326" s="3"/>
      <c r="D326" s="3"/>
      <c r="E326" s="3"/>
      <c r="H326" s="3"/>
    </row>
    <row r="327" spans="1:8" ht="13">
      <c r="A327" s="3"/>
      <c r="B327" s="3"/>
      <c r="C327" s="3"/>
      <c r="D327" s="3"/>
      <c r="E327" s="3"/>
      <c r="H327" s="3"/>
    </row>
    <row r="328" spans="1:8" ht="13">
      <c r="A328" s="3"/>
      <c r="B328" s="3"/>
      <c r="C328" s="3"/>
      <c r="D328" s="3"/>
      <c r="E328" s="3"/>
      <c r="H328" s="3"/>
    </row>
    <row r="329" spans="1:8" ht="13">
      <c r="A329" s="3"/>
      <c r="B329" s="3"/>
      <c r="C329" s="3"/>
      <c r="D329" s="3"/>
      <c r="E329" s="3"/>
      <c r="H329" s="3"/>
    </row>
    <row r="330" spans="1:8" ht="13">
      <c r="A330" s="3"/>
      <c r="B330" s="3"/>
      <c r="C330" s="3"/>
      <c r="D330" s="3"/>
      <c r="E330" s="3"/>
      <c r="H330" s="3"/>
    </row>
    <row r="331" spans="1:8" ht="13">
      <c r="A331" s="3"/>
      <c r="B331" s="3"/>
      <c r="C331" s="3"/>
      <c r="D331" s="3"/>
      <c r="E331" s="3"/>
      <c r="H331" s="3"/>
    </row>
    <row r="332" spans="1:8" ht="13">
      <c r="A332" s="3"/>
      <c r="B332" s="3"/>
      <c r="C332" s="3"/>
      <c r="D332" s="3"/>
      <c r="E332" s="3"/>
      <c r="H332" s="3"/>
    </row>
    <row r="333" spans="1:8" ht="13">
      <c r="A333" s="3"/>
      <c r="B333" s="3"/>
      <c r="C333" s="3"/>
      <c r="D333" s="3"/>
      <c r="E333" s="3"/>
      <c r="H333" s="3"/>
    </row>
    <row r="334" spans="1:8" ht="13">
      <c r="A334" s="3"/>
      <c r="B334" s="3"/>
      <c r="C334" s="3"/>
      <c r="D334" s="3"/>
      <c r="E334" s="3"/>
      <c r="H334" s="3"/>
    </row>
    <row r="335" spans="1:8" ht="13">
      <c r="A335" s="3"/>
      <c r="B335" s="3"/>
      <c r="C335" s="3"/>
      <c r="D335" s="3"/>
      <c r="E335" s="3"/>
      <c r="H335" s="3"/>
    </row>
    <row r="336" spans="1:8" ht="13">
      <c r="A336" s="3"/>
      <c r="B336" s="3"/>
      <c r="C336" s="3"/>
      <c r="D336" s="3"/>
      <c r="E336" s="3"/>
      <c r="H336" s="3"/>
    </row>
    <row r="337" spans="1:8" ht="13">
      <c r="A337" s="3"/>
      <c r="B337" s="3"/>
      <c r="C337" s="3"/>
      <c r="D337" s="3"/>
      <c r="E337" s="3"/>
      <c r="H337" s="3"/>
    </row>
    <row r="338" spans="1:8" ht="13">
      <c r="A338" s="3"/>
      <c r="B338" s="3"/>
      <c r="C338" s="3"/>
      <c r="D338" s="3"/>
      <c r="E338" s="3"/>
      <c r="H338" s="3"/>
    </row>
    <row r="339" spans="1:8" ht="13">
      <c r="A339" s="3"/>
      <c r="B339" s="3"/>
      <c r="C339" s="3"/>
      <c r="D339" s="3"/>
      <c r="E339" s="3"/>
      <c r="H339" s="3"/>
    </row>
    <row r="340" spans="1:8" ht="13">
      <c r="A340" s="3"/>
      <c r="B340" s="3"/>
      <c r="C340" s="3"/>
      <c r="D340" s="3"/>
      <c r="E340" s="3"/>
      <c r="H340" s="3"/>
    </row>
    <row r="341" spans="1:8" ht="13">
      <c r="A341" s="3"/>
      <c r="B341" s="3"/>
      <c r="C341" s="3"/>
      <c r="D341" s="3"/>
      <c r="E341" s="3"/>
      <c r="H341" s="3"/>
    </row>
    <row r="342" spans="1:8" ht="13">
      <c r="A342" s="3"/>
      <c r="B342" s="3"/>
      <c r="C342" s="3"/>
      <c r="D342" s="3"/>
      <c r="E342" s="3"/>
      <c r="H342" s="3"/>
    </row>
    <row r="343" spans="1:8" ht="13">
      <c r="A343" s="3"/>
      <c r="B343" s="3"/>
      <c r="C343" s="3"/>
      <c r="D343" s="3"/>
      <c r="E343" s="3"/>
      <c r="H343" s="3"/>
    </row>
    <row r="344" spans="1:8" ht="13">
      <c r="A344" s="3"/>
      <c r="B344" s="3"/>
      <c r="C344" s="3"/>
      <c r="D344" s="3"/>
      <c r="E344" s="3"/>
      <c r="H344" s="3"/>
    </row>
    <row r="345" spans="1:8" ht="13">
      <c r="A345" s="3"/>
      <c r="B345" s="3"/>
      <c r="C345" s="3"/>
      <c r="D345" s="3"/>
      <c r="E345" s="3"/>
      <c r="H345" s="3"/>
    </row>
    <row r="346" spans="1:8" ht="13">
      <c r="A346" s="3"/>
      <c r="B346" s="3"/>
      <c r="C346" s="3"/>
      <c r="D346" s="3"/>
      <c r="E346" s="3"/>
      <c r="H346" s="3"/>
    </row>
    <row r="347" spans="1:8" ht="13">
      <c r="A347" s="3"/>
      <c r="B347" s="3"/>
      <c r="C347" s="3"/>
      <c r="D347" s="3"/>
      <c r="E347" s="3"/>
      <c r="H347" s="3"/>
    </row>
    <row r="348" spans="1:8" ht="13">
      <c r="A348" s="3"/>
      <c r="B348" s="3"/>
      <c r="C348" s="3"/>
      <c r="D348" s="3"/>
      <c r="E348" s="3"/>
      <c r="H348" s="3"/>
    </row>
    <row r="349" spans="1:8" ht="13">
      <c r="A349" s="3"/>
      <c r="B349" s="3"/>
      <c r="C349" s="3"/>
      <c r="D349" s="3"/>
      <c r="E349" s="3"/>
      <c r="H349" s="3"/>
    </row>
    <row r="350" spans="1:8" ht="13">
      <c r="A350" s="3"/>
      <c r="B350" s="3"/>
      <c r="C350" s="3"/>
      <c r="D350" s="3"/>
      <c r="E350" s="3"/>
      <c r="H350" s="3"/>
    </row>
    <row r="351" spans="1:8" ht="13">
      <c r="A351" s="3"/>
      <c r="B351" s="3"/>
      <c r="C351" s="3"/>
      <c r="D351" s="3"/>
      <c r="E351" s="3"/>
      <c r="H351" s="3"/>
    </row>
    <row r="352" spans="1:8" ht="13">
      <c r="A352" s="3"/>
      <c r="B352" s="3"/>
      <c r="C352" s="3"/>
      <c r="D352" s="3"/>
      <c r="E352" s="3"/>
      <c r="H352" s="3"/>
    </row>
    <row r="353" spans="1:8" ht="13">
      <c r="A353" s="3"/>
      <c r="B353" s="3"/>
      <c r="C353" s="3"/>
      <c r="D353" s="3"/>
      <c r="E353" s="3"/>
      <c r="H353" s="3"/>
    </row>
    <row r="354" spans="1:8" ht="13">
      <c r="A354" s="3"/>
      <c r="B354" s="3"/>
      <c r="C354" s="3"/>
      <c r="D354" s="3"/>
      <c r="E354" s="3"/>
      <c r="H354" s="3"/>
    </row>
    <row r="355" spans="1:8" ht="13">
      <c r="A355" s="3"/>
      <c r="B355" s="3"/>
      <c r="C355" s="3"/>
      <c r="D355" s="3"/>
      <c r="E355" s="3"/>
      <c r="H355" s="3"/>
    </row>
    <row r="356" spans="1:8" ht="13">
      <c r="A356" s="3"/>
      <c r="B356" s="3"/>
      <c r="C356" s="3"/>
      <c r="D356" s="3"/>
      <c r="E356" s="3"/>
      <c r="H356" s="3"/>
    </row>
    <row r="357" spans="1:8" ht="13">
      <c r="A357" s="3"/>
      <c r="B357" s="3"/>
      <c r="C357" s="3"/>
      <c r="D357" s="3"/>
      <c r="E357" s="3"/>
      <c r="H357" s="3"/>
    </row>
    <row r="358" spans="1:8" ht="13">
      <c r="A358" s="3"/>
      <c r="B358" s="3"/>
      <c r="C358" s="3"/>
      <c r="D358" s="3"/>
      <c r="E358" s="3"/>
      <c r="H358" s="3"/>
    </row>
    <row r="359" spans="1:8" ht="13">
      <c r="A359" s="3"/>
      <c r="B359" s="3"/>
      <c r="C359" s="3"/>
      <c r="D359" s="3"/>
      <c r="E359" s="3"/>
      <c r="H359" s="3"/>
    </row>
    <row r="360" spans="1:8" ht="13">
      <c r="A360" s="3"/>
      <c r="B360" s="3"/>
      <c r="C360" s="3"/>
      <c r="D360" s="3"/>
      <c r="E360" s="3"/>
      <c r="H360" s="3"/>
    </row>
    <row r="361" spans="1:8" ht="13">
      <c r="A361" s="3"/>
      <c r="B361" s="3"/>
      <c r="C361" s="3"/>
      <c r="D361" s="3"/>
      <c r="E361" s="3"/>
      <c r="H361" s="3"/>
    </row>
    <row r="362" spans="1:8" ht="13">
      <c r="A362" s="3"/>
      <c r="B362" s="3"/>
      <c r="C362" s="3"/>
      <c r="D362" s="3"/>
      <c r="E362" s="3"/>
      <c r="H362" s="3"/>
    </row>
    <row r="363" spans="1:8" ht="13">
      <c r="A363" s="3"/>
      <c r="B363" s="3"/>
      <c r="C363" s="3"/>
      <c r="D363" s="3"/>
      <c r="E363" s="3"/>
      <c r="H363" s="3"/>
    </row>
    <row r="364" spans="1:8" ht="13">
      <c r="A364" s="3"/>
      <c r="B364" s="3"/>
      <c r="C364" s="3"/>
      <c r="D364" s="3"/>
      <c r="E364" s="3"/>
      <c r="H364" s="3"/>
    </row>
    <row r="365" spans="1:8" ht="13">
      <c r="A365" s="3"/>
      <c r="B365" s="3"/>
      <c r="C365" s="3"/>
      <c r="D365" s="3"/>
      <c r="E365" s="3"/>
      <c r="H365" s="3"/>
    </row>
    <row r="366" spans="1:8" ht="13">
      <c r="A366" s="3"/>
      <c r="B366" s="3"/>
      <c r="C366" s="3"/>
      <c r="D366" s="3"/>
      <c r="E366" s="3"/>
      <c r="H366" s="3"/>
    </row>
    <row r="367" spans="1:8" ht="13">
      <c r="A367" s="3"/>
      <c r="B367" s="3"/>
      <c r="C367" s="3"/>
      <c r="D367" s="3"/>
      <c r="E367" s="3"/>
      <c r="H367" s="3"/>
    </row>
    <row r="368" spans="1:8" ht="13">
      <c r="A368" s="3"/>
      <c r="B368" s="3"/>
      <c r="C368" s="3"/>
      <c r="D368" s="3"/>
      <c r="E368" s="3"/>
      <c r="H368" s="3"/>
    </row>
    <row r="369" spans="1:8" ht="13">
      <c r="A369" s="3"/>
      <c r="B369" s="3"/>
      <c r="C369" s="3"/>
      <c r="D369" s="3"/>
      <c r="E369" s="3"/>
      <c r="H369" s="3"/>
    </row>
    <row r="370" spans="1:8" ht="13">
      <c r="A370" s="3"/>
      <c r="B370" s="3"/>
      <c r="C370" s="3"/>
      <c r="D370" s="3"/>
      <c r="E370" s="3"/>
      <c r="H370" s="3"/>
    </row>
    <row r="371" spans="1:8" ht="13">
      <c r="A371" s="3"/>
      <c r="B371" s="3"/>
      <c r="C371" s="3"/>
      <c r="D371" s="3"/>
      <c r="E371" s="3"/>
      <c r="H371" s="3"/>
    </row>
    <row r="372" spans="1:8" ht="13">
      <c r="A372" s="3"/>
      <c r="B372" s="3"/>
      <c r="C372" s="3"/>
      <c r="D372" s="3"/>
      <c r="E372" s="3"/>
      <c r="H372" s="3"/>
    </row>
    <row r="373" spans="1:8" ht="13">
      <c r="A373" s="3"/>
      <c r="B373" s="3"/>
      <c r="C373" s="3"/>
      <c r="D373" s="3"/>
      <c r="E373" s="3"/>
      <c r="H373" s="3"/>
    </row>
    <row r="374" spans="1:8" ht="13">
      <c r="A374" s="3"/>
      <c r="B374" s="3"/>
      <c r="C374" s="3"/>
      <c r="D374" s="3"/>
      <c r="E374" s="3"/>
      <c r="H374" s="3"/>
    </row>
    <row r="375" spans="1:8" ht="13">
      <c r="A375" s="3"/>
      <c r="B375" s="3"/>
      <c r="C375" s="3"/>
      <c r="D375" s="3"/>
      <c r="E375" s="3"/>
      <c r="H375" s="3"/>
    </row>
    <row r="376" spans="1:8" ht="13">
      <c r="A376" s="3"/>
      <c r="B376" s="3"/>
      <c r="C376" s="3"/>
      <c r="D376" s="3"/>
      <c r="E376" s="3"/>
      <c r="H376" s="3"/>
    </row>
    <row r="377" spans="1:8" ht="13">
      <c r="A377" s="3"/>
      <c r="B377" s="3"/>
      <c r="C377" s="3"/>
      <c r="D377" s="3"/>
      <c r="E377" s="3"/>
      <c r="H377" s="3"/>
    </row>
    <row r="378" spans="1:8" ht="13">
      <c r="A378" s="3"/>
      <c r="B378" s="3"/>
      <c r="C378" s="3"/>
      <c r="D378" s="3"/>
      <c r="E378" s="3"/>
      <c r="H378" s="3"/>
    </row>
    <row r="379" spans="1:8" ht="13">
      <c r="A379" s="3"/>
      <c r="B379" s="3"/>
      <c r="C379" s="3"/>
      <c r="D379" s="3"/>
      <c r="E379" s="3"/>
      <c r="H379" s="3"/>
    </row>
    <row r="380" spans="1:8" ht="13">
      <c r="A380" s="3"/>
      <c r="B380" s="3"/>
      <c r="C380" s="3"/>
      <c r="D380" s="3"/>
      <c r="E380" s="3"/>
      <c r="H380" s="3"/>
    </row>
    <row r="381" spans="1:8" ht="13">
      <c r="A381" s="3"/>
      <c r="B381" s="3"/>
      <c r="C381" s="3"/>
      <c r="D381" s="3"/>
      <c r="E381" s="3"/>
      <c r="H381" s="3"/>
    </row>
    <row r="382" spans="1:8" ht="13">
      <c r="A382" s="3"/>
      <c r="B382" s="3"/>
      <c r="C382" s="3"/>
      <c r="D382" s="3"/>
      <c r="E382" s="3"/>
      <c r="H382" s="3"/>
    </row>
    <row r="383" spans="1:8" ht="13">
      <c r="A383" s="3"/>
      <c r="B383" s="3"/>
      <c r="C383" s="3"/>
      <c r="D383" s="3"/>
      <c r="E383" s="3"/>
      <c r="H383" s="3"/>
    </row>
    <row r="384" spans="1:8" ht="13">
      <c r="A384" s="3"/>
      <c r="B384" s="3"/>
      <c r="C384" s="3"/>
      <c r="D384" s="3"/>
      <c r="E384" s="3"/>
      <c r="H384" s="3"/>
    </row>
    <row r="385" spans="1:8" ht="13">
      <c r="A385" s="3"/>
      <c r="B385" s="3"/>
      <c r="C385" s="3"/>
      <c r="D385" s="3"/>
      <c r="E385" s="3"/>
      <c r="H385" s="3"/>
    </row>
    <row r="386" spans="1:8" ht="13">
      <c r="A386" s="3"/>
      <c r="B386" s="3"/>
      <c r="C386" s="3"/>
      <c r="D386" s="3"/>
      <c r="E386" s="3"/>
      <c r="H386" s="3"/>
    </row>
    <row r="387" spans="1:8" ht="13">
      <c r="A387" s="3"/>
      <c r="B387" s="3"/>
      <c r="C387" s="3"/>
      <c r="D387" s="3"/>
      <c r="E387" s="3"/>
      <c r="H387" s="3"/>
    </row>
    <row r="388" spans="1:8" ht="13">
      <c r="A388" s="3"/>
      <c r="B388" s="3"/>
      <c r="C388" s="3"/>
      <c r="D388" s="3"/>
      <c r="E388" s="3"/>
      <c r="H388" s="3"/>
    </row>
    <row r="389" spans="1:8" ht="13">
      <c r="A389" s="3"/>
      <c r="B389" s="3"/>
      <c r="C389" s="3"/>
      <c r="D389" s="3"/>
      <c r="E389" s="3"/>
      <c r="H389" s="3"/>
    </row>
    <row r="390" spans="1:8" ht="13">
      <c r="A390" s="3"/>
      <c r="B390" s="3"/>
      <c r="C390" s="3"/>
      <c r="D390" s="3"/>
      <c r="E390" s="3"/>
      <c r="H390" s="3"/>
    </row>
    <row r="391" spans="1:8" ht="13">
      <c r="A391" s="3"/>
      <c r="B391" s="3"/>
      <c r="C391" s="3"/>
      <c r="D391" s="3"/>
      <c r="E391" s="3"/>
      <c r="H391" s="3"/>
    </row>
    <row r="392" spans="1:8" ht="13">
      <c r="A392" s="3"/>
      <c r="B392" s="3"/>
      <c r="C392" s="3"/>
      <c r="D392" s="3"/>
      <c r="E392" s="3"/>
      <c r="H392" s="3"/>
    </row>
    <row r="393" spans="1:8" ht="13">
      <c r="A393" s="3"/>
      <c r="B393" s="3"/>
      <c r="C393" s="3"/>
      <c r="D393" s="3"/>
      <c r="E393" s="3"/>
      <c r="H393" s="3"/>
    </row>
    <row r="394" spans="1:8" ht="13">
      <c r="A394" s="3"/>
      <c r="B394" s="3"/>
      <c r="C394" s="3"/>
      <c r="D394" s="3"/>
      <c r="E394" s="3"/>
      <c r="H394" s="3"/>
    </row>
    <row r="395" spans="1:8" ht="13">
      <c r="A395" s="3"/>
      <c r="B395" s="3"/>
      <c r="C395" s="3"/>
      <c r="D395" s="3"/>
      <c r="E395" s="3"/>
      <c r="H395" s="3"/>
    </row>
    <row r="396" spans="1:8" ht="13">
      <c r="A396" s="3"/>
      <c r="B396" s="3"/>
      <c r="C396" s="3"/>
      <c r="D396" s="3"/>
      <c r="E396" s="3"/>
      <c r="H396" s="3"/>
    </row>
    <row r="397" spans="1:8" ht="13">
      <c r="A397" s="3"/>
      <c r="B397" s="3"/>
      <c r="C397" s="3"/>
      <c r="D397" s="3"/>
      <c r="E397" s="3"/>
      <c r="H397" s="3"/>
    </row>
    <row r="398" spans="1:8" ht="13">
      <c r="A398" s="3"/>
      <c r="B398" s="3"/>
      <c r="C398" s="3"/>
      <c r="D398" s="3"/>
      <c r="E398" s="3"/>
      <c r="H398" s="3"/>
    </row>
    <row r="399" spans="1:8" ht="13">
      <c r="A399" s="3"/>
      <c r="B399" s="3"/>
      <c r="C399" s="3"/>
      <c r="D399" s="3"/>
      <c r="E399" s="3"/>
      <c r="H399" s="3"/>
    </row>
    <row r="400" spans="1:8" ht="13">
      <c r="A400" s="3"/>
      <c r="B400" s="3"/>
      <c r="C400" s="3"/>
      <c r="D400" s="3"/>
      <c r="E400" s="3"/>
      <c r="H400" s="3"/>
    </row>
    <row r="401" spans="1:8" ht="13">
      <c r="A401" s="3"/>
      <c r="B401" s="3"/>
      <c r="C401" s="3"/>
      <c r="D401" s="3"/>
      <c r="E401" s="3"/>
      <c r="H401" s="3"/>
    </row>
    <row r="402" spans="1:8" ht="13">
      <c r="A402" s="3"/>
      <c r="B402" s="3"/>
      <c r="C402" s="3"/>
      <c r="D402" s="3"/>
      <c r="E402" s="3"/>
      <c r="H402" s="3"/>
    </row>
    <row r="403" spans="1:8" ht="13">
      <c r="A403" s="3"/>
      <c r="B403" s="3"/>
      <c r="C403" s="3"/>
      <c r="D403" s="3"/>
      <c r="E403" s="3"/>
      <c r="H403" s="3"/>
    </row>
    <row r="404" spans="1:8" ht="13">
      <c r="A404" s="3"/>
      <c r="B404" s="3"/>
      <c r="C404" s="3"/>
      <c r="D404" s="3"/>
      <c r="E404" s="3"/>
      <c r="H404" s="3"/>
    </row>
    <row r="405" spans="1:8" ht="13">
      <c r="A405" s="3"/>
      <c r="B405" s="3"/>
      <c r="C405" s="3"/>
      <c r="D405" s="3"/>
      <c r="E405" s="3"/>
      <c r="H405" s="3"/>
    </row>
    <row r="406" spans="1:8" ht="13">
      <c r="A406" s="3"/>
      <c r="B406" s="3"/>
      <c r="C406" s="3"/>
      <c r="D406" s="3"/>
      <c r="E406" s="3"/>
      <c r="H406" s="3"/>
    </row>
    <row r="407" spans="1:8" ht="13">
      <c r="A407" s="3"/>
      <c r="B407" s="3"/>
      <c r="C407" s="3"/>
      <c r="D407" s="3"/>
      <c r="E407" s="3"/>
      <c r="H407" s="3"/>
    </row>
    <row r="408" spans="1:8" ht="13">
      <c r="A408" s="3"/>
      <c r="B408" s="3"/>
      <c r="C408" s="3"/>
      <c r="D408" s="3"/>
      <c r="E408" s="3"/>
      <c r="H408" s="3"/>
    </row>
    <row r="409" spans="1:8" ht="13">
      <c r="A409" s="3"/>
      <c r="B409" s="3"/>
      <c r="C409" s="3"/>
      <c r="D409" s="3"/>
      <c r="E409" s="3"/>
      <c r="H409" s="3"/>
    </row>
    <row r="410" spans="1:8" ht="13">
      <c r="A410" s="3"/>
      <c r="B410" s="3"/>
      <c r="C410" s="3"/>
      <c r="D410" s="3"/>
      <c r="E410" s="3"/>
      <c r="H410" s="3"/>
    </row>
    <row r="411" spans="1:8" ht="13">
      <c r="A411" s="3"/>
      <c r="B411" s="3"/>
      <c r="C411" s="3"/>
      <c r="D411" s="3"/>
      <c r="E411" s="3"/>
      <c r="H411" s="3"/>
    </row>
    <row r="412" spans="1:8" ht="13">
      <c r="A412" s="3"/>
      <c r="B412" s="3"/>
      <c r="C412" s="3"/>
      <c r="D412" s="3"/>
      <c r="E412" s="3"/>
      <c r="H412" s="3"/>
    </row>
    <row r="413" spans="1:8" ht="13">
      <c r="A413" s="3"/>
      <c r="B413" s="3"/>
      <c r="C413" s="3"/>
      <c r="D413" s="3"/>
      <c r="E413" s="3"/>
      <c r="H413" s="3"/>
    </row>
    <row r="414" spans="1:8" ht="13">
      <c r="A414" s="3"/>
      <c r="B414" s="3"/>
      <c r="C414" s="3"/>
      <c r="D414" s="3"/>
      <c r="E414" s="3"/>
      <c r="H414" s="3"/>
    </row>
    <row r="415" spans="1:8" ht="13">
      <c r="A415" s="3"/>
      <c r="B415" s="3"/>
      <c r="C415" s="3"/>
      <c r="D415" s="3"/>
      <c r="E415" s="3"/>
      <c r="H415" s="3"/>
    </row>
    <row r="416" spans="1:8" ht="13">
      <c r="A416" s="3"/>
      <c r="B416" s="3"/>
      <c r="C416" s="3"/>
      <c r="D416" s="3"/>
      <c r="E416" s="3"/>
      <c r="H416" s="3"/>
    </row>
    <row r="417" spans="1:8" ht="13">
      <c r="A417" s="3"/>
      <c r="B417" s="3"/>
      <c r="C417" s="3"/>
      <c r="D417" s="3"/>
      <c r="E417" s="3"/>
      <c r="H417" s="3"/>
    </row>
    <row r="418" spans="1:8" ht="13">
      <c r="A418" s="3"/>
      <c r="B418" s="3"/>
      <c r="C418" s="3"/>
      <c r="D418" s="3"/>
      <c r="E418" s="3"/>
      <c r="H418" s="3"/>
    </row>
    <row r="419" spans="1:8" ht="13">
      <c r="A419" s="3"/>
      <c r="B419" s="3"/>
      <c r="C419" s="3"/>
      <c r="D419" s="3"/>
      <c r="E419" s="3"/>
      <c r="H419" s="3"/>
    </row>
    <row r="420" spans="1:8" ht="13">
      <c r="A420" s="3"/>
      <c r="B420" s="3"/>
      <c r="C420" s="3"/>
      <c r="D420" s="3"/>
      <c r="E420" s="3"/>
      <c r="H420" s="3"/>
    </row>
    <row r="421" spans="1:8" ht="13">
      <c r="A421" s="3"/>
      <c r="B421" s="3"/>
      <c r="C421" s="3"/>
      <c r="D421" s="3"/>
      <c r="E421" s="3"/>
      <c r="H421" s="3"/>
    </row>
    <row r="422" spans="1:8" ht="13">
      <c r="A422" s="3"/>
      <c r="B422" s="3"/>
      <c r="C422" s="3"/>
      <c r="D422" s="3"/>
      <c r="E422" s="3"/>
      <c r="H422" s="3"/>
    </row>
    <row r="423" spans="1:8" ht="13">
      <c r="A423" s="3"/>
      <c r="B423" s="3"/>
      <c r="C423" s="3"/>
      <c r="D423" s="3"/>
      <c r="E423" s="3"/>
      <c r="H423" s="3"/>
    </row>
    <row r="424" spans="1:8" ht="13">
      <c r="A424" s="3"/>
      <c r="B424" s="3"/>
      <c r="C424" s="3"/>
      <c r="D424" s="3"/>
      <c r="E424" s="3"/>
      <c r="H424" s="3"/>
    </row>
    <row r="425" spans="1:8" ht="13">
      <c r="A425" s="3"/>
      <c r="B425" s="3"/>
      <c r="C425" s="3"/>
      <c r="D425" s="3"/>
      <c r="E425" s="3"/>
      <c r="H425" s="3"/>
    </row>
    <row r="426" spans="1:8" ht="13">
      <c r="A426" s="3"/>
      <c r="B426" s="3"/>
      <c r="C426" s="3"/>
      <c r="D426" s="3"/>
      <c r="E426" s="3"/>
      <c r="H426" s="3"/>
    </row>
    <row r="427" spans="1:8" ht="13">
      <c r="A427" s="3"/>
      <c r="B427" s="3"/>
      <c r="C427" s="3"/>
      <c r="D427" s="3"/>
      <c r="E427" s="3"/>
      <c r="H427" s="3"/>
    </row>
    <row r="428" spans="1:8" ht="13">
      <c r="A428" s="3"/>
      <c r="B428" s="3"/>
      <c r="C428" s="3"/>
      <c r="D428" s="3"/>
      <c r="E428" s="3"/>
      <c r="H428" s="3"/>
    </row>
    <row r="429" spans="1:8" ht="13">
      <c r="A429" s="3"/>
      <c r="B429" s="3"/>
      <c r="C429" s="3"/>
      <c r="D429" s="3"/>
      <c r="E429" s="3"/>
      <c r="H429" s="3"/>
    </row>
    <row r="430" spans="1:8" ht="13">
      <c r="A430" s="3"/>
      <c r="B430" s="3"/>
      <c r="C430" s="3"/>
      <c r="D430" s="3"/>
      <c r="E430" s="3"/>
      <c r="H430" s="3"/>
    </row>
    <row r="431" spans="1:8" ht="13">
      <c r="A431" s="3"/>
      <c r="B431" s="3"/>
      <c r="C431" s="3"/>
      <c r="D431" s="3"/>
      <c r="E431" s="3"/>
      <c r="H431" s="3"/>
    </row>
    <row r="432" spans="1:8" ht="13">
      <c r="A432" s="3"/>
      <c r="B432" s="3"/>
      <c r="C432" s="3"/>
      <c r="D432" s="3"/>
      <c r="E432" s="3"/>
      <c r="H432" s="3"/>
    </row>
    <row r="433" spans="1:8" ht="13">
      <c r="A433" s="3"/>
      <c r="B433" s="3"/>
      <c r="C433" s="3"/>
      <c r="D433" s="3"/>
      <c r="E433" s="3"/>
      <c r="H433" s="3"/>
    </row>
    <row r="434" spans="1:8" ht="13">
      <c r="A434" s="3"/>
      <c r="B434" s="3"/>
      <c r="C434" s="3"/>
      <c r="D434" s="3"/>
      <c r="E434" s="3"/>
      <c r="H434" s="3"/>
    </row>
    <row r="435" spans="1:8" ht="13">
      <c r="A435" s="3"/>
      <c r="B435" s="3"/>
      <c r="C435" s="3"/>
      <c r="D435" s="3"/>
      <c r="E435" s="3"/>
      <c r="H435" s="3"/>
    </row>
    <row r="436" spans="1:8" ht="13">
      <c r="A436" s="3"/>
      <c r="B436" s="3"/>
      <c r="C436" s="3"/>
      <c r="D436" s="3"/>
      <c r="E436" s="3"/>
      <c r="H436" s="3"/>
    </row>
    <row r="437" spans="1:8" ht="13">
      <c r="A437" s="3"/>
      <c r="B437" s="3"/>
      <c r="C437" s="3"/>
      <c r="D437" s="3"/>
      <c r="E437" s="3"/>
      <c r="H437" s="3"/>
    </row>
    <row r="438" spans="1:8" ht="13">
      <c r="A438" s="3"/>
      <c r="B438" s="3"/>
      <c r="C438" s="3"/>
      <c r="D438" s="3"/>
      <c r="E438" s="3"/>
      <c r="H438" s="3"/>
    </row>
    <row r="439" spans="1:8" ht="13">
      <c r="A439" s="3"/>
      <c r="B439" s="3"/>
      <c r="C439" s="3"/>
      <c r="D439" s="3"/>
      <c r="E439" s="3"/>
      <c r="H439" s="3"/>
    </row>
    <row r="440" spans="1:8" ht="13">
      <c r="A440" s="3"/>
      <c r="B440" s="3"/>
      <c r="C440" s="3"/>
      <c r="D440" s="3"/>
      <c r="E440" s="3"/>
      <c r="H440" s="3"/>
    </row>
    <row r="441" spans="1:8" ht="13">
      <c r="A441" s="3"/>
      <c r="B441" s="3"/>
      <c r="C441" s="3"/>
      <c r="D441" s="3"/>
      <c r="E441" s="3"/>
      <c r="H441" s="3"/>
    </row>
    <row r="442" spans="1:8" ht="13">
      <c r="A442" s="3"/>
      <c r="B442" s="3"/>
      <c r="C442" s="3"/>
      <c r="D442" s="3"/>
      <c r="E442" s="3"/>
      <c r="H442" s="3"/>
    </row>
    <row r="443" spans="1:8" ht="13">
      <c r="A443" s="3"/>
      <c r="B443" s="3"/>
      <c r="C443" s="3"/>
      <c r="D443" s="3"/>
      <c r="E443" s="3"/>
      <c r="H443" s="3"/>
    </row>
    <row r="444" spans="1:8" ht="13">
      <c r="A444" s="3"/>
      <c r="B444" s="3"/>
      <c r="C444" s="3"/>
      <c r="D444" s="3"/>
      <c r="E444" s="3"/>
      <c r="H444" s="3"/>
    </row>
    <row r="445" spans="1:8" ht="13">
      <c r="A445" s="3"/>
      <c r="B445" s="3"/>
      <c r="C445" s="3"/>
      <c r="D445" s="3"/>
      <c r="E445" s="3"/>
      <c r="H445" s="3"/>
    </row>
    <row r="446" spans="1:8" ht="13">
      <c r="A446" s="3"/>
      <c r="B446" s="3"/>
      <c r="C446" s="3"/>
      <c r="D446" s="3"/>
      <c r="E446" s="3"/>
      <c r="H446" s="3"/>
    </row>
    <row r="447" spans="1:8" ht="13">
      <c r="A447" s="3"/>
      <c r="B447" s="3"/>
      <c r="C447" s="3"/>
      <c r="D447" s="3"/>
      <c r="E447" s="3"/>
      <c r="H447" s="3"/>
    </row>
    <row r="448" spans="1:8" ht="13">
      <c r="A448" s="3"/>
      <c r="B448" s="3"/>
      <c r="C448" s="3"/>
      <c r="D448" s="3"/>
      <c r="E448" s="3"/>
      <c r="H448" s="3"/>
    </row>
    <row r="449" spans="1:8" ht="13">
      <c r="A449" s="3"/>
      <c r="B449" s="3"/>
      <c r="C449" s="3"/>
      <c r="D449" s="3"/>
      <c r="E449" s="3"/>
      <c r="H449" s="3"/>
    </row>
    <row r="450" spans="1:8" ht="13">
      <c r="A450" s="3"/>
      <c r="B450" s="3"/>
      <c r="C450" s="3"/>
      <c r="D450" s="3"/>
      <c r="E450" s="3"/>
      <c r="H450" s="3"/>
    </row>
    <row r="451" spans="1:8" ht="13">
      <c r="A451" s="3"/>
      <c r="B451" s="3"/>
      <c r="C451" s="3"/>
      <c r="D451" s="3"/>
      <c r="E451" s="3"/>
      <c r="H451" s="3"/>
    </row>
    <row r="452" spans="1:8" ht="13">
      <c r="A452" s="3"/>
      <c r="B452" s="3"/>
      <c r="C452" s="3"/>
      <c r="D452" s="3"/>
      <c r="E452" s="3"/>
      <c r="H452" s="3"/>
    </row>
    <row r="453" spans="1:8" ht="13">
      <c r="A453" s="3"/>
      <c r="B453" s="3"/>
      <c r="C453" s="3"/>
      <c r="D453" s="3"/>
      <c r="E453" s="3"/>
      <c r="H453" s="3"/>
    </row>
    <row r="454" spans="1:8" ht="13">
      <c r="A454" s="3"/>
      <c r="B454" s="3"/>
      <c r="C454" s="3"/>
      <c r="D454" s="3"/>
      <c r="E454" s="3"/>
      <c r="H454" s="3"/>
    </row>
    <row r="455" spans="1:8" ht="13">
      <c r="A455" s="3"/>
      <c r="B455" s="3"/>
      <c r="C455" s="3"/>
      <c r="D455" s="3"/>
      <c r="E455" s="3"/>
      <c r="H455" s="3"/>
    </row>
    <row r="456" spans="1:8" ht="13">
      <c r="A456" s="3"/>
      <c r="B456" s="3"/>
      <c r="C456" s="3"/>
      <c r="D456" s="3"/>
      <c r="E456" s="3"/>
      <c r="H456" s="3"/>
    </row>
    <row r="457" spans="1:8" ht="13">
      <c r="A457" s="3"/>
      <c r="B457" s="3"/>
      <c r="C457" s="3"/>
      <c r="D457" s="3"/>
      <c r="E457" s="3"/>
      <c r="H457" s="3"/>
    </row>
    <row r="458" spans="1:8" ht="13">
      <c r="A458" s="3"/>
      <c r="B458" s="3"/>
      <c r="C458" s="3"/>
      <c r="D458" s="3"/>
      <c r="E458" s="3"/>
      <c r="H458" s="3"/>
    </row>
    <row r="459" spans="1:8" ht="13">
      <c r="A459" s="3"/>
      <c r="B459" s="3"/>
      <c r="C459" s="3"/>
      <c r="D459" s="3"/>
      <c r="E459" s="3"/>
      <c r="H459" s="3"/>
    </row>
    <row r="460" spans="1:8" ht="13">
      <c r="A460" s="3"/>
      <c r="B460" s="3"/>
      <c r="C460" s="3"/>
      <c r="D460" s="3"/>
      <c r="E460" s="3"/>
      <c r="H460" s="3"/>
    </row>
    <row r="461" spans="1:8" ht="13">
      <c r="A461" s="3"/>
      <c r="B461" s="3"/>
      <c r="C461" s="3"/>
      <c r="D461" s="3"/>
      <c r="E461" s="3"/>
      <c r="H461" s="3"/>
    </row>
    <row r="462" spans="1:8" ht="13">
      <c r="A462" s="3"/>
      <c r="B462" s="3"/>
      <c r="C462" s="3"/>
      <c r="D462" s="3"/>
      <c r="E462" s="3"/>
      <c r="H462" s="3"/>
    </row>
    <row r="463" spans="1:8" ht="13">
      <c r="A463" s="3"/>
      <c r="B463" s="3"/>
      <c r="C463" s="3"/>
      <c r="D463" s="3"/>
      <c r="E463" s="3"/>
      <c r="H463" s="3"/>
    </row>
    <row r="464" spans="1:8" ht="13">
      <c r="A464" s="3"/>
      <c r="B464" s="3"/>
      <c r="C464" s="3"/>
      <c r="D464" s="3"/>
      <c r="E464" s="3"/>
      <c r="H464" s="3"/>
    </row>
    <row r="465" spans="1:8" ht="13">
      <c r="A465" s="3"/>
      <c r="B465" s="3"/>
      <c r="C465" s="3"/>
      <c r="D465" s="3"/>
      <c r="E465" s="3"/>
      <c r="H465" s="3"/>
    </row>
    <row r="466" spans="1:8" ht="13">
      <c r="A466" s="3"/>
      <c r="B466" s="3"/>
      <c r="C466" s="3"/>
      <c r="D466" s="3"/>
      <c r="E466" s="3"/>
      <c r="H466" s="3"/>
    </row>
    <row r="467" spans="1:8" ht="13">
      <c r="A467" s="3"/>
      <c r="B467" s="3"/>
      <c r="C467" s="3"/>
      <c r="D467" s="3"/>
      <c r="E467" s="3"/>
      <c r="H467" s="3"/>
    </row>
    <row r="468" spans="1:8" ht="13">
      <c r="A468" s="3"/>
      <c r="B468" s="3"/>
      <c r="C468" s="3"/>
      <c r="D468" s="3"/>
      <c r="E468" s="3"/>
      <c r="H468" s="3"/>
    </row>
    <row r="469" spans="1:8" ht="13">
      <c r="A469" s="3"/>
      <c r="B469" s="3"/>
      <c r="C469" s="3"/>
      <c r="D469" s="3"/>
      <c r="E469" s="3"/>
      <c r="H469" s="3"/>
    </row>
    <row r="470" spans="1:8" ht="13">
      <c r="A470" s="3"/>
      <c r="B470" s="3"/>
      <c r="C470" s="3"/>
      <c r="D470" s="3"/>
      <c r="E470" s="3"/>
      <c r="H470" s="3"/>
    </row>
    <row r="471" spans="1:8" ht="13">
      <c r="A471" s="3"/>
      <c r="B471" s="3"/>
      <c r="C471" s="3"/>
      <c r="D471" s="3"/>
      <c r="E471" s="3"/>
      <c r="H471" s="3"/>
    </row>
    <row r="472" spans="1:8" ht="13">
      <c r="A472" s="3"/>
      <c r="B472" s="3"/>
      <c r="C472" s="3"/>
      <c r="D472" s="3"/>
      <c r="E472" s="3"/>
      <c r="H472" s="3"/>
    </row>
    <row r="473" spans="1:8" ht="13">
      <c r="A473" s="3"/>
      <c r="B473" s="3"/>
      <c r="C473" s="3"/>
      <c r="D473" s="3"/>
      <c r="E473" s="3"/>
      <c r="H473" s="3"/>
    </row>
    <row r="474" spans="1:8" ht="13">
      <c r="A474" s="3"/>
      <c r="B474" s="3"/>
      <c r="C474" s="3"/>
      <c r="D474" s="3"/>
      <c r="E474" s="3"/>
      <c r="H474" s="3"/>
    </row>
    <row r="475" spans="1:8" ht="13">
      <c r="A475" s="3"/>
      <c r="B475" s="3"/>
      <c r="C475" s="3"/>
      <c r="D475" s="3"/>
      <c r="E475" s="3"/>
      <c r="H475" s="3"/>
    </row>
    <row r="476" spans="1:8" ht="13">
      <c r="A476" s="3"/>
      <c r="B476" s="3"/>
      <c r="C476" s="3"/>
      <c r="D476" s="3"/>
      <c r="E476" s="3"/>
      <c r="H476" s="3"/>
    </row>
    <row r="477" spans="1:8" ht="13">
      <c r="A477" s="3"/>
      <c r="B477" s="3"/>
      <c r="C477" s="3"/>
      <c r="D477" s="3"/>
      <c r="E477" s="3"/>
      <c r="H477" s="3"/>
    </row>
    <row r="478" spans="1:8" ht="13">
      <c r="A478" s="3"/>
      <c r="B478" s="3"/>
      <c r="C478" s="3"/>
      <c r="D478" s="3"/>
      <c r="E478" s="3"/>
      <c r="H478" s="3"/>
    </row>
    <row r="479" spans="1:8" ht="13">
      <c r="A479" s="3"/>
      <c r="B479" s="3"/>
      <c r="C479" s="3"/>
      <c r="D479" s="3"/>
      <c r="E479" s="3"/>
      <c r="H479" s="3"/>
    </row>
    <row r="480" spans="1:8" ht="13">
      <c r="A480" s="3"/>
      <c r="B480" s="3"/>
      <c r="C480" s="3"/>
      <c r="D480" s="3"/>
      <c r="E480" s="3"/>
      <c r="H480" s="3"/>
    </row>
    <row r="481" spans="1:8" ht="13">
      <c r="A481" s="3"/>
      <c r="B481" s="3"/>
      <c r="C481" s="3"/>
      <c r="D481" s="3"/>
      <c r="E481" s="3"/>
      <c r="H481" s="3"/>
    </row>
    <row r="482" spans="1:8" ht="13">
      <c r="A482" s="3"/>
      <c r="B482" s="3"/>
      <c r="C482" s="3"/>
      <c r="D482" s="3"/>
      <c r="E482" s="3"/>
      <c r="H482" s="3"/>
    </row>
    <row r="483" spans="1:8" ht="13">
      <c r="A483" s="3"/>
      <c r="B483" s="3"/>
      <c r="C483" s="3"/>
      <c r="D483" s="3"/>
      <c r="E483" s="3"/>
      <c r="H483" s="3"/>
    </row>
    <row r="484" spans="1:8" ht="13">
      <c r="A484" s="3"/>
      <c r="B484" s="3"/>
      <c r="C484" s="3"/>
      <c r="D484" s="3"/>
      <c r="E484" s="3"/>
      <c r="H484" s="3"/>
    </row>
    <row r="485" spans="1:8" ht="13">
      <c r="A485" s="3"/>
      <c r="B485" s="3"/>
      <c r="C485" s="3"/>
      <c r="D485" s="3"/>
      <c r="E485" s="3"/>
      <c r="H485" s="3"/>
    </row>
    <row r="486" spans="1:8" ht="13">
      <c r="A486" s="3"/>
      <c r="B486" s="3"/>
      <c r="C486" s="3"/>
      <c r="D486" s="3"/>
      <c r="E486" s="3"/>
      <c r="H486" s="3"/>
    </row>
    <row r="487" spans="1:8" ht="13">
      <c r="A487" s="3"/>
      <c r="B487" s="3"/>
      <c r="C487" s="3"/>
      <c r="D487" s="3"/>
      <c r="E487" s="3"/>
      <c r="H487" s="3"/>
    </row>
    <row r="488" spans="1:8" ht="13">
      <c r="A488" s="3"/>
      <c r="B488" s="3"/>
      <c r="C488" s="3"/>
      <c r="D488" s="3"/>
      <c r="E488" s="3"/>
      <c r="H488" s="3"/>
    </row>
    <row r="489" spans="1:8" ht="13">
      <c r="A489" s="3"/>
      <c r="B489" s="3"/>
      <c r="C489" s="3"/>
      <c r="D489" s="3"/>
      <c r="E489" s="3"/>
      <c r="H489" s="3"/>
    </row>
    <row r="490" spans="1:8" ht="13">
      <c r="A490" s="3"/>
      <c r="B490" s="3"/>
      <c r="C490" s="3"/>
      <c r="D490" s="3"/>
      <c r="E490" s="3"/>
      <c r="H490" s="3"/>
    </row>
    <row r="491" spans="1:8" ht="13">
      <c r="A491" s="3"/>
      <c r="B491" s="3"/>
      <c r="C491" s="3"/>
      <c r="D491" s="3"/>
      <c r="E491" s="3"/>
      <c r="H491" s="3"/>
    </row>
    <row r="492" spans="1:8" ht="13">
      <c r="A492" s="3"/>
      <c r="B492" s="3"/>
      <c r="C492" s="3"/>
      <c r="D492" s="3"/>
      <c r="E492" s="3"/>
      <c r="H492" s="3"/>
    </row>
    <row r="493" spans="1:8" ht="13">
      <c r="A493" s="3"/>
      <c r="B493" s="3"/>
      <c r="C493" s="3"/>
      <c r="D493" s="3"/>
      <c r="E493" s="3"/>
      <c r="H493" s="3"/>
    </row>
    <row r="494" spans="1:8" ht="13">
      <c r="A494" s="3"/>
      <c r="B494" s="3"/>
      <c r="C494" s="3"/>
      <c r="D494" s="3"/>
      <c r="E494" s="3"/>
      <c r="H494" s="3"/>
    </row>
    <row r="495" spans="1:8" ht="13">
      <c r="A495" s="3"/>
      <c r="B495" s="3"/>
      <c r="C495" s="3"/>
      <c r="D495" s="3"/>
      <c r="E495" s="3"/>
      <c r="H495" s="3"/>
    </row>
    <row r="496" spans="1:8" ht="13">
      <c r="A496" s="3"/>
      <c r="B496" s="3"/>
      <c r="C496" s="3"/>
      <c r="D496" s="3"/>
      <c r="E496" s="3"/>
      <c r="H496" s="3"/>
    </row>
    <row r="497" spans="1:8" ht="13">
      <c r="A497" s="3"/>
      <c r="B497" s="3"/>
      <c r="C497" s="3"/>
      <c r="D497" s="3"/>
      <c r="E497" s="3"/>
      <c r="H497" s="3"/>
    </row>
    <row r="498" spans="1:8" ht="13">
      <c r="A498" s="3"/>
      <c r="B498" s="3"/>
      <c r="C498" s="3"/>
      <c r="D498" s="3"/>
      <c r="E498" s="3"/>
      <c r="H498" s="3"/>
    </row>
    <row r="499" spans="1:8" ht="13">
      <c r="A499" s="3"/>
      <c r="B499" s="3"/>
      <c r="C499" s="3"/>
      <c r="D499" s="3"/>
      <c r="E499" s="3"/>
      <c r="H499" s="3"/>
    </row>
    <row r="500" spans="1:8" ht="13">
      <c r="A500" s="3"/>
      <c r="B500" s="3"/>
      <c r="C500" s="3"/>
      <c r="D500" s="3"/>
      <c r="E500" s="3"/>
      <c r="H500" s="3"/>
    </row>
    <row r="501" spans="1:8" ht="13">
      <c r="A501" s="3"/>
      <c r="B501" s="3"/>
      <c r="C501" s="3"/>
      <c r="D501" s="3"/>
      <c r="E501" s="3"/>
      <c r="H501" s="3"/>
    </row>
    <row r="502" spans="1:8" ht="13">
      <c r="A502" s="3"/>
      <c r="B502" s="3"/>
      <c r="C502" s="3"/>
      <c r="D502" s="3"/>
      <c r="E502" s="3"/>
      <c r="H502" s="3"/>
    </row>
    <row r="503" spans="1:8" ht="13">
      <c r="A503" s="3"/>
      <c r="B503" s="3"/>
      <c r="C503" s="3"/>
      <c r="D503" s="3"/>
      <c r="E503" s="3"/>
      <c r="H503" s="3"/>
    </row>
    <row r="504" spans="1:8" ht="13">
      <c r="A504" s="3"/>
      <c r="B504" s="3"/>
      <c r="C504" s="3"/>
      <c r="D504" s="3"/>
      <c r="E504" s="3"/>
      <c r="H504" s="3"/>
    </row>
    <row r="505" spans="1:8" ht="13">
      <c r="A505" s="3"/>
      <c r="B505" s="3"/>
      <c r="C505" s="3"/>
      <c r="D505" s="3"/>
      <c r="E505" s="3"/>
      <c r="H505" s="3"/>
    </row>
    <row r="506" spans="1:8" ht="13">
      <c r="A506" s="3"/>
      <c r="B506" s="3"/>
      <c r="C506" s="3"/>
      <c r="D506" s="3"/>
      <c r="E506" s="3"/>
      <c r="H506" s="3"/>
    </row>
    <row r="507" spans="1:8" ht="13">
      <c r="A507" s="3"/>
      <c r="B507" s="3"/>
      <c r="C507" s="3"/>
      <c r="D507" s="3"/>
      <c r="E507" s="3"/>
      <c r="H507" s="3"/>
    </row>
    <row r="508" spans="1:8" ht="13">
      <c r="A508" s="3"/>
      <c r="B508" s="3"/>
      <c r="C508" s="3"/>
      <c r="D508" s="3"/>
      <c r="E508" s="3"/>
      <c r="H508" s="3"/>
    </row>
    <row r="509" spans="1:8" ht="13">
      <c r="A509" s="3"/>
      <c r="B509" s="3"/>
      <c r="C509" s="3"/>
      <c r="D509" s="3"/>
      <c r="E509" s="3"/>
      <c r="H509" s="3"/>
    </row>
    <row r="510" spans="1:8" ht="13">
      <c r="A510" s="3"/>
      <c r="B510" s="3"/>
      <c r="C510" s="3"/>
      <c r="D510" s="3"/>
      <c r="E510" s="3"/>
      <c r="H510" s="3"/>
    </row>
    <row r="511" spans="1:8" ht="13">
      <c r="A511" s="3"/>
      <c r="B511" s="3"/>
      <c r="C511" s="3"/>
      <c r="D511" s="3"/>
      <c r="E511" s="3"/>
      <c r="H511" s="3"/>
    </row>
    <row r="512" spans="1:8" ht="13">
      <c r="A512" s="3"/>
      <c r="B512" s="3"/>
      <c r="C512" s="3"/>
      <c r="D512" s="3"/>
      <c r="E512" s="3"/>
      <c r="H512" s="3"/>
    </row>
    <row r="513" spans="1:8" ht="13">
      <c r="A513" s="3"/>
      <c r="B513" s="3"/>
      <c r="C513" s="3"/>
      <c r="D513" s="3"/>
      <c r="E513" s="3"/>
      <c r="H513" s="3"/>
    </row>
    <row r="514" spans="1:8" ht="13">
      <c r="A514" s="3"/>
      <c r="B514" s="3"/>
      <c r="C514" s="3"/>
      <c r="D514" s="3"/>
      <c r="E514" s="3"/>
      <c r="H514" s="3"/>
    </row>
    <row r="515" spans="1:8" ht="13">
      <c r="A515" s="3"/>
      <c r="B515" s="3"/>
      <c r="C515" s="3"/>
      <c r="D515" s="3"/>
      <c r="E515" s="3"/>
      <c r="H515" s="3"/>
    </row>
    <row r="516" spans="1:8" ht="13">
      <c r="A516" s="3"/>
      <c r="B516" s="3"/>
      <c r="C516" s="3"/>
      <c r="D516" s="3"/>
      <c r="E516" s="3"/>
      <c r="H516" s="3"/>
    </row>
    <row r="517" spans="1:8" ht="13">
      <c r="A517" s="3"/>
      <c r="B517" s="3"/>
      <c r="C517" s="3"/>
      <c r="D517" s="3"/>
      <c r="E517" s="3"/>
      <c r="H517" s="3"/>
    </row>
    <row r="518" spans="1:8" ht="13">
      <c r="A518" s="3"/>
      <c r="B518" s="3"/>
      <c r="C518" s="3"/>
      <c r="D518" s="3"/>
      <c r="E518" s="3"/>
      <c r="H518" s="3"/>
    </row>
    <row r="519" spans="1:8" ht="13">
      <c r="A519" s="3"/>
      <c r="B519" s="3"/>
      <c r="C519" s="3"/>
      <c r="D519" s="3"/>
      <c r="E519" s="3"/>
      <c r="H519" s="3"/>
    </row>
    <row r="520" spans="1:8" ht="13">
      <c r="A520" s="3"/>
      <c r="B520" s="3"/>
      <c r="C520" s="3"/>
      <c r="D520" s="3"/>
      <c r="E520" s="3"/>
      <c r="H520" s="3"/>
    </row>
    <row r="521" spans="1:8" ht="13">
      <c r="A521" s="3"/>
      <c r="B521" s="3"/>
      <c r="C521" s="3"/>
      <c r="D521" s="3"/>
      <c r="E521" s="3"/>
      <c r="H521" s="3"/>
    </row>
    <row r="522" spans="1:8" ht="13">
      <c r="A522" s="3"/>
      <c r="B522" s="3"/>
      <c r="C522" s="3"/>
      <c r="D522" s="3"/>
      <c r="E522" s="3"/>
      <c r="H522" s="3"/>
    </row>
    <row r="523" spans="1:8" ht="13">
      <c r="A523" s="3"/>
      <c r="B523" s="3"/>
      <c r="C523" s="3"/>
      <c r="D523" s="3"/>
      <c r="E523" s="3"/>
      <c r="H523" s="3"/>
    </row>
    <row r="524" spans="1:8" ht="13">
      <c r="A524" s="3"/>
      <c r="B524" s="3"/>
      <c r="C524" s="3"/>
      <c r="D524" s="3"/>
      <c r="E524" s="3"/>
      <c r="H524" s="3"/>
    </row>
    <row r="525" spans="1:8" ht="13">
      <c r="A525" s="3"/>
      <c r="B525" s="3"/>
      <c r="C525" s="3"/>
      <c r="D525" s="3"/>
      <c r="E525" s="3"/>
      <c r="H525" s="3"/>
    </row>
    <row r="526" spans="1:8" ht="13">
      <c r="A526" s="3"/>
      <c r="B526" s="3"/>
      <c r="C526" s="3"/>
      <c r="D526" s="3"/>
      <c r="E526" s="3"/>
      <c r="H526" s="3"/>
    </row>
    <row r="527" spans="1:8" ht="13">
      <c r="A527" s="3"/>
      <c r="B527" s="3"/>
      <c r="C527" s="3"/>
      <c r="D527" s="3"/>
      <c r="E527" s="3"/>
      <c r="H527" s="3"/>
    </row>
    <row r="528" spans="1:8" ht="13">
      <c r="A528" s="3"/>
      <c r="B528" s="3"/>
      <c r="C528" s="3"/>
      <c r="D528" s="3"/>
      <c r="E528" s="3"/>
      <c r="H528" s="3"/>
    </row>
    <row r="529" spans="1:8" ht="13">
      <c r="A529" s="3"/>
      <c r="B529" s="3"/>
      <c r="C529" s="3"/>
      <c r="D529" s="3"/>
      <c r="E529" s="3"/>
      <c r="H529" s="3"/>
    </row>
    <row r="530" spans="1:8" ht="13">
      <c r="A530" s="3"/>
      <c r="B530" s="3"/>
      <c r="C530" s="3"/>
      <c r="D530" s="3"/>
      <c r="E530" s="3"/>
      <c r="H530" s="3"/>
    </row>
    <row r="531" spans="1:8" ht="13">
      <c r="A531" s="3"/>
      <c r="B531" s="3"/>
      <c r="C531" s="3"/>
      <c r="D531" s="3"/>
      <c r="E531" s="3"/>
      <c r="H531" s="3"/>
    </row>
    <row r="532" spans="1:8" ht="13">
      <c r="A532" s="3"/>
      <c r="B532" s="3"/>
      <c r="C532" s="3"/>
      <c r="D532" s="3"/>
      <c r="E532" s="3"/>
      <c r="H532" s="3"/>
    </row>
    <row r="533" spans="1:8" ht="13">
      <c r="A533" s="3"/>
      <c r="B533" s="3"/>
      <c r="C533" s="3"/>
      <c r="D533" s="3"/>
      <c r="E533" s="3"/>
      <c r="H533" s="3"/>
    </row>
    <row r="534" spans="1:8" ht="13">
      <c r="A534" s="3"/>
      <c r="B534" s="3"/>
      <c r="C534" s="3"/>
      <c r="D534" s="3"/>
      <c r="E534" s="3"/>
      <c r="H534" s="3"/>
    </row>
    <row r="535" spans="1:8" ht="13">
      <c r="A535" s="3"/>
      <c r="B535" s="3"/>
      <c r="C535" s="3"/>
      <c r="D535" s="3"/>
      <c r="E535" s="3"/>
      <c r="H535" s="3"/>
    </row>
    <row r="536" spans="1:8" ht="13">
      <c r="A536" s="3"/>
      <c r="B536" s="3"/>
      <c r="C536" s="3"/>
      <c r="D536" s="3"/>
      <c r="E536" s="3"/>
      <c r="H536" s="3"/>
    </row>
    <row r="537" spans="1:8" ht="13">
      <c r="A537" s="3"/>
      <c r="B537" s="3"/>
      <c r="C537" s="3"/>
      <c r="D537" s="3"/>
      <c r="E537" s="3"/>
      <c r="H537" s="3"/>
    </row>
    <row r="538" spans="1:8" ht="13">
      <c r="A538" s="3"/>
      <c r="B538" s="3"/>
      <c r="C538" s="3"/>
      <c r="D538" s="3"/>
      <c r="E538" s="3"/>
      <c r="H538" s="3"/>
    </row>
    <row r="539" spans="1:8" ht="13">
      <c r="A539" s="3"/>
      <c r="B539" s="3"/>
      <c r="C539" s="3"/>
      <c r="D539" s="3"/>
      <c r="E539" s="3"/>
      <c r="H539" s="3"/>
    </row>
    <row r="540" spans="1:8" ht="13">
      <c r="A540" s="3"/>
      <c r="B540" s="3"/>
      <c r="C540" s="3"/>
      <c r="D540" s="3"/>
      <c r="E540" s="3"/>
      <c r="H540" s="3"/>
    </row>
    <row r="541" spans="1:8" ht="13">
      <c r="A541" s="3"/>
      <c r="B541" s="3"/>
      <c r="C541" s="3"/>
      <c r="D541" s="3"/>
      <c r="E541" s="3"/>
      <c r="H541" s="3"/>
    </row>
    <row r="542" spans="1:8" ht="13">
      <c r="A542" s="3"/>
      <c r="B542" s="3"/>
      <c r="C542" s="3"/>
      <c r="D542" s="3"/>
      <c r="E542" s="3"/>
      <c r="H542" s="3"/>
    </row>
    <row r="543" spans="1:8" ht="13">
      <c r="A543" s="3"/>
      <c r="B543" s="3"/>
      <c r="C543" s="3"/>
      <c r="D543" s="3"/>
      <c r="E543" s="3"/>
      <c r="H543" s="3"/>
    </row>
    <row r="544" spans="1:8" ht="13">
      <c r="A544" s="3"/>
      <c r="B544" s="3"/>
      <c r="C544" s="3"/>
      <c r="D544" s="3"/>
      <c r="E544" s="3"/>
      <c r="H544" s="3"/>
    </row>
    <row r="545" spans="1:8" ht="13">
      <c r="A545" s="3"/>
      <c r="B545" s="3"/>
      <c r="C545" s="3"/>
      <c r="D545" s="3"/>
      <c r="E545" s="3"/>
      <c r="H545" s="3"/>
    </row>
    <row r="546" spans="1:8" ht="13">
      <c r="A546" s="3"/>
      <c r="B546" s="3"/>
      <c r="C546" s="3"/>
      <c r="D546" s="3"/>
      <c r="E546" s="3"/>
      <c r="H546" s="3"/>
    </row>
    <row r="547" spans="1:8" ht="13">
      <c r="A547" s="3"/>
      <c r="B547" s="3"/>
      <c r="C547" s="3"/>
      <c r="D547" s="3"/>
      <c r="E547" s="3"/>
      <c r="H547" s="3"/>
    </row>
    <row r="548" spans="1:8" ht="13">
      <c r="A548" s="3"/>
      <c r="B548" s="3"/>
      <c r="C548" s="3"/>
      <c r="D548" s="3"/>
      <c r="E548" s="3"/>
      <c r="H548" s="3"/>
    </row>
    <row r="549" spans="1:8" ht="13">
      <c r="A549" s="3"/>
      <c r="B549" s="3"/>
      <c r="C549" s="3"/>
      <c r="D549" s="3"/>
      <c r="E549" s="3"/>
      <c r="H549" s="3"/>
    </row>
    <row r="550" spans="1:8" ht="13">
      <c r="A550" s="3"/>
      <c r="B550" s="3"/>
      <c r="C550" s="3"/>
      <c r="D550" s="3"/>
      <c r="E550" s="3"/>
      <c r="H550" s="3"/>
    </row>
    <row r="551" spans="1:8" ht="13">
      <c r="A551" s="3"/>
      <c r="B551" s="3"/>
      <c r="C551" s="3"/>
      <c r="D551" s="3"/>
      <c r="E551" s="3"/>
      <c r="H551" s="3"/>
    </row>
    <row r="552" spans="1:8" ht="13">
      <c r="A552" s="3"/>
      <c r="B552" s="3"/>
      <c r="C552" s="3"/>
      <c r="D552" s="3"/>
      <c r="E552" s="3"/>
      <c r="H552" s="3"/>
    </row>
    <row r="553" spans="1:8" ht="13">
      <c r="A553" s="3"/>
      <c r="B553" s="3"/>
      <c r="C553" s="3"/>
      <c r="D553" s="3"/>
      <c r="E553" s="3"/>
      <c r="H553" s="3"/>
    </row>
    <row r="554" spans="1:8" ht="13">
      <c r="A554" s="3"/>
      <c r="B554" s="3"/>
      <c r="C554" s="3"/>
      <c r="D554" s="3"/>
      <c r="E554" s="3"/>
      <c r="H554" s="3"/>
    </row>
    <row r="555" spans="1:8" ht="13">
      <c r="A555" s="3"/>
      <c r="B555" s="3"/>
      <c r="C555" s="3"/>
      <c r="D555" s="3"/>
      <c r="E555" s="3"/>
      <c r="H555" s="3"/>
    </row>
    <row r="556" spans="1:8" ht="13">
      <c r="A556" s="3"/>
      <c r="B556" s="3"/>
      <c r="C556" s="3"/>
      <c r="D556" s="3"/>
      <c r="E556" s="3"/>
      <c r="H556" s="3"/>
    </row>
    <row r="557" spans="1:8" ht="13">
      <c r="A557" s="3"/>
      <c r="B557" s="3"/>
      <c r="C557" s="3"/>
      <c r="D557" s="3"/>
      <c r="E557" s="3"/>
      <c r="H557" s="3"/>
    </row>
    <row r="558" spans="1:8" ht="13">
      <c r="A558" s="3"/>
      <c r="B558" s="3"/>
      <c r="C558" s="3"/>
      <c r="D558" s="3"/>
      <c r="E558" s="3"/>
      <c r="H558" s="3"/>
    </row>
    <row r="559" spans="1:8" ht="13">
      <c r="A559" s="3"/>
      <c r="B559" s="3"/>
      <c r="C559" s="3"/>
      <c r="D559" s="3"/>
      <c r="E559" s="3"/>
      <c r="H559" s="3"/>
    </row>
    <row r="560" spans="1:8" ht="13">
      <c r="A560" s="3"/>
      <c r="B560" s="3"/>
      <c r="C560" s="3"/>
      <c r="D560" s="3"/>
      <c r="E560" s="3"/>
      <c r="H560" s="3"/>
    </row>
    <row r="561" spans="1:8" ht="13">
      <c r="A561" s="3"/>
      <c r="B561" s="3"/>
      <c r="C561" s="3"/>
      <c r="D561" s="3"/>
      <c r="E561" s="3"/>
      <c r="H561" s="3"/>
    </row>
    <row r="562" spans="1:8" ht="13">
      <c r="A562" s="3"/>
      <c r="B562" s="3"/>
      <c r="C562" s="3"/>
      <c r="D562" s="3"/>
      <c r="E562" s="3"/>
      <c r="H562" s="3"/>
    </row>
    <row r="563" spans="1:8" ht="13">
      <c r="A563" s="3"/>
      <c r="B563" s="3"/>
      <c r="C563" s="3"/>
      <c r="D563" s="3"/>
      <c r="E563" s="3"/>
      <c r="H563" s="3"/>
    </row>
    <row r="564" spans="1:8" ht="13">
      <c r="A564" s="3"/>
      <c r="B564" s="3"/>
      <c r="C564" s="3"/>
      <c r="D564" s="3"/>
      <c r="E564" s="3"/>
      <c r="H564" s="3"/>
    </row>
    <row r="565" spans="1:8" ht="13">
      <c r="A565" s="3"/>
      <c r="B565" s="3"/>
      <c r="C565" s="3"/>
      <c r="D565" s="3"/>
      <c r="E565" s="3"/>
      <c r="H565" s="3"/>
    </row>
    <row r="566" spans="1:8" ht="13">
      <c r="A566" s="3"/>
      <c r="B566" s="3"/>
      <c r="C566" s="3"/>
      <c r="D566" s="3"/>
      <c r="E566" s="3"/>
      <c r="H566" s="3"/>
    </row>
    <row r="567" spans="1:8" ht="13">
      <c r="A567" s="3"/>
      <c r="B567" s="3"/>
      <c r="C567" s="3"/>
      <c r="D567" s="3"/>
      <c r="E567" s="3"/>
      <c r="H567" s="3"/>
    </row>
    <row r="568" spans="1:8" ht="13">
      <c r="A568" s="3"/>
      <c r="B568" s="3"/>
      <c r="C568" s="3"/>
      <c r="D568" s="3"/>
      <c r="E568" s="3"/>
      <c r="H568" s="3"/>
    </row>
    <row r="569" spans="1:8" ht="13">
      <c r="A569" s="3"/>
      <c r="B569" s="3"/>
      <c r="C569" s="3"/>
      <c r="D569" s="3"/>
      <c r="E569" s="3"/>
      <c r="H569" s="3"/>
    </row>
    <row r="570" spans="1:8" ht="13">
      <c r="A570" s="3"/>
      <c r="B570" s="3"/>
      <c r="C570" s="3"/>
      <c r="D570" s="3"/>
      <c r="E570" s="3"/>
      <c r="H570" s="3"/>
    </row>
    <row r="571" spans="1:8" ht="13">
      <c r="A571" s="3"/>
      <c r="B571" s="3"/>
      <c r="C571" s="3"/>
      <c r="D571" s="3"/>
      <c r="E571" s="3"/>
      <c r="H571" s="3"/>
    </row>
    <row r="572" spans="1:8" ht="13">
      <c r="A572" s="3"/>
      <c r="B572" s="3"/>
      <c r="C572" s="3"/>
      <c r="D572" s="3"/>
      <c r="E572" s="3"/>
      <c r="H572" s="3"/>
    </row>
    <row r="573" spans="1:8" ht="13">
      <c r="A573" s="3"/>
      <c r="B573" s="3"/>
      <c r="C573" s="3"/>
      <c r="D573" s="3"/>
      <c r="E573" s="3"/>
      <c r="H573" s="3"/>
    </row>
    <row r="574" spans="1:8" ht="13">
      <c r="A574" s="3"/>
      <c r="B574" s="3"/>
      <c r="C574" s="3"/>
      <c r="D574" s="3"/>
      <c r="E574" s="3"/>
      <c r="H574" s="3"/>
    </row>
    <row r="575" spans="1:8" ht="13">
      <c r="A575" s="3"/>
      <c r="B575" s="3"/>
      <c r="C575" s="3"/>
      <c r="D575" s="3"/>
      <c r="E575" s="3"/>
      <c r="H575" s="3"/>
    </row>
    <row r="576" spans="1:8" ht="13">
      <c r="A576" s="3"/>
      <c r="B576" s="3"/>
      <c r="C576" s="3"/>
      <c r="D576" s="3"/>
      <c r="E576" s="3"/>
      <c r="H576" s="3"/>
    </row>
    <row r="577" spans="1:8" ht="13">
      <c r="A577" s="3"/>
      <c r="B577" s="3"/>
      <c r="C577" s="3"/>
      <c r="D577" s="3"/>
      <c r="E577" s="3"/>
      <c r="H577" s="3"/>
    </row>
    <row r="578" spans="1:8" ht="13">
      <c r="A578" s="3"/>
      <c r="B578" s="3"/>
      <c r="C578" s="3"/>
      <c r="D578" s="3"/>
      <c r="E578" s="3"/>
      <c r="H578" s="3"/>
    </row>
    <row r="579" spans="1:8" ht="13">
      <c r="A579" s="3"/>
      <c r="B579" s="3"/>
      <c r="C579" s="3"/>
      <c r="D579" s="3"/>
      <c r="E579" s="3"/>
      <c r="H579" s="3"/>
    </row>
    <row r="580" spans="1:8" ht="13">
      <c r="A580" s="3"/>
      <c r="B580" s="3"/>
      <c r="C580" s="3"/>
      <c r="D580" s="3"/>
      <c r="E580" s="3"/>
      <c r="H580" s="3"/>
    </row>
    <row r="581" spans="1:8" ht="13">
      <c r="A581" s="3"/>
      <c r="B581" s="3"/>
      <c r="C581" s="3"/>
      <c r="D581" s="3"/>
      <c r="E581" s="3"/>
      <c r="H581" s="3"/>
    </row>
    <row r="582" spans="1:8" ht="13">
      <c r="A582" s="3"/>
      <c r="B582" s="3"/>
      <c r="C582" s="3"/>
      <c r="D582" s="3"/>
      <c r="E582" s="3"/>
      <c r="H582" s="3"/>
    </row>
    <row r="583" spans="1:8" ht="13">
      <c r="A583" s="3"/>
      <c r="B583" s="3"/>
      <c r="C583" s="3"/>
      <c r="D583" s="3"/>
      <c r="E583" s="3"/>
      <c r="H583" s="3"/>
    </row>
    <row r="584" spans="1:8" ht="13">
      <c r="A584" s="3"/>
      <c r="B584" s="3"/>
      <c r="C584" s="3"/>
      <c r="D584" s="3"/>
      <c r="E584" s="3"/>
      <c r="H584" s="3"/>
    </row>
    <row r="585" spans="1:8" ht="13">
      <c r="A585" s="3"/>
      <c r="B585" s="3"/>
      <c r="C585" s="3"/>
      <c r="D585" s="3"/>
      <c r="E585" s="3"/>
      <c r="H585" s="3"/>
    </row>
    <row r="586" spans="1:8" ht="13">
      <c r="A586" s="3"/>
      <c r="B586" s="3"/>
      <c r="C586" s="3"/>
      <c r="D586" s="3"/>
      <c r="E586" s="3"/>
      <c r="H586" s="3"/>
    </row>
    <row r="587" spans="1:8" ht="13">
      <c r="A587" s="3"/>
      <c r="B587" s="3"/>
      <c r="C587" s="3"/>
      <c r="D587" s="3"/>
      <c r="E587" s="3"/>
      <c r="H587" s="3"/>
    </row>
    <row r="588" spans="1:8" ht="13">
      <c r="A588" s="3"/>
      <c r="B588" s="3"/>
      <c r="C588" s="3"/>
      <c r="D588" s="3"/>
      <c r="E588" s="3"/>
      <c r="H588" s="3"/>
    </row>
    <row r="589" spans="1:8" ht="13">
      <c r="A589" s="3"/>
      <c r="B589" s="3"/>
      <c r="C589" s="3"/>
      <c r="D589" s="3"/>
      <c r="E589" s="3"/>
      <c r="H589" s="3"/>
    </row>
    <row r="590" spans="1:8" ht="13">
      <c r="A590" s="3"/>
      <c r="B590" s="3"/>
      <c r="C590" s="3"/>
      <c r="D590" s="3"/>
      <c r="E590" s="3"/>
      <c r="H590" s="3"/>
    </row>
    <row r="591" spans="1:8" ht="13">
      <c r="A591" s="3"/>
      <c r="B591" s="3"/>
      <c r="C591" s="3"/>
      <c r="D591" s="3"/>
      <c r="E591" s="3"/>
      <c r="H591" s="3"/>
    </row>
    <row r="592" spans="1:8" ht="13">
      <c r="A592" s="3"/>
      <c r="B592" s="3"/>
      <c r="C592" s="3"/>
      <c r="D592" s="3"/>
      <c r="E592" s="3"/>
      <c r="H592" s="3"/>
    </row>
    <row r="593" spans="1:8" ht="13">
      <c r="A593" s="3"/>
      <c r="B593" s="3"/>
      <c r="C593" s="3"/>
      <c r="D593" s="3"/>
      <c r="E593" s="3"/>
      <c r="H593" s="3"/>
    </row>
    <row r="594" spans="1:8" ht="13">
      <c r="A594" s="3"/>
      <c r="B594" s="3"/>
      <c r="C594" s="3"/>
      <c r="D594" s="3"/>
      <c r="E594" s="3"/>
      <c r="H594" s="3"/>
    </row>
    <row r="595" spans="1:8" ht="13">
      <c r="A595" s="3"/>
      <c r="B595" s="3"/>
      <c r="C595" s="3"/>
      <c r="D595" s="3"/>
      <c r="E595" s="3"/>
      <c r="H595" s="3"/>
    </row>
    <row r="596" spans="1:8" ht="13">
      <c r="A596" s="3"/>
      <c r="B596" s="3"/>
      <c r="C596" s="3"/>
      <c r="D596" s="3"/>
      <c r="E596" s="3"/>
      <c r="H596" s="3"/>
    </row>
    <row r="597" spans="1:8" ht="13">
      <c r="A597" s="3"/>
      <c r="B597" s="3"/>
      <c r="C597" s="3"/>
      <c r="D597" s="3"/>
      <c r="E597" s="3"/>
      <c r="H597" s="3"/>
    </row>
    <row r="598" spans="1:8" ht="13">
      <c r="A598" s="3"/>
      <c r="B598" s="3"/>
      <c r="C598" s="3"/>
      <c r="D598" s="3"/>
      <c r="E598" s="3"/>
      <c r="H598" s="3"/>
    </row>
    <row r="599" spans="1:8" ht="13">
      <c r="A599" s="3"/>
      <c r="B599" s="3"/>
      <c r="C599" s="3"/>
      <c r="D599" s="3"/>
      <c r="E599" s="3"/>
      <c r="H599" s="3"/>
    </row>
    <row r="600" spans="1:8" ht="13">
      <c r="A600" s="3"/>
      <c r="B600" s="3"/>
      <c r="C600" s="3"/>
      <c r="D600" s="3"/>
      <c r="E600" s="3"/>
      <c r="H600" s="3"/>
    </row>
    <row r="601" spans="1:8" ht="13">
      <c r="A601" s="3"/>
      <c r="B601" s="3"/>
      <c r="C601" s="3"/>
      <c r="D601" s="3"/>
      <c r="E601" s="3"/>
      <c r="H601" s="3"/>
    </row>
    <row r="602" spans="1:8" ht="13">
      <c r="A602" s="3"/>
      <c r="B602" s="3"/>
      <c r="C602" s="3"/>
      <c r="D602" s="3"/>
      <c r="E602" s="3"/>
      <c r="H602" s="3"/>
    </row>
    <row r="603" spans="1:8" ht="13">
      <c r="A603" s="3"/>
      <c r="B603" s="3"/>
      <c r="C603" s="3"/>
      <c r="D603" s="3"/>
      <c r="E603" s="3"/>
      <c r="H603" s="3"/>
    </row>
    <row r="604" spans="1:8" ht="13">
      <c r="A604" s="3"/>
      <c r="B604" s="3"/>
      <c r="C604" s="3"/>
      <c r="D604" s="3"/>
      <c r="E604" s="3"/>
      <c r="H604" s="3"/>
    </row>
    <row r="605" spans="1:8" ht="13">
      <c r="A605" s="3"/>
      <c r="B605" s="3"/>
      <c r="C605" s="3"/>
      <c r="D605" s="3"/>
      <c r="E605" s="3"/>
      <c r="H605" s="3"/>
    </row>
    <row r="606" spans="1:8" ht="13">
      <c r="A606" s="3"/>
      <c r="B606" s="3"/>
      <c r="C606" s="3"/>
      <c r="D606" s="3"/>
      <c r="E606" s="3"/>
      <c r="H606" s="3"/>
    </row>
    <row r="607" spans="1:8" ht="13">
      <c r="A607" s="3"/>
      <c r="B607" s="3"/>
      <c r="C607" s="3"/>
      <c r="D607" s="3"/>
      <c r="E607" s="3"/>
      <c r="H607" s="3"/>
    </row>
    <row r="608" spans="1:8" ht="13">
      <c r="A608" s="3"/>
      <c r="B608" s="3"/>
      <c r="C608" s="3"/>
      <c r="D608" s="3"/>
      <c r="E608" s="3"/>
      <c r="H608" s="3"/>
    </row>
    <row r="609" spans="1:8" ht="13">
      <c r="A609" s="3"/>
      <c r="B609" s="3"/>
      <c r="C609" s="3"/>
      <c r="D609" s="3"/>
      <c r="E609" s="3"/>
      <c r="H609" s="3"/>
    </row>
    <row r="610" spans="1:8" ht="13">
      <c r="A610" s="3"/>
      <c r="B610" s="3"/>
      <c r="C610" s="3"/>
      <c r="D610" s="3"/>
      <c r="E610" s="3"/>
      <c r="H610" s="3"/>
    </row>
    <row r="611" spans="1:8" ht="13">
      <c r="A611" s="3"/>
      <c r="B611" s="3"/>
      <c r="C611" s="3"/>
      <c r="D611" s="3"/>
      <c r="E611" s="3"/>
      <c r="H611" s="3"/>
    </row>
    <row r="612" spans="1:8" ht="13">
      <c r="A612" s="3"/>
      <c r="B612" s="3"/>
      <c r="C612" s="3"/>
      <c r="D612" s="3"/>
      <c r="E612" s="3"/>
      <c r="H612" s="3"/>
    </row>
    <row r="613" spans="1:8" ht="13">
      <c r="A613" s="3"/>
      <c r="B613" s="3"/>
      <c r="C613" s="3"/>
      <c r="D613" s="3"/>
      <c r="E613" s="3"/>
      <c r="H613" s="3"/>
    </row>
    <row r="614" spans="1:8" ht="13">
      <c r="A614" s="3"/>
      <c r="B614" s="3"/>
      <c r="C614" s="3"/>
      <c r="D614" s="3"/>
      <c r="E614" s="3"/>
      <c r="H614" s="3"/>
    </row>
    <row r="615" spans="1:8" ht="13">
      <c r="A615" s="3"/>
      <c r="B615" s="3"/>
      <c r="C615" s="3"/>
      <c r="D615" s="3"/>
      <c r="E615" s="3"/>
      <c r="H615" s="3"/>
    </row>
    <row r="616" spans="1:8" ht="13">
      <c r="A616" s="3"/>
      <c r="B616" s="3"/>
      <c r="C616" s="3"/>
      <c r="D616" s="3"/>
      <c r="E616" s="3"/>
      <c r="H616" s="3"/>
    </row>
    <row r="617" spans="1:8" ht="13">
      <c r="A617" s="3"/>
      <c r="B617" s="3"/>
      <c r="C617" s="3"/>
      <c r="D617" s="3"/>
      <c r="E617" s="3"/>
      <c r="H617" s="3"/>
    </row>
    <row r="618" spans="1:8" ht="13">
      <c r="A618" s="3"/>
      <c r="B618" s="3"/>
      <c r="C618" s="3"/>
      <c r="D618" s="3"/>
      <c r="E618" s="3"/>
      <c r="H618" s="3"/>
    </row>
    <row r="619" spans="1:8" ht="13">
      <c r="A619" s="3"/>
      <c r="B619" s="3"/>
      <c r="C619" s="3"/>
      <c r="D619" s="3"/>
      <c r="E619" s="3"/>
      <c r="H619" s="3"/>
    </row>
    <row r="620" spans="1:8" ht="13">
      <c r="A620" s="3"/>
      <c r="B620" s="3"/>
      <c r="C620" s="3"/>
      <c r="D620" s="3"/>
      <c r="E620" s="3"/>
      <c r="H620" s="3"/>
    </row>
    <row r="621" spans="1:8" ht="13">
      <c r="A621" s="3"/>
      <c r="B621" s="3"/>
      <c r="C621" s="3"/>
      <c r="D621" s="3"/>
      <c r="E621" s="3"/>
      <c r="H621" s="3"/>
    </row>
    <row r="622" spans="1:8" ht="13">
      <c r="A622" s="3"/>
      <c r="B622" s="3"/>
      <c r="C622" s="3"/>
      <c r="D622" s="3"/>
      <c r="E622" s="3"/>
      <c r="H622" s="3"/>
    </row>
    <row r="623" spans="1:8" ht="13">
      <c r="A623" s="3"/>
      <c r="B623" s="3"/>
      <c r="C623" s="3"/>
      <c r="D623" s="3"/>
      <c r="E623" s="3"/>
      <c r="H623" s="3"/>
    </row>
    <row r="624" spans="1:8" ht="13">
      <c r="A624" s="3"/>
      <c r="B624" s="3"/>
      <c r="C624" s="3"/>
      <c r="D624" s="3"/>
      <c r="E624" s="3"/>
      <c r="H624" s="3"/>
    </row>
    <row r="625" spans="1:8" ht="13">
      <c r="A625" s="3"/>
      <c r="B625" s="3"/>
      <c r="C625" s="3"/>
      <c r="D625" s="3"/>
      <c r="E625" s="3"/>
      <c r="H625" s="3"/>
    </row>
    <row r="626" spans="1:8" ht="13">
      <c r="A626" s="3"/>
      <c r="B626" s="3"/>
      <c r="C626" s="3"/>
      <c r="D626" s="3"/>
      <c r="E626" s="3"/>
      <c r="H626" s="3"/>
    </row>
    <row r="627" spans="1:8" ht="13">
      <c r="A627" s="3"/>
      <c r="B627" s="3"/>
      <c r="C627" s="3"/>
      <c r="D627" s="3"/>
      <c r="E627" s="3"/>
      <c r="H627" s="3"/>
    </row>
    <row r="628" spans="1:8" ht="13">
      <c r="A628" s="3"/>
      <c r="B628" s="3"/>
      <c r="C628" s="3"/>
      <c r="D628" s="3"/>
      <c r="E628" s="3"/>
      <c r="H628" s="3"/>
    </row>
    <row r="629" spans="1:8" ht="13">
      <c r="A629" s="3"/>
      <c r="B629" s="3"/>
      <c r="C629" s="3"/>
      <c r="D629" s="3"/>
      <c r="E629" s="3"/>
      <c r="H629" s="3"/>
    </row>
    <row r="630" spans="1:8" ht="13">
      <c r="A630" s="3"/>
      <c r="B630" s="3"/>
      <c r="C630" s="3"/>
      <c r="D630" s="3"/>
      <c r="E630" s="3"/>
      <c r="H630" s="3"/>
    </row>
    <row r="631" spans="1:8" ht="13">
      <c r="A631" s="3"/>
      <c r="B631" s="3"/>
      <c r="C631" s="3"/>
      <c r="D631" s="3"/>
      <c r="E631" s="3"/>
      <c r="H631" s="3"/>
    </row>
    <row r="632" spans="1:8" ht="13">
      <c r="A632" s="3"/>
      <c r="B632" s="3"/>
      <c r="C632" s="3"/>
      <c r="D632" s="3"/>
      <c r="E632" s="3"/>
      <c r="H632" s="3"/>
    </row>
    <row r="633" spans="1:8" ht="13">
      <c r="A633" s="3"/>
      <c r="B633" s="3"/>
      <c r="C633" s="3"/>
      <c r="D633" s="3"/>
      <c r="E633" s="3"/>
      <c r="H633" s="3"/>
    </row>
    <row r="634" spans="1:8" ht="13">
      <c r="A634" s="3"/>
      <c r="B634" s="3"/>
      <c r="C634" s="3"/>
      <c r="D634" s="3"/>
      <c r="E634" s="3"/>
      <c r="H634" s="3"/>
    </row>
    <row r="635" spans="1:8" ht="13">
      <c r="A635" s="3"/>
      <c r="B635" s="3"/>
      <c r="C635" s="3"/>
      <c r="D635" s="3"/>
      <c r="E635" s="3"/>
      <c r="H635" s="3"/>
    </row>
    <row r="636" spans="1:8" ht="13">
      <c r="A636" s="3"/>
      <c r="B636" s="3"/>
      <c r="C636" s="3"/>
      <c r="D636" s="3"/>
      <c r="E636" s="3"/>
      <c r="H636" s="3"/>
    </row>
    <row r="637" spans="1:8" ht="13">
      <c r="A637" s="3"/>
      <c r="B637" s="3"/>
      <c r="C637" s="3"/>
      <c r="D637" s="3"/>
      <c r="E637" s="3"/>
      <c r="H637" s="3"/>
    </row>
    <row r="638" spans="1:8" ht="13">
      <c r="A638" s="3"/>
      <c r="B638" s="3"/>
      <c r="C638" s="3"/>
      <c r="D638" s="3"/>
      <c r="E638" s="3"/>
      <c r="H638" s="3"/>
    </row>
    <row r="639" spans="1:8" ht="13">
      <c r="A639" s="3"/>
      <c r="B639" s="3"/>
      <c r="C639" s="3"/>
      <c r="D639" s="3"/>
      <c r="E639" s="3"/>
      <c r="H639" s="3"/>
    </row>
    <row r="640" spans="1:8" ht="13">
      <c r="A640" s="3"/>
      <c r="B640" s="3"/>
      <c r="C640" s="3"/>
      <c r="D640" s="3"/>
      <c r="E640" s="3"/>
      <c r="H640" s="3"/>
    </row>
    <row r="641" spans="1:8" ht="13">
      <c r="A641" s="3"/>
      <c r="B641" s="3"/>
      <c r="C641" s="3"/>
      <c r="D641" s="3"/>
      <c r="E641" s="3"/>
      <c r="H641" s="3"/>
    </row>
    <row r="642" spans="1:8" ht="13">
      <c r="A642" s="3"/>
      <c r="B642" s="3"/>
      <c r="C642" s="3"/>
      <c r="D642" s="3"/>
      <c r="E642" s="3"/>
      <c r="H642" s="3"/>
    </row>
    <row r="643" spans="1:8" ht="13">
      <c r="A643" s="3"/>
      <c r="B643" s="3"/>
      <c r="C643" s="3"/>
      <c r="D643" s="3"/>
      <c r="E643" s="3"/>
      <c r="H643" s="3"/>
    </row>
    <row r="644" spans="1:8" ht="13">
      <c r="A644" s="3"/>
      <c r="B644" s="3"/>
      <c r="C644" s="3"/>
      <c r="D644" s="3"/>
      <c r="E644" s="3"/>
      <c r="H644" s="3"/>
    </row>
    <row r="645" spans="1:8" ht="13">
      <c r="A645" s="3"/>
      <c r="B645" s="3"/>
      <c r="C645" s="3"/>
      <c r="D645" s="3"/>
      <c r="E645" s="3"/>
      <c r="H645" s="3"/>
    </row>
    <row r="646" spans="1:8" ht="13">
      <c r="A646" s="3"/>
      <c r="B646" s="3"/>
      <c r="C646" s="3"/>
      <c r="D646" s="3"/>
      <c r="E646" s="3"/>
      <c r="H646" s="3"/>
    </row>
  </sheetData>
  <mergeCells count="1">
    <mergeCell ref="B4:F4"/>
  </mergeCells>
  <hyperlinks>
    <hyperlink ref="D17" r:id="rId1" xr:uid="{58BFD65D-33EA-C142-AAAF-272DB4BCFFB2}"/>
  </hyperlinks>
  <pageMargins left="0.7" right="0.7" top="0.75" bottom="0.75" header="0.3" footer="0.3"/>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Z2066"/>
  <sheetViews>
    <sheetView workbookViewId="0">
      <pane xSplit="3" ySplit="2" topLeftCell="D453" activePane="bottomRight" state="frozen"/>
      <selection pane="topRight" activeCell="D1" sqref="D1"/>
      <selection pane="bottomLeft" activeCell="A3" sqref="A3"/>
      <selection pane="bottomRight" activeCell="D58" sqref="D58"/>
    </sheetView>
  </sheetViews>
  <sheetFormatPr baseColWidth="10" defaultColWidth="14.5" defaultRowHeight="15.75" customHeight="1"/>
  <cols>
    <col min="1" max="1" width="23.1640625" customWidth="1"/>
    <col min="2" max="2" width="35" customWidth="1"/>
    <col min="3" max="3" width="31.1640625" customWidth="1"/>
    <col min="4" max="4" width="33.5" customWidth="1"/>
    <col min="5" max="5" width="20.6640625" customWidth="1"/>
    <col min="6" max="6" width="25.5" customWidth="1"/>
    <col min="7" max="7" width="32.33203125" customWidth="1"/>
    <col min="8" max="8" width="21" customWidth="1"/>
    <col min="12" max="12" width="21.6640625" customWidth="1"/>
    <col min="13" max="13" width="33.1640625" customWidth="1"/>
  </cols>
  <sheetData>
    <row r="1" spans="1:17" ht="15.75" customHeight="1">
      <c r="A1" s="95">
        <v>43709</v>
      </c>
      <c r="B1" s="96"/>
      <c r="C1" s="96"/>
      <c r="D1" s="96"/>
      <c r="E1" s="97"/>
      <c r="F1" s="98"/>
      <c r="G1" s="98"/>
    </row>
    <row r="2" spans="1:17" ht="16">
      <c r="A2" s="99"/>
      <c r="B2" s="100" t="s">
        <v>262</v>
      </c>
      <c r="C2" s="100" t="s">
        <v>263</v>
      </c>
      <c r="D2" s="100" t="s">
        <v>264</v>
      </c>
      <c r="E2" s="101" t="s">
        <v>265</v>
      </c>
      <c r="F2" s="102" t="s">
        <v>266</v>
      </c>
      <c r="G2" s="102" t="s">
        <v>267</v>
      </c>
      <c r="H2" s="89" t="s">
        <v>237</v>
      </c>
      <c r="I2" s="90" t="s">
        <v>238</v>
      </c>
      <c r="J2" s="66" t="s">
        <v>240</v>
      </c>
      <c r="K2" s="66" t="s">
        <v>239</v>
      </c>
      <c r="L2" s="66" t="s">
        <v>241</v>
      </c>
      <c r="M2" s="66" t="s">
        <v>242</v>
      </c>
      <c r="N2" s="66" t="s">
        <v>243</v>
      </c>
      <c r="O2" s="66" t="s">
        <v>244</v>
      </c>
      <c r="P2" s="66" t="s">
        <v>246</v>
      </c>
      <c r="Q2" s="66" t="s">
        <v>248</v>
      </c>
    </row>
    <row r="3" spans="1:17" ht="15.75" customHeight="1">
      <c r="A3" s="103" t="s">
        <v>268</v>
      </c>
      <c r="B3" s="99"/>
      <c r="C3" s="99"/>
      <c r="F3" s="104"/>
      <c r="G3" s="104"/>
      <c r="H3" s="90"/>
    </row>
    <row r="4" spans="1:17" ht="15.75" customHeight="1">
      <c r="A4" s="99" t="s">
        <v>269</v>
      </c>
      <c r="B4" s="99" t="s">
        <v>270</v>
      </c>
      <c r="C4" s="99" t="s">
        <v>271</v>
      </c>
      <c r="E4" s="105">
        <v>50.2</v>
      </c>
      <c r="F4" s="104" t="s">
        <v>272</v>
      </c>
      <c r="G4" s="104" t="s">
        <v>273</v>
      </c>
      <c r="H4" s="66"/>
    </row>
    <row r="5" spans="1:17" ht="15.75" customHeight="1">
      <c r="B5" s="99" t="s">
        <v>270</v>
      </c>
      <c r="C5" s="99" t="s">
        <v>274</v>
      </c>
      <c r="E5" s="105">
        <v>74.61</v>
      </c>
      <c r="F5" s="104" t="s">
        <v>272</v>
      </c>
      <c r="G5" s="104" t="s">
        <v>273</v>
      </c>
      <c r="H5" s="66"/>
    </row>
    <row r="6" spans="1:17" ht="15.75" customHeight="1">
      <c r="B6" s="99" t="s">
        <v>270</v>
      </c>
      <c r="C6" s="99" t="s">
        <v>275</v>
      </c>
      <c r="E6" s="105">
        <v>42.86</v>
      </c>
      <c r="F6" s="104" t="s">
        <v>272</v>
      </c>
      <c r="G6" s="104" t="s">
        <v>273</v>
      </c>
      <c r="H6" s="66"/>
    </row>
    <row r="7" spans="1:17" ht="15.75" customHeight="1">
      <c r="B7" s="99" t="s">
        <v>270</v>
      </c>
      <c r="C7" s="99" t="s">
        <v>276</v>
      </c>
      <c r="E7" s="105">
        <v>46.08</v>
      </c>
      <c r="F7" s="104" t="s">
        <v>272</v>
      </c>
      <c r="G7" s="104" t="s">
        <v>273</v>
      </c>
      <c r="H7" s="66"/>
    </row>
    <row r="8" spans="1:17" ht="15.75" customHeight="1">
      <c r="B8" s="99" t="s">
        <v>270</v>
      </c>
      <c r="C8" s="99" t="s">
        <v>277</v>
      </c>
      <c r="E8" s="105">
        <v>86.16</v>
      </c>
      <c r="F8" s="104" t="s">
        <v>272</v>
      </c>
      <c r="G8" s="104" t="s">
        <v>273</v>
      </c>
      <c r="H8" s="66"/>
      <c r="K8" s="96" t="s">
        <v>278</v>
      </c>
      <c r="L8" s="106"/>
      <c r="M8" s="106"/>
    </row>
    <row r="9" spans="1:17" ht="15.75" customHeight="1">
      <c r="B9" s="99" t="s">
        <v>270</v>
      </c>
      <c r="C9" s="99" t="s">
        <v>279</v>
      </c>
      <c r="E9" s="105">
        <v>136.08000000000001</v>
      </c>
      <c r="F9" s="104" t="s">
        <v>272</v>
      </c>
      <c r="G9" s="104" t="s">
        <v>273</v>
      </c>
      <c r="H9" s="66"/>
      <c r="K9" s="106"/>
      <c r="L9" s="96" t="s">
        <v>280</v>
      </c>
      <c r="M9" s="96" t="s">
        <v>281</v>
      </c>
    </row>
    <row r="10" spans="1:17" ht="15.75" customHeight="1">
      <c r="B10" s="99" t="s">
        <v>270</v>
      </c>
      <c r="C10" s="99" t="s">
        <v>279</v>
      </c>
      <c r="E10" s="105">
        <v>257.64</v>
      </c>
      <c r="F10" s="104" t="s">
        <v>272</v>
      </c>
      <c r="G10" s="104" t="s">
        <v>273</v>
      </c>
      <c r="H10" s="66"/>
      <c r="K10" s="106"/>
      <c r="L10" s="96" t="s">
        <v>282</v>
      </c>
      <c r="M10" s="96" t="s">
        <v>283</v>
      </c>
    </row>
    <row r="11" spans="1:17" ht="15.75" customHeight="1">
      <c r="B11" s="99" t="s">
        <v>270</v>
      </c>
      <c r="C11" s="99" t="s">
        <v>284</v>
      </c>
      <c r="E11" s="105">
        <v>252.24</v>
      </c>
      <c r="F11" s="104" t="s">
        <v>272</v>
      </c>
      <c r="G11" s="104" t="s">
        <v>273</v>
      </c>
      <c r="H11" s="66"/>
      <c r="K11" s="106"/>
      <c r="L11" s="96" t="s">
        <v>285</v>
      </c>
      <c r="M11" s="96" t="s">
        <v>286</v>
      </c>
    </row>
    <row r="12" spans="1:17" ht="15.75" customHeight="1">
      <c r="B12" s="99" t="s">
        <v>270</v>
      </c>
      <c r="C12" s="99" t="s">
        <v>287</v>
      </c>
      <c r="E12" s="105">
        <v>98.91</v>
      </c>
      <c r="F12" s="104" t="s">
        <v>272</v>
      </c>
      <c r="G12" s="104" t="s">
        <v>273</v>
      </c>
      <c r="K12" s="106"/>
      <c r="L12" s="96" t="s">
        <v>288</v>
      </c>
      <c r="M12" s="96" t="s">
        <v>289</v>
      </c>
    </row>
    <row r="13" spans="1:17" ht="15.75" customHeight="1">
      <c r="B13" s="99" t="s">
        <v>270</v>
      </c>
      <c r="C13" s="99" t="s">
        <v>290</v>
      </c>
      <c r="E13" s="105">
        <v>145.56</v>
      </c>
      <c r="F13" s="104" t="s">
        <v>272</v>
      </c>
      <c r="G13" s="104" t="s">
        <v>273</v>
      </c>
      <c r="K13" s="106"/>
      <c r="L13" s="96" t="s">
        <v>291</v>
      </c>
      <c r="M13" s="96" t="s">
        <v>292</v>
      </c>
    </row>
    <row r="14" spans="1:17" ht="15.75" customHeight="1">
      <c r="B14" s="99" t="s">
        <v>270</v>
      </c>
      <c r="C14" s="99" t="s">
        <v>293</v>
      </c>
      <c r="E14" s="105">
        <v>142.26</v>
      </c>
      <c r="F14" s="104" t="s">
        <v>272</v>
      </c>
      <c r="G14" s="104" t="s">
        <v>273</v>
      </c>
    </row>
    <row r="15" spans="1:17" ht="15.75" customHeight="1">
      <c r="B15" s="99" t="s">
        <v>270</v>
      </c>
      <c r="C15" s="99" t="s">
        <v>294</v>
      </c>
      <c r="E15" s="105">
        <v>170.64</v>
      </c>
      <c r="F15" s="104" t="s">
        <v>272</v>
      </c>
      <c r="G15" s="104" t="s">
        <v>273</v>
      </c>
    </row>
    <row r="16" spans="1:17" ht="15.75" customHeight="1">
      <c r="B16" s="99" t="s">
        <v>270</v>
      </c>
      <c r="C16" s="99" t="s">
        <v>295</v>
      </c>
      <c r="E16" s="105">
        <v>99.21</v>
      </c>
      <c r="F16" s="104" t="s">
        <v>272</v>
      </c>
      <c r="G16" s="104" t="s">
        <v>273</v>
      </c>
    </row>
    <row r="17" spans="2:7" ht="15.75" customHeight="1">
      <c r="B17" s="99" t="s">
        <v>270</v>
      </c>
      <c r="C17" s="99" t="s">
        <v>296</v>
      </c>
      <c r="E17" s="105">
        <v>20.14</v>
      </c>
      <c r="F17" s="104" t="s">
        <v>272</v>
      </c>
      <c r="G17" s="104" t="s">
        <v>273</v>
      </c>
    </row>
    <row r="18" spans="2:7" ht="15.75" customHeight="1">
      <c r="B18" s="99" t="s">
        <v>270</v>
      </c>
      <c r="C18" s="99" t="s">
        <v>297</v>
      </c>
      <c r="E18" s="105">
        <v>158.58000000000001</v>
      </c>
      <c r="F18" s="104" t="s">
        <v>272</v>
      </c>
      <c r="G18" s="104" t="s">
        <v>273</v>
      </c>
    </row>
    <row r="19" spans="2:7" ht="15.75" customHeight="1">
      <c r="B19" s="99" t="s">
        <v>270</v>
      </c>
      <c r="C19" s="99" t="s">
        <v>298</v>
      </c>
      <c r="E19" s="105">
        <v>36.14</v>
      </c>
      <c r="F19" s="104" t="s">
        <v>272</v>
      </c>
      <c r="G19" s="104" t="s">
        <v>273</v>
      </c>
    </row>
    <row r="20" spans="2:7" ht="15.75" customHeight="1">
      <c r="B20" s="99" t="s">
        <v>270</v>
      </c>
      <c r="C20" s="99" t="s">
        <v>299</v>
      </c>
      <c r="E20" s="105">
        <v>18.8</v>
      </c>
      <c r="F20" s="104" t="s">
        <v>272</v>
      </c>
      <c r="G20" s="104" t="s">
        <v>273</v>
      </c>
    </row>
    <row r="21" spans="2:7" ht="15.75" customHeight="1">
      <c r="B21" s="99" t="s">
        <v>270</v>
      </c>
      <c r="C21" s="99" t="s">
        <v>299</v>
      </c>
      <c r="E21" s="105">
        <v>115.29</v>
      </c>
      <c r="F21" s="104" t="s">
        <v>272</v>
      </c>
      <c r="G21" s="104" t="s">
        <v>273</v>
      </c>
    </row>
    <row r="22" spans="2:7" ht="15.75" customHeight="1">
      <c r="B22" s="99" t="s">
        <v>270</v>
      </c>
      <c r="C22" s="99" t="s">
        <v>300</v>
      </c>
      <c r="E22" s="105">
        <v>94.82</v>
      </c>
      <c r="F22" s="104" t="s">
        <v>272</v>
      </c>
      <c r="G22" s="104" t="s">
        <v>273</v>
      </c>
    </row>
    <row r="23" spans="2:7" ht="15.75" customHeight="1">
      <c r="B23" s="99" t="s">
        <v>270</v>
      </c>
      <c r="C23" s="99" t="s">
        <v>301</v>
      </c>
      <c r="E23" s="105">
        <v>76.5</v>
      </c>
      <c r="F23" s="104" t="s">
        <v>272</v>
      </c>
      <c r="G23" s="104" t="s">
        <v>273</v>
      </c>
    </row>
    <row r="24" spans="2:7" ht="15.75" customHeight="1">
      <c r="B24" s="99" t="s">
        <v>270</v>
      </c>
      <c r="C24" s="99" t="s">
        <v>301</v>
      </c>
      <c r="E24" s="105">
        <v>79.5</v>
      </c>
      <c r="F24" s="104" t="s">
        <v>272</v>
      </c>
      <c r="G24" s="104" t="s">
        <v>273</v>
      </c>
    </row>
    <row r="25" spans="2:7" ht="15.75" customHeight="1">
      <c r="B25" s="99" t="s">
        <v>270</v>
      </c>
      <c r="C25" s="99" t="s">
        <v>302</v>
      </c>
      <c r="E25" s="105">
        <v>32.020000000000003</v>
      </c>
      <c r="F25" s="104" t="s">
        <v>272</v>
      </c>
      <c r="G25" s="104" t="s">
        <v>273</v>
      </c>
    </row>
    <row r="26" spans="2:7" ht="15.75" customHeight="1">
      <c r="B26" s="99" t="s">
        <v>270</v>
      </c>
      <c r="C26" s="99" t="s">
        <v>303</v>
      </c>
      <c r="E26" s="105">
        <v>16.13</v>
      </c>
      <c r="F26" s="104" t="s">
        <v>272</v>
      </c>
      <c r="G26" s="104" t="s">
        <v>273</v>
      </c>
    </row>
    <row r="27" spans="2:7" ht="15.75" customHeight="1">
      <c r="B27" s="99" t="s">
        <v>270</v>
      </c>
      <c r="C27" s="99" t="s">
        <v>303</v>
      </c>
      <c r="E27" s="105">
        <v>15.03</v>
      </c>
      <c r="F27" s="104" t="s">
        <v>272</v>
      </c>
      <c r="G27" s="104" t="s">
        <v>273</v>
      </c>
    </row>
    <row r="28" spans="2:7" ht="15.75" customHeight="1">
      <c r="B28" s="99" t="s">
        <v>270</v>
      </c>
      <c r="C28" s="99" t="s">
        <v>304</v>
      </c>
      <c r="E28" s="105">
        <v>57.5</v>
      </c>
      <c r="F28" s="104" t="s">
        <v>272</v>
      </c>
      <c r="G28" s="104" t="s">
        <v>273</v>
      </c>
    </row>
    <row r="29" spans="2:7" ht="15.75" customHeight="1">
      <c r="B29" s="99" t="s">
        <v>270</v>
      </c>
      <c r="C29" s="99" t="s">
        <v>305</v>
      </c>
      <c r="E29" s="105">
        <v>54.12</v>
      </c>
      <c r="F29" s="104" t="s">
        <v>272</v>
      </c>
      <c r="G29" s="104" t="s">
        <v>273</v>
      </c>
    </row>
    <row r="30" spans="2:7" ht="15.75" customHeight="1">
      <c r="B30" s="99" t="s">
        <v>270</v>
      </c>
      <c r="C30" s="99" t="s">
        <v>305</v>
      </c>
      <c r="E30" s="105">
        <v>55.74</v>
      </c>
      <c r="F30" s="104" t="s">
        <v>272</v>
      </c>
      <c r="G30" s="104" t="s">
        <v>273</v>
      </c>
    </row>
    <row r="31" spans="2:7" ht="15.75" customHeight="1">
      <c r="B31" s="99" t="s">
        <v>270</v>
      </c>
      <c r="C31" s="99" t="s">
        <v>271</v>
      </c>
      <c r="E31" s="105">
        <v>49.4</v>
      </c>
      <c r="F31" s="104" t="s">
        <v>272</v>
      </c>
      <c r="G31" s="104" t="s">
        <v>273</v>
      </c>
    </row>
    <row r="32" spans="2:7" ht="15.75" customHeight="1">
      <c r="B32" s="99" t="s">
        <v>270</v>
      </c>
      <c r="C32" s="99" t="s">
        <v>306</v>
      </c>
      <c r="E32" s="105">
        <v>728.32</v>
      </c>
      <c r="F32" s="104" t="s">
        <v>272</v>
      </c>
      <c r="G32" s="104" t="s">
        <v>273</v>
      </c>
    </row>
    <row r="33" spans="2:7" ht="15.75" customHeight="1">
      <c r="B33" s="99" t="s">
        <v>270</v>
      </c>
      <c r="C33" s="107" t="s">
        <v>306</v>
      </c>
      <c r="D33" s="108"/>
      <c r="E33" s="109">
        <f>217.84-25</f>
        <v>192.84</v>
      </c>
      <c r="F33" s="110" t="s">
        <v>272</v>
      </c>
      <c r="G33" s="110" t="s">
        <v>273</v>
      </c>
    </row>
    <row r="34" spans="2:7" ht="15.75" customHeight="1">
      <c r="B34" s="99" t="s">
        <v>270</v>
      </c>
      <c r="C34" s="99" t="s">
        <v>306</v>
      </c>
      <c r="E34" s="105">
        <v>4211.17</v>
      </c>
      <c r="F34" s="104" t="s">
        <v>272</v>
      </c>
      <c r="G34" s="104" t="s">
        <v>273</v>
      </c>
    </row>
    <row r="35" spans="2:7" ht="15.75" customHeight="1">
      <c r="B35" s="99" t="s">
        <v>270</v>
      </c>
      <c r="C35" s="99" t="s">
        <v>307</v>
      </c>
      <c r="D35" s="99" t="s">
        <v>283</v>
      </c>
      <c r="E35" s="105">
        <v>81.12</v>
      </c>
      <c r="F35" s="104" t="s">
        <v>272</v>
      </c>
      <c r="G35" s="104" t="s">
        <v>272</v>
      </c>
    </row>
    <row r="36" spans="2:7" ht="15.75" customHeight="1">
      <c r="B36" s="99" t="s">
        <v>270</v>
      </c>
      <c r="C36" s="99" t="s">
        <v>306</v>
      </c>
      <c r="E36" s="105">
        <v>377.58</v>
      </c>
      <c r="F36" s="104" t="s">
        <v>272</v>
      </c>
      <c r="G36" s="104" t="s">
        <v>273</v>
      </c>
    </row>
    <row r="37" spans="2:7" ht="15.75" customHeight="1">
      <c r="B37" s="99" t="s">
        <v>270</v>
      </c>
      <c r="C37" s="99" t="s">
        <v>306</v>
      </c>
      <c r="E37" s="105">
        <v>1128.07</v>
      </c>
      <c r="F37" s="104" t="s">
        <v>272</v>
      </c>
      <c r="G37" s="79"/>
    </row>
    <row r="38" spans="2:7" ht="15.75" customHeight="1">
      <c r="B38" s="99" t="s">
        <v>270</v>
      </c>
      <c r="C38" s="107" t="s">
        <v>306</v>
      </c>
      <c r="D38" s="108"/>
      <c r="E38" s="111">
        <f>290.91-40.56</f>
        <v>250.35000000000002</v>
      </c>
      <c r="F38" s="110" t="s">
        <v>272</v>
      </c>
      <c r="G38" s="110" t="s">
        <v>273</v>
      </c>
    </row>
    <row r="39" spans="2:7" ht="15.75" customHeight="1">
      <c r="B39" s="99" t="s">
        <v>270</v>
      </c>
      <c r="C39" s="99" t="s">
        <v>154</v>
      </c>
      <c r="D39" s="99" t="s">
        <v>283</v>
      </c>
      <c r="E39" s="105">
        <v>40.56</v>
      </c>
      <c r="F39" s="104" t="s">
        <v>272</v>
      </c>
      <c r="G39" s="104" t="s">
        <v>273</v>
      </c>
    </row>
    <row r="40" spans="2:7" ht="15.75" customHeight="1">
      <c r="B40" s="99" t="s">
        <v>270</v>
      </c>
      <c r="C40" s="107" t="s">
        <v>237</v>
      </c>
      <c r="D40" s="108"/>
      <c r="E40" s="111">
        <v>631.41999999999996</v>
      </c>
      <c r="F40" s="110" t="s">
        <v>272</v>
      </c>
      <c r="G40" s="110" t="s">
        <v>273</v>
      </c>
    </row>
    <row r="41" spans="2:7" ht="15.75" customHeight="1">
      <c r="B41" s="99" t="s">
        <v>270</v>
      </c>
      <c r="C41" s="107" t="s">
        <v>306</v>
      </c>
      <c r="D41" s="108"/>
      <c r="E41" s="111">
        <v>3704.74</v>
      </c>
      <c r="F41" s="110" t="s">
        <v>272</v>
      </c>
      <c r="G41" s="110" t="s">
        <v>273</v>
      </c>
    </row>
    <row r="42" spans="2:7" ht="15.75" customHeight="1">
      <c r="B42" s="99" t="s">
        <v>308</v>
      </c>
      <c r="C42" s="99" t="s">
        <v>309</v>
      </c>
      <c r="E42" s="105">
        <v>46.59</v>
      </c>
      <c r="F42" s="104" t="s">
        <v>273</v>
      </c>
      <c r="G42" s="104" t="s">
        <v>273</v>
      </c>
    </row>
    <row r="43" spans="2:7" ht="15.75" customHeight="1">
      <c r="B43" s="99" t="s">
        <v>310</v>
      </c>
      <c r="E43" s="105">
        <v>21.47</v>
      </c>
      <c r="F43" s="104" t="s">
        <v>273</v>
      </c>
      <c r="G43" s="104" t="s">
        <v>273</v>
      </c>
    </row>
    <row r="44" spans="2:7" ht="15.75" customHeight="1">
      <c r="B44" s="99" t="s">
        <v>311</v>
      </c>
      <c r="E44" s="105">
        <v>21.92</v>
      </c>
      <c r="F44" s="104" t="s">
        <v>273</v>
      </c>
      <c r="G44" s="104" t="s">
        <v>273</v>
      </c>
    </row>
    <row r="45" spans="2:7" ht="15.75" customHeight="1">
      <c r="B45" s="99" t="s">
        <v>312</v>
      </c>
      <c r="E45" s="105">
        <v>18.8</v>
      </c>
      <c r="F45" s="104" t="s">
        <v>273</v>
      </c>
      <c r="G45" s="104" t="s">
        <v>273</v>
      </c>
    </row>
    <row r="46" spans="2:7" ht="15.75" customHeight="1">
      <c r="B46" s="99" t="s">
        <v>313</v>
      </c>
      <c r="E46" s="105">
        <v>4.16</v>
      </c>
      <c r="F46" s="104" t="s">
        <v>273</v>
      </c>
      <c r="G46" s="104" t="s">
        <v>273</v>
      </c>
    </row>
    <row r="47" spans="2:7" ht="15.75" customHeight="1">
      <c r="B47" s="99" t="s">
        <v>314</v>
      </c>
      <c r="C47" t="s">
        <v>878</v>
      </c>
      <c r="E47" s="105">
        <v>58.2</v>
      </c>
      <c r="F47" s="104" t="s">
        <v>273</v>
      </c>
      <c r="G47" s="104" t="s">
        <v>273</v>
      </c>
    </row>
    <row r="48" spans="2:7" ht="15.75" customHeight="1">
      <c r="B48" s="99" t="s">
        <v>314</v>
      </c>
      <c r="C48" s="140" t="s">
        <v>878</v>
      </c>
      <c r="E48" s="105">
        <v>283.23</v>
      </c>
      <c r="F48" s="104" t="s">
        <v>273</v>
      </c>
      <c r="G48" s="104" t="s">
        <v>315</v>
      </c>
    </row>
    <row r="49" spans="2:7" ht="13">
      <c r="B49" s="99" t="s">
        <v>314</v>
      </c>
      <c r="C49" s="140" t="s">
        <v>878</v>
      </c>
      <c r="E49" s="105">
        <v>85.09</v>
      </c>
      <c r="F49" s="104" t="s">
        <v>273</v>
      </c>
      <c r="G49" s="104" t="s">
        <v>315</v>
      </c>
    </row>
    <row r="50" spans="2:7" ht="13">
      <c r="B50" s="99" t="s">
        <v>314</v>
      </c>
      <c r="C50" s="140" t="s">
        <v>878</v>
      </c>
      <c r="E50" s="105">
        <v>403.58</v>
      </c>
      <c r="F50" s="104" t="s">
        <v>273</v>
      </c>
      <c r="G50" s="104" t="s">
        <v>315</v>
      </c>
    </row>
    <row r="51" spans="2:7" ht="13">
      <c r="B51" s="99" t="s">
        <v>314</v>
      </c>
      <c r="C51" s="140" t="s">
        <v>878</v>
      </c>
      <c r="E51" s="105">
        <v>102.12</v>
      </c>
      <c r="F51" s="104" t="s">
        <v>273</v>
      </c>
      <c r="G51" s="104" t="s">
        <v>315</v>
      </c>
    </row>
    <row r="52" spans="2:7" ht="13">
      <c r="B52" s="99" t="s">
        <v>314</v>
      </c>
      <c r="C52" s="140" t="s">
        <v>878</v>
      </c>
      <c r="E52" s="105">
        <v>67.760000000000005</v>
      </c>
      <c r="F52" s="104" t="s">
        <v>273</v>
      </c>
      <c r="G52" s="104" t="s">
        <v>315</v>
      </c>
    </row>
    <row r="53" spans="2:7" ht="13">
      <c r="B53" s="99" t="s">
        <v>314</v>
      </c>
      <c r="C53" s="140" t="s">
        <v>878</v>
      </c>
      <c r="E53" s="105">
        <v>365.67</v>
      </c>
      <c r="F53" s="104" t="s">
        <v>273</v>
      </c>
      <c r="G53" s="104" t="s">
        <v>315</v>
      </c>
    </row>
    <row r="54" spans="2:7" ht="13">
      <c r="B54" s="99" t="s">
        <v>314</v>
      </c>
      <c r="C54" s="140" t="s">
        <v>878</v>
      </c>
      <c r="E54" s="105">
        <v>528.58000000000004</v>
      </c>
      <c r="F54" s="104" t="s">
        <v>273</v>
      </c>
      <c r="G54" s="104" t="s">
        <v>315</v>
      </c>
    </row>
    <row r="55" spans="2:7" ht="13">
      <c r="B55" s="99" t="s">
        <v>316</v>
      </c>
      <c r="C55" s="99" t="s">
        <v>317</v>
      </c>
      <c r="E55" s="105">
        <v>195</v>
      </c>
      <c r="F55" s="104" t="s">
        <v>273</v>
      </c>
      <c r="G55" s="104" t="s">
        <v>273</v>
      </c>
    </row>
    <row r="56" spans="2:7" ht="13">
      <c r="B56" s="99" t="s">
        <v>316</v>
      </c>
      <c r="C56" s="99" t="s">
        <v>318</v>
      </c>
      <c r="E56" s="105">
        <v>170</v>
      </c>
      <c r="F56" s="104" t="s">
        <v>273</v>
      </c>
      <c r="G56" s="104" t="s">
        <v>273</v>
      </c>
    </row>
    <row r="57" spans="2:7" ht="13">
      <c r="B57" s="99" t="s">
        <v>316</v>
      </c>
      <c r="C57" s="99" t="s">
        <v>317</v>
      </c>
      <c r="E57" s="105">
        <v>300</v>
      </c>
      <c r="F57" s="104" t="s">
        <v>273</v>
      </c>
      <c r="G57" s="104" t="s">
        <v>273</v>
      </c>
    </row>
    <row r="58" spans="2:7" ht="13">
      <c r="B58" s="99" t="s">
        <v>319</v>
      </c>
      <c r="C58" s="99" t="s">
        <v>320</v>
      </c>
      <c r="E58" s="105">
        <v>46.95</v>
      </c>
      <c r="F58" s="104" t="s">
        <v>272</v>
      </c>
      <c r="G58" s="104" t="s">
        <v>273</v>
      </c>
    </row>
    <row r="59" spans="2:7" ht="13">
      <c r="B59" s="99" t="s">
        <v>319</v>
      </c>
      <c r="C59" s="56" t="s">
        <v>321</v>
      </c>
      <c r="E59" s="105">
        <v>299.26</v>
      </c>
      <c r="F59" s="104" t="s">
        <v>273</v>
      </c>
      <c r="G59" s="104" t="s">
        <v>273</v>
      </c>
    </row>
    <row r="60" spans="2:7" ht="13">
      <c r="B60" s="99" t="s">
        <v>319</v>
      </c>
      <c r="C60" s="99" t="s">
        <v>322</v>
      </c>
      <c r="E60" s="105">
        <v>27.26</v>
      </c>
      <c r="F60" s="104" t="s">
        <v>272</v>
      </c>
      <c r="G60" s="104" t="s">
        <v>273</v>
      </c>
    </row>
    <row r="61" spans="2:7" ht="13">
      <c r="B61" s="99" t="s">
        <v>319</v>
      </c>
      <c r="C61" s="99" t="s">
        <v>323</v>
      </c>
      <c r="E61" s="112">
        <v>37.78</v>
      </c>
      <c r="F61" s="104" t="s">
        <v>272</v>
      </c>
      <c r="G61" s="104" t="s">
        <v>273</v>
      </c>
    </row>
    <row r="62" spans="2:7" ht="13">
      <c r="B62" s="99" t="s">
        <v>319</v>
      </c>
      <c r="C62" s="99" t="s">
        <v>324</v>
      </c>
      <c r="E62" s="113">
        <v>270.39999999999998</v>
      </c>
      <c r="F62" s="104" t="s">
        <v>273</v>
      </c>
      <c r="G62" s="104" t="s">
        <v>273</v>
      </c>
    </row>
    <row r="63" spans="2:7" ht="13">
      <c r="B63" s="99" t="s">
        <v>319</v>
      </c>
      <c r="C63" s="99" t="s">
        <v>325</v>
      </c>
      <c r="E63" s="105">
        <v>65.16</v>
      </c>
      <c r="F63" s="104" t="s">
        <v>273</v>
      </c>
      <c r="G63" s="104" t="s">
        <v>273</v>
      </c>
    </row>
    <row r="64" spans="2:7" ht="13">
      <c r="B64" s="99" t="s">
        <v>319</v>
      </c>
      <c r="C64" s="99" t="s">
        <v>326</v>
      </c>
      <c r="E64" s="105">
        <v>849.57</v>
      </c>
      <c r="F64" s="104" t="s">
        <v>273</v>
      </c>
      <c r="G64" s="104" t="s">
        <v>273</v>
      </c>
    </row>
    <row r="65" spans="2:7" ht="13">
      <c r="B65" s="99" t="s">
        <v>319</v>
      </c>
      <c r="C65" s="99" t="s">
        <v>108</v>
      </c>
      <c r="E65" s="105">
        <v>195.15</v>
      </c>
      <c r="F65" s="104" t="s">
        <v>272</v>
      </c>
      <c r="G65" s="104" t="s">
        <v>273</v>
      </c>
    </row>
    <row r="66" spans="2:7" ht="13">
      <c r="B66" s="99" t="s">
        <v>319</v>
      </c>
      <c r="C66" s="99" t="s">
        <v>327</v>
      </c>
      <c r="E66" s="105">
        <v>1078.83</v>
      </c>
      <c r="F66" s="104" t="s">
        <v>273</v>
      </c>
      <c r="G66" s="104" t="s">
        <v>273</v>
      </c>
    </row>
    <row r="67" spans="2:7" ht="13">
      <c r="B67" s="99" t="s">
        <v>319</v>
      </c>
      <c r="C67" s="99" t="s">
        <v>328</v>
      </c>
      <c r="E67" s="105">
        <v>1935.12</v>
      </c>
      <c r="F67" s="104" t="s">
        <v>273</v>
      </c>
      <c r="G67" s="104" t="s">
        <v>273</v>
      </c>
    </row>
    <row r="68" spans="2:7" ht="13">
      <c r="B68" s="99" t="s">
        <v>319</v>
      </c>
      <c r="C68" s="99" t="s">
        <v>329</v>
      </c>
      <c r="E68" s="113">
        <v>876.48</v>
      </c>
      <c r="F68" s="104" t="s">
        <v>272</v>
      </c>
      <c r="G68" s="104" t="s">
        <v>273</v>
      </c>
    </row>
    <row r="69" spans="2:7" ht="13">
      <c r="B69" s="99" t="s">
        <v>319</v>
      </c>
      <c r="C69" s="99" t="s">
        <v>330</v>
      </c>
      <c r="E69" s="114">
        <f>24.16+20.36+24.89</f>
        <v>69.41</v>
      </c>
      <c r="F69" s="104" t="s">
        <v>272</v>
      </c>
      <c r="G69" s="104" t="s">
        <v>273</v>
      </c>
    </row>
    <row r="70" spans="2:7" ht="13">
      <c r="B70" s="99" t="s">
        <v>319</v>
      </c>
      <c r="C70" s="99" t="s">
        <v>331</v>
      </c>
      <c r="E70" s="105">
        <f>3962.26-2881.01</f>
        <v>1081.25</v>
      </c>
      <c r="F70" s="104" t="s">
        <v>272</v>
      </c>
      <c r="G70" s="104" t="s">
        <v>273</v>
      </c>
    </row>
    <row r="71" spans="2:7" ht="13">
      <c r="B71" s="99" t="s">
        <v>319</v>
      </c>
      <c r="C71" s="99" t="s">
        <v>330</v>
      </c>
      <c r="E71" s="105">
        <v>1877.82</v>
      </c>
      <c r="F71" s="104" t="s">
        <v>272</v>
      </c>
      <c r="G71" s="104" t="s">
        <v>273</v>
      </c>
    </row>
    <row r="72" spans="2:7" ht="13">
      <c r="B72" s="99" t="s">
        <v>319</v>
      </c>
      <c r="C72" s="99" t="s">
        <v>332</v>
      </c>
      <c r="E72" s="114">
        <f>75.9+38.69+58.3+313.12+110.76+111.44+33.18+63.82</f>
        <v>805.21</v>
      </c>
      <c r="F72" s="104" t="s">
        <v>273</v>
      </c>
      <c r="G72" s="104" t="s">
        <v>273</v>
      </c>
    </row>
    <row r="73" spans="2:7" ht="13">
      <c r="B73" s="99" t="s">
        <v>319</v>
      </c>
      <c r="C73" s="99" t="s">
        <v>333</v>
      </c>
      <c r="E73" s="105">
        <v>142.1</v>
      </c>
      <c r="F73" s="104" t="s">
        <v>273</v>
      </c>
      <c r="G73" s="104" t="s">
        <v>273</v>
      </c>
    </row>
    <row r="74" spans="2:7" ht="13">
      <c r="B74" s="99" t="s">
        <v>319</v>
      </c>
      <c r="C74" s="99" t="s">
        <v>334</v>
      </c>
      <c r="E74" s="105">
        <v>444.14</v>
      </c>
      <c r="F74" s="104" t="s">
        <v>272</v>
      </c>
      <c r="G74" s="104" t="s">
        <v>273</v>
      </c>
    </row>
    <row r="75" spans="2:7" ht="13">
      <c r="B75" s="99" t="s">
        <v>319</v>
      </c>
      <c r="C75" s="99" t="s">
        <v>335</v>
      </c>
      <c r="E75" s="114">
        <f>815.39-444.14-142.1</f>
        <v>229.15</v>
      </c>
      <c r="F75" s="104" t="s">
        <v>272</v>
      </c>
      <c r="G75" s="104" t="s">
        <v>273</v>
      </c>
    </row>
    <row r="76" spans="2:7" ht="13">
      <c r="B76" s="99" t="s">
        <v>319</v>
      </c>
      <c r="C76" s="99" t="s">
        <v>336</v>
      </c>
      <c r="E76" s="105">
        <v>374.14</v>
      </c>
      <c r="F76" s="104" t="s">
        <v>272</v>
      </c>
      <c r="G76" s="104" t="s">
        <v>273</v>
      </c>
    </row>
    <row r="77" spans="2:7" ht="13">
      <c r="B77" s="99" t="s">
        <v>319</v>
      </c>
      <c r="C77" s="99" t="s">
        <v>337</v>
      </c>
      <c r="E77" s="115">
        <v>36.479999999999997</v>
      </c>
      <c r="F77" s="104" t="s">
        <v>273</v>
      </c>
      <c r="G77" s="104" t="s">
        <v>273</v>
      </c>
    </row>
    <row r="78" spans="2:7" ht="13">
      <c r="B78" s="99" t="s">
        <v>319</v>
      </c>
      <c r="C78" s="99" t="s">
        <v>338</v>
      </c>
      <c r="E78" s="105">
        <v>98.16</v>
      </c>
      <c r="F78" s="104" t="s">
        <v>272</v>
      </c>
      <c r="G78" s="104" t="s">
        <v>273</v>
      </c>
    </row>
    <row r="79" spans="2:7" ht="13">
      <c r="B79" s="99" t="s">
        <v>319</v>
      </c>
      <c r="C79" s="99" t="s">
        <v>127</v>
      </c>
      <c r="E79" s="105">
        <v>150</v>
      </c>
      <c r="F79" s="104" t="s">
        <v>272</v>
      </c>
      <c r="G79" s="104" t="s">
        <v>273</v>
      </c>
    </row>
    <row r="80" spans="2:7" ht="13">
      <c r="B80" s="99" t="s">
        <v>319</v>
      </c>
      <c r="C80" s="99" t="s">
        <v>337</v>
      </c>
      <c r="E80" s="105">
        <v>136.94999999999999</v>
      </c>
      <c r="F80" s="104" t="s">
        <v>273</v>
      </c>
      <c r="G80" s="104" t="s">
        <v>273</v>
      </c>
    </row>
    <row r="81" spans="2:7" ht="13">
      <c r="B81" s="99" t="s">
        <v>319</v>
      </c>
      <c r="C81" s="99" t="s">
        <v>339</v>
      </c>
      <c r="E81" s="105">
        <v>27.48</v>
      </c>
      <c r="F81" s="104" t="s">
        <v>273</v>
      </c>
      <c r="G81" s="104" t="s">
        <v>273</v>
      </c>
    </row>
    <row r="82" spans="2:7" ht="13">
      <c r="B82" s="99" t="s">
        <v>319</v>
      </c>
      <c r="C82" s="99" t="s">
        <v>340</v>
      </c>
      <c r="E82" s="114">
        <f>126.76-E81</f>
        <v>99.28</v>
      </c>
      <c r="F82" s="104" t="s">
        <v>272</v>
      </c>
      <c r="G82" s="104" t="s">
        <v>273</v>
      </c>
    </row>
    <row r="83" spans="2:7" ht="13">
      <c r="B83" s="99" t="s">
        <v>319</v>
      </c>
      <c r="C83" s="99" t="s">
        <v>327</v>
      </c>
      <c r="E83" s="105">
        <v>22.19</v>
      </c>
      <c r="F83" s="104" t="s">
        <v>273</v>
      </c>
      <c r="G83" s="104" t="s">
        <v>273</v>
      </c>
    </row>
    <row r="84" spans="2:7" ht="13">
      <c r="B84" s="99" t="s">
        <v>319</v>
      </c>
      <c r="C84" s="99" t="s">
        <v>341</v>
      </c>
      <c r="E84" s="105">
        <v>55.98</v>
      </c>
      <c r="F84" s="104" t="s">
        <v>272</v>
      </c>
      <c r="G84" s="104" t="s">
        <v>273</v>
      </c>
    </row>
    <row r="85" spans="2:7" ht="13">
      <c r="B85" s="99" t="s">
        <v>319</v>
      </c>
      <c r="C85" s="99" t="s">
        <v>328</v>
      </c>
      <c r="E85" s="105">
        <v>2269.4699999999998</v>
      </c>
      <c r="F85" s="104" t="s">
        <v>273</v>
      </c>
      <c r="G85" s="104" t="s">
        <v>273</v>
      </c>
    </row>
    <row r="86" spans="2:7" ht="13">
      <c r="B86" s="99" t="s">
        <v>319</v>
      </c>
      <c r="C86" s="99" t="s">
        <v>342</v>
      </c>
      <c r="E86" s="114">
        <f>2643.85-E85</f>
        <v>374.38000000000011</v>
      </c>
      <c r="F86" s="104" t="s">
        <v>272</v>
      </c>
      <c r="G86" s="104" t="s">
        <v>273</v>
      </c>
    </row>
    <row r="87" spans="2:7" ht="13">
      <c r="B87" s="99" t="s">
        <v>319</v>
      </c>
      <c r="C87" s="99" t="s">
        <v>343</v>
      </c>
      <c r="E87" s="105">
        <v>46.55</v>
      </c>
      <c r="F87" s="104" t="s">
        <v>273</v>
      </c>
      <c r="G87" s="104" t="s">
        <v>273</v>
      </c>
    </row>
    <row r="88" spans="2:7" ht="13">
      <c r="B88" s="99" t="s">
        <v>319</v>
      </c>
      <c r="C88" s="99" t="s">
        <v>344</v>
      </c>
      <c r="E88" s="105">
        <f>756.89-E87</f>
        <v>710.34</v>
      </c>
      <c r="F88" s="104" t="s">
        <v>272</v>
      </c>
      <c r="G88" s="104" t="s">
        <v>273</v>
      </c>
    </row>
    <row r="89" spans="2:7" ht="13">
      <c r="B89" s="99" t="s">
        <v>319</v>
      </c>
      <c r="C89" s="99" t="s">
        <v>327</v>
      </c>
      <c r="E89" s="114">
        <f>91.56+53.42+113.95+ 48.64+14.74</f>
        <v>322.31</v>
      </c>
      <c r="F89" s="104" t="s">
        <v>273</v>
      </c>
      <c r="G89" s="104" t="s">
        <v>273</v>
      </c>
    </row>
    <row r="90" spans="2:7" ht="13">
      <c r="B90" s="99" t="s">
        <v>319</v>
      </c>
      <c r="C90" s="99" t="s">
        <v>108</v>
      </c>
      <c r="E90" s="105">
        <v>78.06</v>
      </c>
      <c r="F90" s="104" t="s">
        <v>272</v>
      </c>
      <c r="G90" s="104" t="s">
        <v>273</v>
      </c>
    </row>
    <row r="91" spans="2:7" ht="13">
      <c r="B91" s="99" t="s">
        <v>319</v>
      </c>
      <c r="C91" s="99" t="s">
        <v>345</v>
      </c>
      <c r="E91" s="105">
        <v>122.6</v>
      </c>
      <c r="F91" s="104" t="s">
        <v>273</v>
      </c>
      <c r="G91" s="104" t="s">
        <v>273</v>
      </c>
    </row>
    <row r="92" spans="2:7" ht="13">
      <c r="B92" s="99" t="s">
        <v>319</v>
      </c>
      <c r="C92" s="99" t="s">
        <v>346</v>
      </c>
      <c r="E92" s="105">
        <v>133.38</v>
      </c>
      <c r="F92" s="104" t="s">
        <v>272</v>
      </c>
      <c r="G92" s="104" t="s">
        <v>273</v>
      </c>
    </row>
    <row r="93" spans="2:7" ht="13">
      <c r="B93" s="99" t="s">
        <v>319</v>
      </c>
      <c r="C93" s="99" t="s">
        <v>337</v>
      </c>
      <c r="E93" s="105">
        <v>144.35</v>
      </c>
      <c r="F93" s="104" t="s">
        <v>273</v>
      </c>
      <c r="G93" s="104" t="s">
        <v>273</v>
      </c>
    </row>
    <row r="94" spans="2:7" ht="13">
      <c r="B94" s="99" t="s">
        <v>319</v>
      </c>
      <c r="C94" s="99" t="s">
        <v>96</v>
      </c>
      <c r="E94" s="105">
        <v>888</v>
      </c>
      <c r="F94" s="104" t="s">
        <v>273</v>
      </c>
      <c r="G94" s="104" t="s">
        <v>273</v>
      </c>
    </row>
    <row r="95" spans="2:7" ht="13">
      <c r="B95" s="99" t="s">
        <v>319</v>
      </c>
      <c r="C95" s="99" t="s">
        <v>341</v>
      </c>
      <c r="E95" s="114">
        <f>1543.09-888-211.38</f>
        <v>443.70999999999992</v>
      </c>
      <c r="F95" s="104" t="s">
        <v>272</v>
      </c>
      <c r="G95" s="104" t="s">
        <v>273</v>
      </c>
    </row>
    <row r="96" spans="2:7" ht="13">
      <c r="B96" s="99" t="s">
        <v>319</v>
      </c>
      <c r="C96" s="99" t="s">
        <v>347</v>
      </c>
      <c r="E96" s="105">
        <v>211.38</v>
      </c>
      <c r="F96" s="104" t="s">
        <v>273</v>
      </c>
      <c r="G96" s="104" t="s">
        <v>273</v>
      </c>
    </row>
    <row r="97" spans="2:7" ht="13">
      <c r="B97" s="99" t="s">
        <v>319</v>
      </c>
      <c r="C97" s="99" t="s">
        <v>78</v>
      </c>
      <c r="E97" s="105">
        <v>1420.5</v>
      </c>
      <c r="F97" s="104" t="s">
        <v>273</v>
      </c>
      <c r="G97" s="104" t="s">
        <v>273</v>
      </c>
    </row>
    <row r="98" spans="2:7" ht="13">
      <c r="B98" s="99" t="s">
        <v>319</v>
      </c>
      <c r="C98" s="99" t="s">
        <v>348</v>
      </c>
      <c r="E98" s="114">
        <f>25.79+25.79+49.64+20.36+71.13+18.09+34.34</f>
        <v>245.14</v>
      </c>
      <c r="F98" s="104" t="s">
        <v>272</v>
      </c>
      <c r="G98" s="104" t="s">
        <v>273</v>
      </c>
    </row>
    <row r="99" spans="2:7" ht="13">
      <c r="B99" s="99" t="s">
        <v>319</v>
      </c>
      <c r="C99" s="99" t="s">
        <v>348</v>
      </c>
      <c r="E99" s="105">
        <v>12.02</v>
      </c>
      <c r="F99" s="104" t="s">
        <v>272</v>
      </c>
      <c r="G99" s="104" t="s">
        <v>273</v>
      </c>
    </row>
    <row r="100" spans="2:7" ht="13">
      <c r="B100" s="99" t="s">
        <v>319</v>
      </c>
      <c r="C100" s="99" t="s">
        <v>348</v>
      </c>
      <c r="E100" s="105">
        <v>45.97</v>
      </c>
      <c r="F100" s="104" t="s">
        <v>272</v>
      </c>
      <c r="G100" s="104" t="s">
        <v>273</v>
      </c>
    </row>
    <row r="101" spans="2:7" ht="13">
      <c r="B101" s="99" t="s">
        <v>319</v>
      </c>
      <c r="C101" s="99" t="s">
        <v>349</v>
      </c>
      <c r="E101" s="105">
        <v>30.8</v>
      </c>
      <c r="F101" s="104" t="s">
        <v>272</v>
      </c>
      <c r="G101" s="104" t="s">
        <v>273</v>
      </c>
    </row>
    <row r="102" spans="2:7" ht="13">
      <c r="B102" s="99" t="s">
        <v>319</v>
      </c>
      <c r="C102" s="99" t="s">
        <v>350</v>
      </c>
      <c r="E102" s="105">
        <v>73.38</v>
      </c>
      <c r="F102" s="104" t="s">
        <v>272</v>
      </c>
      <c r="G102" s="104" t="s">
        <v>273</v>
      </c>
    </row>
    <row r="103" spans="2:7" ht="13">
      <c r="B103" s="99" t="s">
        <v>319</v>
      </c>
      <c r="C103" s="99" t="s">
        <v>351</v>
      </c>
      <c r="E103" s="105">
        <v>28.82</v>
      </c>
      <c r="F103" s="104" t="s">
        <v>272</v>
      </c>
      <c r="G103" s="104" t="s">
        <v>273</v>
      </c>
    </row>
    <row r="104" spans="2:7" ht="13">
      <c r="B104" s="99" t="s">
        <v>319</v>
      </c>
      <c r="C104" s="99" t="s">
        <v>351</v>
      </c>
      <c r="E104" s="105">
        <v>22.22</v>
      </c>
      <c r="F104" s="104" t="s">
        <v>272</v>
      </c>
      <c r="G104" s="104" t="s">
        <v>273</v>
      </c>
    </row>
    <row r="105" spans="2:7" ht="13">
      <c r="B105" s="99" t="s">
        <v>319</v>
      </c>
      <c r="C105" s="99" t="s">
        <v>352</v>
      </c>
      <c r="E105" s="105">
        <v>104.88</v>
      </c>
      <c r="F105" s="104" t="s">
        <v>273</v>
      </c>
      <c r="G105" s="104" t="s">
        <v>273</v>
      </c>
    </row>
    <row r="106" spans="2:7" ht="13">
      <c r="B106" s="99" t="s">
        <v>319</v>
      </c>
      <c r="C106" s="99" t="s">
        <v>353</v>
      </c>
      <c r="E106" s="105">
        <v>35.76</v>
      </c>
      <c r="F106" s="104" t="s">
        <v>272</v>
      </c>
      <c r="G106" s="104" t="s">
        <v>273</v>
      </c>
    </row>
    <row r="107" spans="2:7" ht="13">
      <c r="B107" s="99" t="s">
        <v>319</v>
      </c>
      <c r="C107" s="99" t="s">
        <v>354</v>
      </c>
      <c r="E107" s="105">
        <v>35.9</v>
      </c>
      <c r="F107" s="104" t="s">
        <v>272</v>
      </c>
      <c r="G107" s="104" t="s">
        <v>273</v>
      </c>
    </row>
    <row r="108" spans="2:7" ht="13">
      <c r="B108" s="99" t="s">
        <v>319</v>
      </c>
      <c r="C108" s="99" t="s">
        <v>330</v>
      </c>
      <c r="E108" s="105">
        <v>59.95</v>
      </c>
      <c r="F108" s="104" t="s">
        <v>272</v>
      </c>
      <c r="G108" s="104" t="s">
        <v>273</v>
      </c>
    </row>
    <row r="109" spans="2:7" ht="13">
      <c r="B109" s="99" t="s">
        <v>319</v>
      </c>
      <c r="C109" s="99" t="s">
        <v>355</v>
      </c>
      <c r="E109" s="105">
        <v>19.47</v>
      </c>
      <c r="F109" s="104" t="s">
        <v>272</v>
      </c>
      <c r="G109" s="104" t="s">
        <v>273</v>
      </c>
    </row>
    <row r="110" spans="2:7" ht="13">
      <c r="B110" s="99" t="s">
        <v>319</v>
      </c>
      <c r="C110" s="99" t="s">
        <v>356</v>
      </c>
      <c r="E110" s="105">
        <v>34.06</v>
      </c>
      <c r="F110" s="104" t="s">
        <v>272</v>
      </c>
      <c r="G110" s="104" t="s">
        <v>273</v>
      </c>
    </row>
    <row r="111" spans="2:7" ht="13">
      <c r="B111" s="99" t="s">
        <v>319</v>
      </c>
      <c r="C111" s="99" t="s">
        <v>342</v>
      </c>
      <c r="E111" s="105">
        <v>29.52</v>
      </c>
      <c r="F111" s="104" t="s">
        <v>272</v>
      </c>
      <c r="G111" s="104" t="s">
        <v>273</v>
      </c>
    </row>
    <row r="112" spans="2:7" ht="13">
      <c r="B112" s="99" t="s">
        <v>319</v>
      </c>
      <c r="C112" s="99" t="s">
        <v>357</v>
      </c>
      <c r="E112" s="105">
        <v>23.02</v>
      </c>
      <c r="F112" s="104" t="s">
        <v>272</v>
      </c>
      <c r="G112" s="104" t="s">
        <v>273</v>
      </c>
    </row>
    <row r="113" spans="2:7" ht="13">
      <c r="B113" s="99" t="s">
        <v>319</v>
      </c>
      <c r="C113" s="99" t="s">
        <v>358</v>
      </c>
      <c r="E113" s="105">
        <v>89.66</v>
      </c>
      <c r="F113" s="104" t="s">
        <v>272</v>
      </c>
      <c r="G113" s="104" t="s">
        <v>273</v>
      </c>
    </row>
    <row r="114" spans="2:7" ht="13">
      <c r="B114" s="99" t="s">
        <v>319</v>
      </c>
      <c r="C114" s="99" t="s">
        <v>300</v>
      </c>
      <c r="E114" s="105">
        <v>326</v>
      </c>
      <c r="F114" s="104" t="s">
        <v>272</v>
      </c>
      <c r="G114" s="104" t="s">
        <v>273</v>
      </c>
    </row>
    <row r="115" spans="2:7" ht="13">
      <c r="B115" s="99" t="s">
        <v>319</v>
      </c>
      <c r="C115" s="99" t="s">
        <v>354</v>
      </c>
      <c r="E115" s="105">
        <v>71.28</v>
      </c>
      <c r="F115" s="104" t="s">
        <v>272</v>
      </c>
      <c r="G115" s="104" t="s">
        <v>273</v>
      </c>
    </row>
    <row r="116" spans="2:7" ht="13">
      <c r="B116" s="99" t="s">
        <v>319</v>
      </c>
      <c r="C116" s="99" t="s">
        <v>359</v>
      </c>
      <c r="E116" s="105">
        <v>39.020000000000003</v>
      </c>
      <c r="F116" s="104" t="s">
        <v>272</v>
      </c>
      <c r="G116" s="104" t="s">
        <v>273</v>
      </c>
    </row>
    <row r="117" spans="2:7" ht="13">
      <c r="B117" s="99" t="s">
        <v>319</v>
      </c>
      <c r="C117" s="99" t="s">
        <v>360</v>
      </c>
      <c r="E117" s="105">
        <v>40.72</v>
      </c>
      <c r="F117" s="104" t="s">
        <v>272</v>
      </c>
      <c r="G117" s="104" t="s">
        <v>273</v>
      </c>
    </row>
    <row r="118" spans="2:7" ht="13">
      <c r="B118" s="99" t="s">
        <v>319</v>
      </c>
      <c r="C118" s="99" t="s">
        <v>330</v>
      </c>
      <c r="E118" s="105">
        <v>20.36</v>
      </c>
      <c r="F118" s="104" t="s">
        <v>272</v>
      </c>
      <c r="G118" s="104" t="s">
        <v>273</v>
      </c>
    </row>
    <row r="119" spans="2:7" ht="13">
      <c r="B119" s="99" t="s">
        <v>319</v>
      </c>
      <c r="C119" s="99" t="s">
        <v>330</v>
      </c>
      <c r="E119" s="105">
        <v>38.590000000000003</v>
      </c>
      <c r="F119" s="104" t="s">
        <v>272</v>
      </c>
      <c r="G119" s="104" t="s">
        <v>273</v>
      </c>
    </row>
    <row r="120" spans="2:7" ht="13">
      <c r="B120" s="99" t="s">
        <v>319</v>
      </c>
      <c r="C120" s="99" t="s">
        <v>330</v>
      </c>
      <c r="E120" s="105">
        <v>40.72</v>
      </c>
      <c r="F120" s="104" t="s">
        <v>272</v>
      </c>
      <c r="G120" s="104" t="s">
        <v>273</v>
      </c>
    </row>
    <row r="121" spans="2:7" ht="13">
      <c r="B121" s="99" t="s">
        <v>319</v>
      </c>
      <c r="C121" s="99" t="s">
        <v>355</v>
      </c>
      <c r="E121" s="105">
        <v>55.52</v>
      </c>
      <c r="F121" s="104" t="s">
        <v>272</v>
      </c>
      <c r="G121" s="104" t="s">
        <v>273</v>
      </c>
    </row>
    <row r="122" spans="2:7" ht="13">
      <c r="B122" s="99" t="s">
        <v>319</v>
      </c>
      <c r="C122" s="99" t="s">
        <v>361</v>
      </c>
      <c r="E122" s="105">
        <v>121.04</v>
      </c>
      <c r="F122" s="104" t="s">
        <v>273</v>
      </c>
      <c r="G122" s="104" t="s">
        <v>273</v>
      </c>
    </row>
    <row r="123" spans="2:7" ht="13">
      <c r="B123" s="99" t="s">
        <v>319</v>
      </c>
      <c r="C123" s="99" t="s">
        <v>332</v>
      </c>
      <c r="E123" s="105">
        <v>1014.48</v>
      </c>
      <c r="F123" s="104" t="s">
        <v>273</v>
      </c>
      <c r="G123" s="104" t="s">
        <v>273</v>
      </c>
    </row>
    <row r="124" spans="2:7" ht="13">
      <c r="B124" s="99" t="s">
        <v>319</v>
      </c>
      <c r="C124" s="99" t="s">
        <v>108</v>
      </c>
      <c r="D124" s="99" t="s">
        <v>362</v>
      </c>
      <c r="E124" s="105">
        <v>260</v>
      </c>
      <c r="F124" s="104" t="s">
        <v>272</v>
      </c>
      <c r="G124" s="104" t="s">
        <v>272</v>
      </c>
    </row>
    <row r="125" spans="2:7" ht="13">
      <c r="B125" s="99" t="s">
        <v>319</v>
      </c>
      <c r="C125" s="99" t="s">
        <v>363</v>
      </c>
      <c r="E125" s="105">
        <v>59.88</v>
      </c>
      <c r="F125" s="104" t="s">
        <v>272</v>
      </c>
      <c r="G125" s="104" t="s">
        <v>273</v>
      </c>
    </row>
    <row r="126" spans="2:7" ht="13">
      <c r="B126" s="99" t="s">
        <v>319</v>
      </c>
      <c r="C126" s="99" t="s">
        <v>340</v>
      </c>
      <c r="E126" s="105">
        <v>227.84</v>
      </c>
      <c r="F126" s="104" t="s">
        <v>272</v>
      </c>
      <c r="G126" s="104" t="s">
        <v>273</v>
      </c>
    </row>
    <row r="127" spans="2:7" ht="13">
      <c r="B127" s="99" t="s">
        <v>319</v>
      </c>
      <c r="C127" s="99" t="s">
        <v>334</v>
      </c>
      <c r="E127" s="105">
        <v>113.09</v>
      </c>
      <c r="F127" s="104" t="s">
        <v>272</v>
      </c>
      <c r="G127" s="104" t="s">
        <v>273</v>
      </c>
    </row>
    <row r="128" spans="2:7" ht="13">
      <c r="B128" s="99" t="s">
        <v>319</v>
      </c>
      <c r="C128" s="99" t="s">
        <v>127</v>
      </c>
      <c r="E128" s="105">
        <v>186.06</v>
      </c>
      <c r="F128" s="104" t="s">
        <v>272</v>
      </c>
      <c r="G128" s="104" t="s">
        <v>273</v>
      </c>
    </row>
    <row r="129" spans="2:7" ht="13">
      <c r="B129" s="99" t="s">
        <v>319</v>
      </c>
      <c r="C129" s="99" t="s">
        <v>364</v>
      </c>
      <c r="E129" s="105">
        <v>24.68</v>
      </c>
      <c r="F129" s="104" t="s">
        <v>273</v>
      </c>
      <c r="G129" s="104" t="s">
        <v>273</v>
      </c>
    </row>
    <row r="130" spans="2:7" ht="13">
      <c r="B130" s="99" t="s">
        <v>319</v>
      </c>
      <c r="C130" s="99" t="s">
        <v>365</v>
      </c>
      <c r="E130" s="105">
        <v>24.68</v>
      </c>
      <c r="F130" s="104" t="s">
        <v>272</v>
      </c>
      <c r="G130" s="104" t="s">
        <v>273</v>
      </c>
    </row>
    <row r="131" spans="2:7" ht="13">
      <c r="B131" s="99" t="s">
        <v>319</v>
      </c>
      <c r="C131" s="99" t="s">
        <v>341</v>
      </c>
      <c r="E131" s="105">
        <v>43.44</v>
      </c>
      <c r="F131" s="104" t="s">
        <v>272</v>
      </c>
      <c r="G131" s="104" t="s">
        <v>273</v>
      </c>
    </row>
    <row r="132" spans="2:7" ht="13">
      <c r="B132" s="99" t="s">
        <v>319</v>
      </c>
      <c r="C132" s="99" t="s">
        <v>337</v>
      </c>
      <c r="E132" s="105">
        <v>77.38</v>
      </c>
      <c r="F132" s="104" t="s">
        <v>273</v>
      </c>
      <c r="G132" s="104" t="s">
        <v>273</v>
      </c>
    </row>
    <row r="133" spans="2:7" ht="13">
      <c r="B133" s="99" t="s">
        <v>319</v>
      </c>
      <c r="C133" s="99" t="s">
        <v>366</v>
      </c>
      <c r="E133" s="105">
        <v>238.76</v>
      </c>
      <c r="F133" s="104" t="s">
        <v>272</v>
      </c>
      <c r="G133" s="104" t="s">
        <v>273</v>
      </c>
    </row>
    <row r="134" spans="2:7" ht="13">
      <c r="B134" s="99" t="s">
        <v>319</v>
      </c>
      <c r="C134" s="99" t="s">
        <v>328</v>
      </c>
      <c r="E134" s="105">
        <v>294.33</v>
      </c>
      <c r="F134" s="104" t="s">
        <v>273</v>
      </c>
      <c r="G134" s="104" t="s">
        <v>273</v>
      </c>
    </row>
    <row r="135" spans="2:7" ht="13">
      <c r="B135" s="99" t="s">
        <v>319</v>
      </c>
      <c r="C135" s="99" t="s">
        <v>78</v>
      </c>
      <c r="E135" s="105">
        <v>270.43</v>
      </c>
      <c r="F135" s="104" t="s">
        <v>273</v>
      </c>
      <c r="G135" s="104" t="s">
        <v>273</v>
      </c>
    </row>
    <row r="136" spans="2:7" ht="13">
      <c r="B136" s="99" t="s">
        <v>319</v>
      </c>
      <c r="C136" s="99" t="s">
        <v>201</v>
      </c>
      <c r="E136" s="105">
        <v>47.28</v>
      </c>
      <c r="F136" s="104" t="s">
        <v>272</v>
      </c>
      <c r="G136" s="104" t="s">
        <v>273</v>
      </c>
    </row>
    <row r="137" spans="2:7" ht="13">
      <c r="B137" s="99" t="s">
        <v>319</v>
      </c>
      <c r="C137" s="99" t="s">
        <v>367</v>
      </c>
      <c r="E137" s="105">
        <f>40.08+42.75+25.28+13.64+27.42+7.93</f>
        <v>157.10000000000002</v>
      </c>
      <c r="F137" s="104" t="s">
        <v>272</v>
      </c>
      <c r="G137" s="104" t="s">
        <v>273</v>
      </c>
    </row>
    <row r="138" spans="2:7" ht="13">
      <c r="B138" s="99" t="s">
        <v>319</v>
      </c>
      <c r="C138" s="99" t="s">
        <v>368</v>
      </c>
      <c r="E138" s="105">
        <v>186.61</v>
      </c>
      <c r="F138" s="104" t="s">
        <v>272</v>
      </c>
      <c r="G138" s="104" t="s">
        <v>273</v>
      </c>
    </row>
    <row r="139" spans="2:7" ht="13">
      <c r="B139" s="99" t="s">
        <v>319</v>
      </c>
      <c r="C139" s="99" t="s">
        <v>337</v>
      </c>
      <c r="E139" s="105">
        <v>686.46</v>
      </c>
      <c r="F139" s="104" t="s">
        <v>273</v>
      </c>
      <c r="G139" s="104" t="s">
        <v>273</v>
      </c>
    </row>
    <row r="140" spans="2:7" ht="13">
      <c r="B140" s="99" t="s">
        <v>319</v>
      </c>
      <c r="C140" s="99" t="s">
        <v>108</v>
      </c>
      <c r="D140" s="99" t="s">
        <v>283</v>
      </c>
      <c r="E140" s="105">
        <v>260.2</v>
      </c>
      <c r="F140" s="104" t="s">
        <v>272</v>
      </c>
      <c r="G140" s="104" t="s">
        <v>272</v>
      </c>
    </row>
    <row r="141" spans="2:7" ht="13">
      <c r="B141" s="99" t="s">
        <v>319</v>
      </c>
      <c r="C141" s="99" t="s">
        <v>369</v>
      </c>
      <c r="E141" s="105">
        <v>47.58</v>
      </c>
      <c r="F141" s="104" t="s">
        <v>272</v>
      </c>
      <c r="G141" s="104" t="s">
        <v>273</v>
      </c>
    </row>
    <row r="142" spans="2:7" ht="13">
      <c r="B142" s="99" t="s">
        <v>319</v>
      </c>
      <c r="C142" s="99" t="s">
        <v>370</v>
      </c>
      <c r="E142" s="105">
        <v>917.15</v>
      </c>
      <c r="F142" s="104" t="s">
        <v>273</v>
      </c>
      <c r="G142" s="104" t="s">
        <v>273</v>
      </c>
    </row>
    <row r="143" spans="2:7" ht="13">
      <c r="B143" s="99" t="s">
        <v>319</v>
      </c>
      <c r="C143" s="99" t="s">
        <v>327</v>
      </c>
      <c r="E143" s="105">
        <v>1629.88</v>
      </c>
      <c r="F143" s="104" t="s">
        <v>273</v>
      </c>
      <c r="G143" s="104" t="s">
        <v>273</v>
      </c>
    </row>
    <row r="144" spans="2:7" ht="13">
      <c r="B144" s="99" t="s">
        <v>319</v>
      </c>
      <c r="C144" s="99" t="s">
        <v>108</v>
      </c>
      <c r="D144" s="99" t="s">
        <v>283</v>
      </c>
      <c r="E144" s="105">
        <v>156.12</v>
      </c>
      <c r="F144" s="104" t="s">
        <v>272</v>
      </c>
      <c r="G144" s="104" t="s">
        <v>272</v>
      </c>
    </row>
    <row r="145" spans="2:7" ht="13">
      <c r="B145" s="99" t="s">
        <v>319</v>
      </c>
      <c r="C145" s="99" t="s">
        <v>328</v>
      </c>
      <c r="E145" s="105">
        <v>1343.82</v>
      </c>
      <c r="F145" s="104" t="s">
        <v>273</v>
      </c>
      <c r="G145" s="104" t="s">
        <v>273</v>
      </c>
    </row>
    <row r="146" spans="2:7" ht="13">
      <c r="B146" s="99" t="s">
        <v>319</v>
      </c>
      <c r="C146" s="99" t="s">
        <v>371</v>
      </c>
      <c r="E146" s="105">
        <v>648.20000000000005</v>
      </c>
      <c r="F146" s="104" t="s">
        <v>272</v>
      </c>
      <c r="G146" s="104" t="s">
        <v>273</v>
      </c>
    </row>
    <row r="147" spans="2:7" ht="13">
      <c r="B147" s="99" t="s">
        <v>319</v>
      </c>
      <c r="C147" s="99" t="s">
        <v>372</v>
      </c>
      <c r="E147" s="105">
        <v>1194.67</v>
      </c>
      <c r="F147" s="104" t="s">
        <v>272</v>
      </c>
      <c r="G147" s="104" t="s">
        <v>273</v>
      </c>
    </row>
    <row r="148" spans="2:7" ht="13">
      <c r="B148" s="99" t="s">
        <v>319</v>
      </c>
      <c r="C148" s="99" t="s">
        <v>338</v>
      </c>
      <c r="E148" s="105">
        <v>165.12</v>
      </c>
      <c r="F148" s="104" t="s">
        <v>272</v>
      </c>
      <c r="G148" s="104" t="s">
        <v>273</v>
      </c>
    </row>
    <row r="149" spans="2:7" ht="13">
      <c r="B149" s="99" t="s">
        <v>319</v>
      </c>
      <c r="C149" s="99" t="s">
        <v>333</v>
      </c>
      <c r="E149" s="105">
        <v>160.82</v>
      </c>
      <c r="F149" s="104" t="s">
        <v>273</v>
      </c>
      <c r="G149" s="104" t="s">
        <v>273</v>
      </c>
    </row>
    <row r="150" spans="2:7" ht="13">
      <c r="B150" s="99" t="s">
        <v>319</v>
      </c>
      <c r="C150" s="99" t="s">
        <v>334</v>
      </c>
      <c r="E150" s="105">
        <v>415.05</v>
      </c>
      <c r="F150" s="104" t="s">
        <v>272</v>
      </c>
      <c r="G150" s="104" t="s">
        <v>273</v>
      </c>
    </row>
    <row r="151" spans="2:7" ht="13">
      <c r="B151" s="99" t="s">
        <v>319</v>
      </c>
      <c r="C151" s="99" t="s">
        <v>373</v>
      </c>
      <c r="E151" s="105">
        <v>89.91</v>
      </c>
      <c r="F151" s="104" t="s">
        <v>272</v>
      </c>
      <c r="G151" s="104" t="s">
        <v>273</v>
      </c>
    </row>
    <row r="152" spans="2:7" ht="13">
      <c r="B152" s="99" t="s">
        <v>319</v>
      </c>
      <c r="C152" s="99" t="s">
        <v>361</v>
      </c>
      <c r="E152" s="105">
        <v>29.94</v>
      </c>
      <c r="F152" s="104" t="s">
        <v>273</v>
      </c>
      <c r="G152" s="104" t="s">
        <v>273</v>
      </c>
    </row>
    <row r="153" spans="2:7" ht="13">
      <c r="B153" s="99" t="s">
        <v>319</v>
      </c>
      <c r="C153" s="99" t="s">
        <v>127</v>
      </c>
      <c r="E153" s="105">
        <v>119.71</v>
      </c>
      <c r="F153" s="104" t="s">
        <v>272</v>
      </c>
      <c r="G153" s="104" t="s">
        <v>374</v>
      </c>
    </row>
    <row r="154" spans="2:7" ht="13">
      <c r="B154" s="99" t="s">
        <v>319</v>
      </c>
      <c r="C154" s="99" t="s">
        <v>337</v>
      </c>
      <c r="E154" s="105">
        <v>54.25</v>
      </c>
      <c r="F154" s="104" t="s">
        <v>272</v>
      </c>
      <c r="G154" s="104" t="s">
        <v>273</v>
      </c>
    </row>
    <row r="155" spans="2:7" ht="13">
      <c r="B155" s="99" t="s">
        <v>319</v>
      </c>
      <c r="C155" s="99" t="s">
        <v>96</v>
      </c>
      <c r="E155" s="105">
        <v>1039.19</v>
      </c>
      <c r="F155" s="104" t="s">
        <v>273</v>
      </c>
      <c r="G155" s="104" t="s">
        <v>273</v>
      </c>
    </row>
    <row r="156" spans="2:7" ht="13">
      <c r="B156" s="99" t="s">
        <v>319</v>
      </c>
      <c r="C156" s="99" t="s">
        <v>375</v>
      </c>
      <c r="E156" s="105">
        <v>600.79999999999995</v>
      </c>
      <c r="F156" s="104" t="s">
        <v>272</v>
      </c>
      <c r="G156" s="104" t="s">
        <v>273</v>
      </c>
    </row>
    <row r="157" spans="2:7" ht="13">
      <c r="B157" s="99" t="s">
        <v>319</v>
      </c>
      <c r="C157" s="99" t="s">
        <v>376</v>
      </c>
      <c r="E157" s="105">
        <v>265.77</v>
      </c>
      <c r="F157" s="104" t="s">
        <v>272</v>
      </c>
      <c r="G157" s="104" t="s">
        <v>273</v>
      </c>
    </row>
    <row r="158" spans="2:7" ht="13">
      <c r="B158" s="99" t="s">
        <v>319</v>
      </c>
      <c r="C158" s="99" t="s">
        <v>337</v>
      </c>
      <c r="E158" s="105">
        <v>641.98</v>
      </c>
      <c r="F158" s="104" t="s">
        <v>273</v>
      </c>
      <c r="G158" s="104" t="s">
        <v>273</v>
      </c>
    </row>
    <row r="159" spans="2:7" ht="13">
      <c r="B159" s="99" t="s">
        <v>319</v>
      </c>
      <c r="C159" s="99" t="s">
        <v>96</v>
      </c>
      <c r="E159" s="105">
        <v>167.64</v>
      </c>
      <c r="F159" s="104" t="s">
        <v>273</v>
      </c>
      <c r="G159" s="104" t="s">
        <v>273</v>
      </c>
    </row>
    <row r="160" spans="2:7" ht="13">
      <c r="B160" s="99" t="s">
        <v>319</v>
      </c>
      <c r="C160" s="99" t="s">
        <v>350</v>
      </c>
      <c r="E160" s="105">
        <v>25.64</v>
      </c>
      <c r="F160" s="104" t="s">
        <v>272</v>
      </c>
      <c r="G160" s="104" t="s">
        <v>273</v>
      </c>
    </row>
    <row r="161" spans="2:7" ht="13">
      <c r="B161" s="99" t="s">
        <v>319</v>
      </c>
      <c r="C161" s="99" t="s">
        <v>377</v>
      </c>
      <c r="E161" s="105">
        <v>25.79</v>
      </c>
      <c r="F161" s="104" t="s">
        <v>272</v>
      </c>
      <c r="G161" s="104" t="s">
        <v>273</v>
      </c>
    </row>
    <row r="162" spans="2:7" ht="13">
      <c r="B162" s="99" t="s">
        <v>319</v>
      </c>
      <c r="C162" s="99" t="s">
        <v>361</v>
      </c>
      <c r="E162" s="105">
        <v>509.41</v>
      </c>
      <c r="F162" s="104" t="s">
        <v>273</v>
      </c>
      <c r="G162" s="104" t="s">
        <v>273</v>
      </c>
    </row>
    <row r="163" spans="2:7" ht="13">
      <c r="B163" s="99" t="s">
        <v>378</v>
      </c>
      <c r="C163" s="99" t="s">
        <v>341</v>
      </c>
      <c r="E163" s="105">
        <f>103.34-16.73</f>
        <v>86.61</v>
      </c>
      <c r="F163" s="104" t="s">
        <v>272</v>
      </c>
      <c r="G163" s="104" t="s">
        <v>273</v>
      </c>
    </row>
    <row r="164" spans="2:7" ht="13">
      <c r="B164" s="99" t="s">
        <v>379</v>
      </c>
      <c r="C164" s="99" t="s">
        <v>380</v>
      </c>
      <c r="E164" s="105">
        <v>138.27000000000001</v>
      </c>
      <c r="F164" s="104" t="s">
        <v>273</v>
      </c>
      <c r="G164" s="104" t="s">
        <v>273</v>
      </c>
    </row>
    <row r="165" spans="2:7" ht="13">
      <c r="B165" s="99" t="s">
        <v>379</v>
      </c>
      <c r="C165" s="99" t="s">
        <v>381</v>
      </c>
      <c r="E165" s="105">
        <v>52.12</v>
      </c>
      <c r="F165" s="104" t="s">
        <v>272</v>
      </c>
      <c r="G165" s="104" t="s">
        <v>273</v>
      </c>
    </row>
    <row r="166" spans="2:7" ht="13">
      <c r="B166" s="99" t="s">
        <v>379</v>
      </c>
      <c r="C166" s="99" t="s">
        <v>382</v>
      </c>
      <c r="E166" s="105">
        <v>215.79</v>
      </c>
      <c r="F166" s="104" t="s">
        <v>273</v>
      </c>
      <c r="G166" s="104" t="s">
        <v>273</v>
      </c>
    </row>
    <row r="167" spans="2:7" ht="13">
      <c r="B167" s="99" t="s">
        <v>379</v>
      </c>
      <c r="C167" s="99" t="s">
        <v>383</v>
      </c>
      <c r="E167" s="105">
        <v>90.93</v>
      </c>
      <c r="F167" s="104" t="s">
        <v>273</v>
      </c>
      <c r="G167" s="104" t="s">
        <v>273</v>
      </c>
    </row>
    <row r="168" spans="2:7" ht="13">
      <c r="B168" s="99" t="s">
        <v>379</v>
      </c>
      <c r="C168" s="99" t="s">
        <v>384</v>
      </c>
      <c r="E168" s="105">
        <v>216.24</v>
      </c>
      <c r="F168" s="104" t="s">
        <v>272</v>
      </c>
      <c r="G168" s="104" t="s">
        <v>273</v>
      </c>
    </row>
    <row r="169" spans="2:7" ht="13">
      <c r="B169" s="99" t="s">
        <v>385</v>
      </c>
      <c r="C169" s="99" t="s">
        <v>386</v>
      </c>
      <c r="E169" s="105">
        <v>23.31</v>
      </c>
      <c r="F169" s="104" t="s">
        <v>273</v>
      </c>
      <c r="G169" s="104" t="s">
        <v>273</v>
      </c>
    </row>
    <row r="170" spans="2:7" ht="13">
      <c r="B170" s="99" t="s">
        <v>385</v>
      </c>
      <c r="C170" s="99" t="s">
        <v>341</v>
      </c>
      <c r="E170" s="105">
        <v>17.899999999999999</v>
      </c>
      <c r="F170" s="104" t="s">
        <v>272</v>
      </c>
      <c r="G170" s="104" t="s">
        <v>273</v>
      </c>
    </row>
    <row r="171" spans="2:7" ht="13">
      <c r="B171" s="99" t="s">
        <v>385</v>
      </c>
      <c r="C171" s="99" t="s">
        <v>338</v>
      </c>
      <c r="E171" s="105">
        <v>63.67</v>
      </c>
      <c r="F171" s="104" t="s">
        <v>272</v>
      </c>
      <c r="G171" s="104" t="s">
        <v>273</v>
      </c>
    </row>
    <row r="172" spans="2:7" ht="13">
      <c r="B172" s="99" t="s">
        <v>385</v>
      </c>
      <c r="C172" s="99" t="s">
        <v>380</v>
      </c>
      <c r="E172" s="105">
        <v>55.96</v>
      </c>
      <c r="F172" s="104" t="s">
        <v>272</v>
      </c>
      <c r="G172" s="104" t="s">
        <v>273</v>
      </c>
    </row>
    <row r="173" spans="2:7" ht="13">
      <c r="B173" s="99" t="s">
        <v>385</v>
      </c>
      <c r="C173" s="99" t="s">
        <v>381</v>
      </c>
      <c r="E173" s="99">
        <v>110.61</v>
      </c>
      <c r="F173" s="104" t="s">
        <v>273</v>
      </c>
      <c r="G173" s="104" t="s">
        <v>273</v>
      </c>
    </row>
    <row r="174" spans="2:7" ht="13">
      <c r="B174" s="99" t="s">
        <v>385</v>
      </c>
      <c r="C174" s="99" t="s">
        <v>382</v>
      </c>
      <c r="E174" s="105">
        <v>510.14</v>
      </c>
      <c r="F174" s="104" t="s">
        <v>272</v>
      </c>
      <c r="G174" s="104" t="s">
        <v>273</v>
      </c>
    </row>
    <row r="175" spans="2:7" ht="13">
      <c r="B175" s="99" t="s">
        <v>385</v>
      </c>
      <c r="C175" s="99" t="s">
        <v>383</v>
      </c>
      <c r="E175" s="105">
        <v>296.20999999999998</v>
      </c>
      <c r="F175" s="104" t="s">
        <v>272</v>
      </c>
      <c r="G175" s="104" t="s">
        <v>273</v>
      </c>
    </row>
    <row r="176" spans="2:7" ht="13">
      <c r="B176" s="99" t="s">
        <v>385</v>
      </c>
      <c r="C176" s="99" t="s">
        <v>384</v>
      </c>
      <c r="E176" s="105">
        <v>643.74</v>
      </c>
      <c r="F176" s="104" t="s">
        <v>272</v>
      </c>
      <c r="G176" s="104" t="s">
        <v>273</v>
      </c>
    </row>
    <row r="177" spans="2:7" ht="13">
      <c r="B177" s="99" t="s">
        <v>385</v>
      </c>
      <c r="C177" s="99" t="s">
        <v>387</v>
      </c>
      <c r="E177" s="105">
        <v>686.66</v>
      </c>
      <c r="F177" s="104" t="s">
        <v>273</v>
      </c>
      <c r="G177" s="104" t="s">
        <v>273</v>
      </c>
    </row>
    <row r="178" spans="2:7" ht="13">
      <c r="B178" s="99" t="s">
        <v>385</v>
      </c>
      <c r="C178" s="99" t="s">
        <v>341</v>
      </c>
      <c r="E178" s="105">
        <v>9.7899999999999991</v>
      </c>
      <c r="F178" s="104" t="s">
        <v>272</v>
      </c>
      <c r="G178" s="104" t="s">
        <v>273</v>
      </c>
    </row>
    <row r="179" spans="2:7" ht="13">
      <c r="B179" s="99" t="s">
        <v>385</v>
      </c>
      <c r="C179" s="99" t="s">
        <v>338</v>
      </c>
      <c r="E179" s="105">
        <v>22.5</v>
      </c>
      <c r="F179" s="104" t="s">
        <v>272</v>
      </c>
      <c r="G179" s="104" t="s">
        <v>273</v>
      </c>
    </row>
    <row r="180" spans="2:7" ht="13">
      <c r="B180" s="99" t="s">
        <v>385</v>
      </c>
      <c r="C180" s="99" t="s">
        <v>96</v>
      </c>
      <c r="E180" s="105">
        <v>2654.33</v>
      </c>
      <c r="F180" s="104" t="s">
        <v>273</v>
      </c>
      <c r="G180" s="104" t="s">
        <v>273</v>
      </c>
    </row>
    <row r="181" spans="2:7" ht="13">
      <c r="B181" s="99" t="s">
        <v>385</v>
      </c>
      <c r="C181" s="99" t="s">
        <v>96</v>
      </c>
      <c r="E181" s="105">
        <v>988.01</v>
      </c>
      <c r="F181" s="104" t="s">
        <v>273</v>
      </c>
      <c r="G181" s="104" t="s">
        <v>273</v>
      </c>
    </row>
    <row r="182" spans="2:7" ht="13">
      <c r="B182" s="99" t="s">
        <v>385</v>
      </c>
      <c r="C182" s="99" t="s">
        <v>96</v>
      </c>
      <c r="E182" s="115">
        <v>1568.65</v>
      </c>
      <c r="F182" s="104" t="s">
        <v>273</v>
      </c>
      <c r="G182" s="104" t="s">
        <v>273</v>
      </c>
    </row>
    <row r="183" spans="2:7" ht="13">
      <c r="B183" s="99" t="s">
        <v>385</v>
      </c>
      <c r="C183" s="99" t="s">
        <v>388</v>
      </c>
      <c r="E183" s="105">
        <v>666.95</v>
      </c>
      <c r="F183" s="104" t="s">
        <v>272</v>
      </c>
      <c r="G183" s="104" t="s">
        <v>273</v>
      </c>
    </row>
    <row r="184" spans="2:7" ht="13">
      <c r="B184" s="99" t="s">
        <v>385</v>
      </c>
      <c r="C184" s="99" t="s">
        <v>388</v>
      </c>
      <c r="E184" s="105">
        <v>430.51</v>
      </c>
      <c r="F184" s="104" t="s">
        <v>272</v>
      </c>
      <c r="G184" s="104" t="s">
        <v>273</v>
      </c>
    </row>
    <row r="185" spans="2:7" ht="13">
      <c r="B185" s="99" t="s">
        <v>385</v>
      </c>
      <c r="C185" s="99" t="s">
        <v>388</v>
      </c>
      <c r="E185" s="105">
        <v>322.83999999999997</v>
      </c>
      <c r="F185" s="104" t="s">
        <v>272</v>
      </c>
      <c r="G185" s="104" t="s">
        <v>273</v>
      </c>
    </row>
    <row r="186" spans="2:7" ht="13">
      <c r="B186" s="99" t="s">
        <v>385</v>
      </c>
      <c r="C186" s="99" t="s">
        <v>388</v>
      </c>
      <c r="E186" s="105">
        <v>270.5</v>
      </c>
      <c r="F186" s="104" t="s">
        <v>272</v>
      </c>
      <c r="G186" s="104" t="s">
        <v>273</v>
      </c>
    </row>
    <row r="187" spans="2:7" ht="13">
      <c r="B187" s="99" t="s">
        <v>389</v>
      </c>
      <c r="C187" s="99" t="s">
        <v>390</v>
      </c>
      <c r="D187" s="99" t="s">
        <v>283</v>
      </c>
      <c r="E187" s="114">
        <f>611.19-52.78</f>
        <v>558.41000000000008</v>
      </c>
      <c r="F187" s="104" t="s">
        <v>272</v>
      </c>
      <c r="G187" s="104" t="s">
        <v>272</v>
      </c>
    </row>
    <row r="188" spans="2:7" ht="13">
      <c r="B188" s="99" t="s">
        <v>389</v>
      </c>
      <c r="C188" s="99" t="s">
        <v>391</v>
      </c>
      <c r="E188" s="105">
        <v>52.78</v>
      </c>
      <c r="F188" s="104" t="s">
        <v>273</v>
      </c>
      <c r="G188" s="104" t="s">
        <v>273</v>
      </c>
    </row>
    <row r="189" spans="2:7" ht="13">
      <c r="B189" s="99"/>
      <c r="C189" s="99" t="s">
        <v>392</v>
      </c>
      <c r="E189" s="105">
        <v>49.39</v>
      </c>
      <c r="F189" s="104" t="s">
        <v>273</v>
      </c>
      <c r="G189" s="104" t="s">
        <v>273</v>
      </c>
    </row>
    <row r="190" spans="2:7" ht="13">
      <c r="B190" s="99" t="s">
        <v>393</v>
      </c>
      <c r="C190" s="99" t="s">
        <v>361</v>
      </c>
      <c r="E190" s="105">
        <v>27.16</v>
      </c>
      <c r="F190" s="104" t="s">
        <v>273</v>
      </c>
      <c r="G190" s="104" t="s">
        <v>273</v>
      </c>
    </row>
    <row r="191" spans="2:7" ht="13">
      <c r="B191" s="99" t="s">
        <v>393</v>
      </c>
      <c r="C191" s="99" t="s">
        <v>361</v>
      </c>
      <c r="E191" s="105">
        <v>37.299999999999997</v>
      </c>
      <c r="F191" s="104" t="s">
        <v>273</v>
      </c>
      <c r="G191" s="104" t="s">
        <v>273</v>
      </c>
    </row>
    <row r="192" spans="2:7" ht="13">
      <c r="B192" s="99" t="s">
        <v>394</v>
      </c>
      <c r="C192" s="99" t="s">
        <v>395</v>
      </c>
      <c r="E192" s="105">
        <v>15.52</v>
      </c>
      <c r="F192" s="104" t="s">
        <v>273</v>
      </c>
      <c r="G192" s="104" t="s">
        <v>273</v>
      </c>
    </row>
    <row r="193" spans="2:7" ht="13">
      <c r="B193" s="99" t="s">
        <v>394</v>
      </c>
      <c r="C193" s="99" t="s">
        <v>395</v>
      </c>
      <c r="E193" s="105">
        <v>22.84</v>
      </c>
      <c r="F193" s="104" t="s">
        <v>273</v>
      </c>
      <c r="G193" s="104" t="s">
        <v>273</v>
      </c>
    </row>
    <row r="194" spans="2:7" ht="13">
      <c r="B194" s="99" t="s">
        <v>394</v>
      </c>
      <c r="C194" s="99" t="s">
        <v>395</v>
      </c>
      <c r="E194" s="105">
        <v>11.24</v>
      </c>
      <c r="F194" s="104" t="s">
        <v>273</v>
      </c>
      <c r="G194" s="104" t="s">
        <v>273</v>
      </c>
    </row>
    <row r="195" spans="2:7" ht="13">
      <c r="B195" s="99" t="s">
        <v>394</v>
      </c>
      <c r="C195" s="99" t="s">
        <v>396</v>
      </c>
      <c r="E195" s="105">
        <v>21.16</v>
      </c>
      <c r="F195" s="104" t="s">
        <v>272</v>
      </c>
      <c r="G195" s="104" t="s">
        <v>273</v>
      </c>
    </row>
    <row r="196" spans="2:7" ht="13">
      <c r="B196" s="99" t="s">
        <v>394</v>
      </c>
      <c r="C196" s="99" t="s">
        <v>396</v>
      </c>
      <c r="E196" s="105">
        <v>21.16</v>
      </c>
      <c r="F196" s="104" t="s">
        <v>272</v>
      </c>
      <c r="G196" s="104" t="s">
        <v>273</v>
      </c>
    </row>
    <row r="197" spans="2:7" ht="13">
      <c r="B197" s="99" t="s">
        <v>394</v>
      </c>
      <c r="C197" s="99" t="s">
        <v>396</v>
      </c>
      <c r="E197" s="105">
        <v>21.16</v>
      </c>
      <c r="F197" s="104" t="s">
        <v>272</v>
      </c>
      <c r="G197" s="104" t="s">
        <v>273</v>
      </c>
    </row>
    <row r="198" spans="2:7" ht="13">
      <c r="B198" s="99" t="s">
        <v>394</v>
      </c>
      <c r="C198" s="99" t="s">
        <v>396</v>
      </c>
      <c r="E198" s="105">
        <v>21.16</v>
      </c>
      <c r="F198" s="104" t="s">
        <v>272</v>
      </c>
      <c r="G198" s="104" t="s">
        <v>273</v>
      </c>
    </row>
    <row r="199" spans="2:7" ht="13">
      <c r="B199" s="99" t="s">
        <v>394</v>
      </c>
      <c r="C199" s="99" t="s">
        <v>361</v>
      </c>
      <c r="E199" s="105">
        <v>15.64</v>
      </c>
      <c r="F199" s="104" t="s">
        <v>273</v>
      </c>
      <c r="G199" s="104" t="s">
        <v>273</v>
      </c>
    </row>
    <row r="200" spans="2:7" ht="13">
      <c r="B200" s="99" t="s">
        <v>394</v>
      </c>
      <c r="C200" s="99" t="s">
        <v>397</v>
      </c>
      <c r="D200" s="99" t="s">
        <v>283</v>
      </c>
      <c r="E200" s="105">
        <v>16.71</v>
      </c>
      <c r="F200" s="104" t="s">
        <v>273</v>
      </c>
      <c r="G200" s="104" t="s">
        <v>272</v>
      </c>
    </row>
    <row r="201" spans="2:7" ht="13">
      <c r="B201" s="99" t="s">
        <v>394</v>
      </c>
      <c r="C201" s="99" t="s">
        <v>398</v>
      </c>
      <c r="D201" s="99" t="s">
        <v>399</v>
      </c>
      <c r="E201" s="105">
        <v>16.71</v>
      </c>
      <c r="F201" s="104" t="s">
        <v>273</v>
      </c>
      <c r="G201" s="104" t="s">
        <v>272</v>
      </c>
    </row>
    <row r="202" spans="2:7" ht="13">
      <c r="B202" s="99" t="s">
        <v>394</v>
      </c>
      <c r="C202" s="99" t="s">
        <v>400</v>
      </c>
      <c r="D202" s="99" t="s">
        <v>283</v>
      </c>
      <c r="E202" s="105">
        <v>38.520000000000003</v>
      </c>
      <c r="F202" s="104" t="s">
        <v>272</v>
      </c>
      <c r="G202" s="104" t="s">
        <v>272</v>
      </c>
    </row>
    <row r="203" spans="2:7" ht="13">
      <c r="B203" s="99" t="s">
        <v>394</v>
      </c>
      <c r="C203" s="99" t="s">
        <v>360</v>
      </c>
      <c r="E203" s="105">
        <v>15.14</v>
      </c>
      <c r="F203" s="104" t="s">
        <v>272</v>
      </c>
      <c r="G203" s="104" t="s">
        <v>272</v>
      </c>
    </row>
    <row r="204" spans="2:7" ht="13">
      <c r="B204" s="99" t="s">
        <v>394</v>
      </c>
      <c r="C204" s="99" t="s">
        <v>360</v>
      </c>
      <c r="D204" s="99" t="s">
        <v>283</v>
      </c>
      <c r="E204" s="105">
        <v>10.62</v>
      </c>
      <c r="F204" s="104" t="s">
        <v>272</v>
      </c>
      <c r="G204" s="104" t="s">
        <v>272</v>
      </c>
    </row>
    <row r="205" spans="2:7" ht="13">
      <c r="B205" s="99" t="s">
        <v>394</v>
      </c>
      <c r="C205" s="99" t="s">
        <v>360</v>
      </c>
      <c r="D205" s="99" t="s">
        <v>283</v>
      </c>
      <c r="E205" s="105">
        <v>15.14</v>
      </c>
      <c r="F205" s="104" t="s">
        <v>272</v>
      </c>
      <c r="G205" s="104" t="s">
        <v>272</v>
      </c>
    </row>
    <row r="206" spans="2:7" ht="13">
      <c r="B206" s="99" t="s">
        <v>394</v>
      </c>
      <c r="C206" s="99" t="s">
        <v>360</v>
      </c>
      <c r="D206" s="99" t="s">
        <v>283</v>
      </c>
      <c r="E206" s="105">
        <v>15.14</v>
      </c>
      <c r="F206" s="104" t="s">
        <v>272</v>
      </c>
      <c r="G206" s="104" t="s">
        <v>272</v>
      </c>
    </row>
    <row r="207" spans="2:7" ht="13">
      <c r="B207" s="99" t="s">
        <v>394</v>
      </c>
      <c r="C207" s="99" t="s">
        <v>360</v>
      </c>
      <c r="D207" s="99" t="s">
        <v>283</v>
      </c>
      <c r="E207" s="105">
        <v>15.14</v>
      </c>
      <c r="F207" s="104" t="s">
        <v>272</v>
      </c>
      <c r="G207" s="104" t="s">
        <v>272</v>
      </c>
    </row>
    <row r="208" spans="2:7" ht="13">
      <c r="B208" s="99" t="s">
        <v>394</v>
      </c>
      <c r="C208" s="99" t="s">
        <v>360</v>
      </c>
      <c r="D208" s="99" t="s">
        <v>283</v>
      </c>
      <c r="E208" s="105">
        <v>15.14</v>
      </c>
      <c r="F208" s="104" t="s">
        <v>272</v>
      </c>
      <c r="G208" s="104" t="s">
        <v>272</v>
      </c>
    </row>
    <row r="209" spans="2:7" ht="13">
      <c r="B209" s="99" t="s">
        <v>394</v>
      </c>
      <c r="C209" s="99" t="s">
        <v>360</v>
      </c>
      <c r="D209" s="99" t="s">
        <v>283</v>
      </c>
      <c r="E209" s="105">
        <v>15.14</v>
      </c>
      <c r="F209" s="104" t="s">
        <v>272</v>
      </c>
      <c r="G209" s="104" t="s">
        <v>272</v>
      </c>
    </row>
    <row r="210" spans="2:7" ht="13">
      <c r="B210" s="99" t="s">
        <v>394</v>
      </c>
      <c r="C210" s="99" t="s">
        <v>401</v>
      </c>
      <c r="E210" s="105">
        <v>1019.99</v>
      </c>
      <c r="F210" s="104" t="s">
        <v>272</v>
      </c>
      <c r="G210" s="104" t="s">
        <v>273</v>
      </c>
    </row>
    <row r="211" spans="2:7" ht="13">
      <c r="B211" s="99" t="s">
        <v>394</v>
      </c>
      <c r="C211" s="99" t="s">
        <v>402</v>
      </c>
      <c r="D211" s="99"/>
      <c r="E211" s="115">
        <v>45.8</v>
      </c>
      <c r="F211" s="104" t="s">
        <v>273</v>
      </c>
      <c r="G211" s="104" t="s">
        <v>273</v>
      </c>
    </row>
    <row r="212" spans="2:7" ht="13">
      <c r="B212" s="99" t="s">
        <v>394</v>
      </c>
      <c r="C212" s="99" t="s">
        <v>403</v>
      </c>
      <c r="D212" s="99" t="s">
        <v>283</v>
      </c>
      <c r="E212" s="114">
        <f>27.39*2</f>
        <v>54.78</v>
      </c>
      <c r="F212" s="104" t="s">
        <v>272</v>
      </c>
      <c r="G212" s="104" t="s">
        <v>273</v>
      </c>
    </row>
    <row r="213" spans="2:7" ht="13">
      <c r="B213" s="99" t="s">
        <v>394</v>
      </c>
      <c r="C213" s="99" t="s">
        <v>404</v>
      </c>
      <c r="D213" s="99" t="s">
        <v>283</v>
      </c>
      <c r="E213" s="114">
        <f>24.53+73.59</f>
        <v>98.12</v>
      </c>
      <c r="F213" s="104" t="s">
        <v>272</v>
      </c>
      <c r="G213" s="104" t="s">
        <v>272</v>
      </c>
    </row>
    <row r="214" spans="2:7" ht="13">
      <c r="B214" s="99" t="s">
        <v>394</v>
      </c>
      <c r="C214" s="99" t="s">
        <v>339</v>
      </c>
      <c r="E214" s="114">
        <f>22.84*4</f>
        <v>91.36</v>
      </c>
      <c r="F214" s="104" t="s">
        <v>273</v>
      </c>
      <c r="G214" s="104" t="s">
        <v>273</v>
      </c>
    </row>
    <row r="215" spans="2:7" ht="13">
      <c r="B215" s="99" t="s">
        <v>394</v>
      </c>
      <c r="C215" s="99" t="s">
        <v>339</v>
      </c>
      <c r="E215" s="114">
        <f>15.23*5</f>
        <v>76.150000000000006</v>
      </c>
      <c r="F215" s="104" t="s">
        <v>273</v>
      </c>
      <c r="G215" s="104" t="s">
        <v>273</v>
      </c>
    </row>
    <row r="216" spans="2:7" ht="13">
      <c r="B216" s="99" t="s">
        <v>394</v>
      </c>
      <c r="C216" s="99" t="s">
        <v>405</v>
      </c>
      <c r="E216" s="105">
        <v>21.23</v>
      </c>
      <c r="F216" s="104" t="s">
        <v>272</v>
      </c>
      <c r="G216" s="104" t="s">
        <v>273</v>
      </c>
    </row>
    <row r="217" spans="2:7" ht="13">
      <c r="B217" s="99" t="s">
        <v>394</v>
      </c>
      <c r="C217" s="99" t="s">
        <v>406</v>
      </c>
      <c r="E217" s="105">
        <v>29.51</v>
      </c>
      <c r="F217" s="104" t="s">
        <v>272</v>
      </c>
      <c r="G217" s="104" t="s">
        <v>273</v>
      </c>
    </row>
    <row r="218" spans="2:7" ht="13">
      <c r="B218" s="99" t="s">
        <v>394</v>
      </c>
      <c r="C218" s="99" t="s">
        <v>407</v>
      </c>
      <c r="E218" s="105">
        <v>59.02</v>
      </c>
      <c r="F218" s="104" t="s">
        <v>272</v>
      </c>
      <c r="G218" s="104" t="s">
        <v>273</v>
      </c>
    </row>
    <row r="219" spans="2:7" ht="13">
      <c r="B219" s="99" t="s">
        <v>394</v>
      </c>
      <c r="C219" s="99" t="s">
        <v>408</v>
      </c>
      <c r="D219" s="99" t="s">
        <v>283</v>
      </c>
      <c r="E219" s="114">
        <f>98.78+40.23+49.39+27.07+54.14</f>
        <v>269.60999999999996</v>
      </c>
      <c r="F219" s="104" t="s">
        <v>273</v>
      </c>
      <c r="G219" s="104" t="s">
        <v>272</v>
      </c>
    </row>
    <row r="220" spans="2:7" ht="13">
      <c r="B220" s="99" t="s">
        <v>394</v>
      </c>
      <c r="C220" s="99" t="s">
        <v>409</v>
      </c>
      <c r="E220" s="114">
        <f>27.2+27.2+54.4+40.53+40.53+35.97+35.87+24.07+33.73+22.19+87.08+119.08+79.72+(32.7*7)</f>
        <v>856.47</v>
      </c>
      <c r="F220" s="104" t="s">
        <v>273</v>
      </c>
      <c r="G220" s="104" t="s">
        <v>273</v>
      </c>
    </row>
    <row r="221" spans="2:7" ht="13">
      <c r="B221" s="99" t="s">
        <v>394</v>
      </c>
      <c r="C221" s="99" t="s">
        <v>408</v>
      </c>
      <c r="E221" s="114">
        <f>(16.97*5)+22.38+19.01+19.01+31.98+31.98+55.19</f>
        <v>264.39999999999998</v>
      </c>
      <c r="F221" s="104" t="s">
        <v>273</v>
      </c>
      <c r="G221" s="104" t="s">
        <v>273</v>
      </c>
    </row>
    <row r="222" spans="2:7" ht="13">
      <c r="B222" s="99" t="s">
        <v>394</v>
      </c>
      <c r="C222" s="99" t="s">
        <v>401</v>
      </c>
      <c r="E222" s="114">
        <f>15.79*2</f>
        <v>31.58</v>
      </c>
      <c r="F222" s="104" t="s">
        <v>272</v>
      </c>
      <c r="G222" s="104" t="s">
        <v>273</v>
      </c>
    </row>
    <row r="223" spans="2:7" ht="13">
      <c r="B223" s="99" t="s">
        <v>394</v>
      </c>
      <c r="C223" s="99" t="s">
        <v>410</v>
      </c>
      <c r="E223" s="114">
        <f>26.52+14.87+18.55+37.1+14.87+15.96+9.59</f>
        <v>137.46</v>
      </c>
      <c r="F223" s="104" t="s">
        <v>272</v>
      </c>
      <c r="G223" s="104" t="s">
        <v>273</v>
      </c>
    </row>
    <row r="224" spans="2:7" ht="13">
      <c r="B224" s="99" t="s">
        <v>394</v>
      </c>
      <c r="C224" s="99" t="s">
        <v>411</v>
      </c>
      <c r="E224" s="114">
        <f>3465.8-SUM(E211:E223)</f>
        <v>1430.3100000000004</v>
      </c>
      <c r="F224" s="104" t="s">
        <v>272</v>
      </c>
      <c r="G224" s="104" t="s">
        <v>273</v>
      </c>
    </row>
    <row r="225" spans="2:7" ht="13">
      <c r="B225" s="99" t="s">
        <v>394</v>
      </c>
      <c r="C225" s="99" t="s">
        <v>412</v>
      </c>
      <c r="E225" s="105">
        <f>1914.93-102.72-15.52</f>
        <v>1796.69</v>
      </c>
      <c r="F225" s="104" t="s">
        <v>272</v>
      </c>
      <c r="G225" s="104" t="s">
        <v>273</v>
      </c>
    </row>
    <row r="226" spans="2:7" ht="13">
      <c r="B226" s="99" t="s">
        <v>394</v>
      </c>
      <c r="C226" s="99" t="s">
        <v>413</v>
      </c>
      <c r="E226" s="116">
        <f>102.72+15.52</f>
        <v>118.24</v>
      </c>
      <c r="F226" s="104" t="s">
        <v>273</v>
      </c>
      <c r="G226" s="104" t="s">
        <v>273</v>
      </c>
    </row>
    <row r="227" spans="2:7" ht="13">
      <c r="B227" s="99" t="s">
        <v>394</v>
      </c>
      <c r="C227" s="99" t="s">
        <v>414</v>
      </c>
      <c r="E227" s="105">
        <v>271.87</v>
      </c>
      <c r="F227" s="104" t="s">
        <v>272</v>
      </c>
      <c r="G227" s="104" t="s">
        <v>273</v>
      </c>
    </row>
    <row r="228" spans="2:7" ht="13">
      <c r="B228" s="99" t="s">
        <v>394</v>
      </c>
      <c r="C228" s="99" t="s">
        <v>415</v>
      </c>
      <c r="E228" s="105">
        <f>1173.58-(14.87*3)-(18.46*3)</f>
        <v>1073.5899999999999</v>
      </c>
      <c r="F228" s="104" t="s">
        <v>272</v>
      </c>
      <c r="G228" s="104" t="s">
        <v>273</v>
      </c>
    </row>
    <row r="229" spans="2:7" ht="13">
      <c r="B229" s="99" t="s">
        <v>394</v>
      </c>
      <c r="C229" s="99" t="s">
        <v>416</v>
      </c>
      <c r="E229" s="114">
        <f>(14.87*3)+(18.46*3)</f>
        <v>99.990000000000009</v>
      </c>
      <c r="F229" s="104" t="s">
        <v>273</v>
      </c>
      <c r="G229" s="104" t="s">
        <v>273</v>
      </c>
    </row>
    <row r="230" spans="2:7" ht="13">
      <c r="B230" s="99" t="s">
        <v>417</v>
      </c>
      <c r="C230" s="99" t="s">
        <v>418</v>
      </c>
      <c r="E230" s="114">
        <f>205+168.48+591.32</f>
        <v>964.80000000000007</v>
      </c>
      <c r="F230" s="104" t="s">
        <v>272</v>
      </c>
      <c r="G230" s="104" t="s">
        <v>273</v>
      </c>
    </row>
    <row r="231" spans="2:7" ht="13">
      <c r="B231" s="99" t="s">
        <v>419</v>
      </c>
      <c r="C231" s="99" t="s">
        <v>420</v>
      </c>
      <c r="E231" s="105">
        <v>1636.7</v>
      </c>
      <c r="F231" s="104" t="s">
        <v>273</v>
      </c>
      <c r="G231" s="104" t="s">
        <v>273</v>
      </c>
    </row>
    <row r="232" spans="2:7" ht="13">
      <c r="B232" s="99" t="s">
        <v>421</v>
      </c>
      <c r="C232" s="56" t="s">
        <v>422</v>
      </c>
      <c r="E232" s="105">
        <v>1132.42</v>
      </c>
      <c r="F232" s="104" t="s">
        <v>273</v>
      </c>
      <c r="G232" s="104" t="s">
        <v>273</v>
      </c>
    </row>
    <row r="233" spans="2:7" ht="13">
      <c r="B233" s="99" t="s">
        <v>423</v>
      </c>
      <c r="C233" s="99" t="s">
        <v>424</v>
      </c>
      <c r="E233" s="105">
        <v>232.86</v>
      </c>
      <c r="F233" s="104" t="s">
        <v>273</v>
      </c>
      <c r="G233" s="104" t="s">
        <v>273</v>
      </c>
    </row>
    <row r="234" spans="2:7" ht="13">
      <c r="B234" s="99" t="s">
        <v>425</v>
      </c>
      <c r="C234" s="99" t="s">
        <v>424</v>
      </c>
      <c r="E234" s="105">
        <v>259</v>
      </c>
      <c r="F234" s="104" t="s">
        <v>273</v>
      </c>
      <c r="G234" s="104" t="s">
        <v>273</v>
      </c>
    </row>
    <row r="235" spans="2:7" ht="13">
      <c r="B235" s="99" t="s">
        <v>426</v>
      </c>
      <c r="C235" s="99" t="s">
        <v>341</v>
      </c>
      <c r="E235" s="105">
        <v>270.06</v>
      </c>
      <c r="F235" s="104" t="s">
        <v>273</v>
      </c>
      <c r="G235" s="104" t="s">
        <v>273</v>
      </c>
    </row>
    <row r="236" spans="2:7" ht="13">
      <c r="B236" s="99" t="s">
        <v>426</v>
      </c>
      <c r="C236" s="99" t="s">
        <v>341</v>
      </c>
      <c r="E236" s="105">
        <v>301.57</v>
      </c>
      <c r="F236" s="104" t="s">
        <v>273</v>
      </c>
      <c r="G236" s="104" t="s">
        <v>273</v>
      </c>
    </row>
    <row r="237" spans="2:7" ht="13">
      <c r="B237" s="99"/>
      <c r="C237" s="99" t="s">
        <v>427</v>
      </c>
      <c r="E237" s="105">
        <f>374.55+289.12+400.32</f>
        <v>1063.99</v>
      </c>
      <c r="F237" s="104" t="s">
        <v>272</v>
      </c>
      <c r="G237" s="104" t="s">
        <v>273</v>
      </c>
    </row>
    <row r="238" spans="2:7" ht="13">
      <c r="B238" s="99" t="s">
        <v>428</v>
      </c>
      <c r="C238" s="99" t="s">
        <v>341</v>
      </c>
      <c r="E238" s="105">
        <v>266.39</v>
      </c>
      <c r="F238" s="104" t="s">
        <v>273</v>
      </c>
      <c r="G238" s="104" t="s">
        <v>273</v>
      </c>
    </row>
    <row r="239" spans="2:7" ht="13">
      <c r="B239" s="99" t="s">
        <v>428</v>
      </c>
      <c r="C239" s="99" t="s">
        <v>341</v>
      </c>
      <c r="E239" s="105">
        <v>324.5</v>
      </c>
      <c r="F239" s="104" t="s">
        <v>273</v>
      </c>
      <c r="G239" s="104" t="s">
        <v>273</v>
      </c>
    </row>
    <row r="240" spans="2:7" ht="13">
      <c r="B240" s="99" t="s">
        <v>428</v>
      </c>
      <c r="C240" s="99" t="s">
        <v>341</v>
      </c>
      <c r="E240" s="105">
        <v>154.30000000000001</v>
      </c>
      <c r="F240" s="104" t="s">
        <v>273</v>
      </c>
      <c r="G240" s="104" t="s">
        <v>273</v>
      </c>
    </row>
    <row r="241" spans="1:17" ht="13">
      <c r="B241" s="99" t="s">
        <v>428</v>
      </c>
      <c r="C241" s="99" t="s">
        <v>341</v>
      </c>
      <c r="E241" s="105">
        <v>315.2</v>
      </c>
      <c r="F241" s="104" t="s">
        <v>273</v>
      </c>
      <c r="G241" s="104" t="s">
        <v>273</v>
      </c>
    </row>
    <row r="242" spans="1:17" ht="13">
      <c r="B242" s="99" t="s">
        <v>428</v>
      </c>
      <c r="C242" s="99" t="s">
        <v>341</v>
      </c>
      <c r="E242" s="105">
        <v>111.44</v>
      </c>
      <c r="F242" s="104" t="s">
        <v>273</v>
      </c>
      <c r="G242" s="104" t="s">
        <v>273</v>
      </c>
    </row>
    <row r="243" spans="1:17" ht="13">
      <c r="A243" s="41"/>
      <c r="B243" s="41"/>
      <c r="C243" s="41"/>
      <c r="D243" s="41" t="s">
        <v>429</v>
      </c>
      <c r="E243" s="117">
        <f>SUM(E4:E242)</f>
        <v>77132.150000000023</v>
      </c>
      <c r="F243" s="118"/>
      <c r="G243" s="118"/>
      <c r="H243" s="119">
        <f>SUM(E4:E42)+E60+E61+E82+E109+E110+E116+E121+E133+E146+E165+E173+E187+E237</f>
        <v>16859.400000000005</v>
      </c>
      <c r="I243" s="114">
        <f>E69+E70+E71+E117+E147+SUM(E203:E209)</f>
        <v>4365.33</v>
      </c>
      <c r="J243" s="114">
        <f>E65+E90+E124+E140+E98+E99+E100</f>
        <v>1096.5400000000002</v>
      </c>
      <c r="L243" s="114">
        <f>E88+E107+E115</f>
        <v>817.52</v>
      </c>
      <c r="M243" s="114">
        <f>E70</f>
        <v>1081.25</v>
      </c>
      <c r="N243" s="114">
        <f>E224+E222+E210+SUM(E195:E198)</f>
        <v>2566.52</v>
      </c>
      <c r="O243" s="114">
        <f>E160</f>
        <v>25.64</v>
      </c>
      <c r="Q243" s="114">
        <f>E228+E216</f>
        <v>1094.82</v>
      </c>
    </row>
    <row r="244" spans="1:17" ht="13">
      <c r="A244" s="99" t="s">
        <v>430</v>
      </c>
      <c r="B244" s="107" t="s">
        <v>270</v>
      </c>
      <c r="C244" s="107" t="s">
        <v>306</v>
      </c>
      <c r="E244" s="105">
        <v>2077.12</v>
      </c>
      <c r="F244" s="104" t="s">
        <v>315</v>
      </c>
      <c r="G244" s="104" t="s">
        <v>374</v>
      </c>
    </row>
    <row r="245" spans="1:17" ht="13">
      <c r="B245" s="107" t="s">
        <v>270</v>
      </c>
      <c r="C245" s="107" t="s">
        <v>306</v>
      </c>
      <c r="E245" s="105">
        <v>606.34</v>
      </c>
      <c r="F245" s="104" t="s">
        <v>315</v>
      </c>
      <c r="G245" s="104" t="s">
        <v>374</v>
      </c>
    </row>
    <row r="246" spans="1:17" ht="13">
      <c r="B246" s="107" t="s">
        <v>270</v>
      </c>
      <c r="C246" s="107" t="s">
        <v>431</v>
      </c>
      <c r="E246" s="105">
        <v>121.3</v>
      </c>
      <c r="F246" s="104" t="s">
        <v>315</v>
      </c>
      <c r="G246" s="104" t="s">
        <v>374</v>
      </c>
    </row>
    <row r="247" spans="1:17" ht="13">
      <c r="B247" s="107" t="s">
        <v>270</v>
      </c>
      <c r="C247" s="107" t="s">
        <v>306</v>
      </c>
      <c r="E247" s="105">
        <f>843.65-E248</f>
        <v>796.51</v>
      </c>
      <c r="F247" s="104" t="s">
        <v>315</v>
      </c>
      <c r="G247" s="104" t="s">
        <v>374</v>
      </c>
    </row>
    <row r="248" spans="1:17" ht="13">
      <c r="B248" s="107" t="s">
        <v>270</v>
      </c>
      <c r="C248" s="107" t="s">
        <v>432</v>
      </c>
      <c r="D248" s="99" t="s">
        <v>433</v>
      </c>
      <c r="E248" s="105">
        <v>47.14</v>
      </c>
      <c r="F248" s="104" t="s">
        <v>315</v>
      </c>
      <c r="G248" s="104" t="s">
        <v>315</v>
      </c>
    </row>
    <row r="249" spans="1:17" ht="13">
      <c r="B249" s="107" t="s">
        <v>270</v>
      </c>
      <c r="C249" s="107" t="s">
        <v>306</v>
      </c>
      <c r="E249" s="105">
        <v>2790.53</v>
      </c>
      <c r="F249" s="104" t="s">
        <v>315</v>
      </c>
      <c r="G249" s="104" t="s">
        <v>374</v>
      </c>
    </row>
    <row r="250" spans="1:17" ht="13">
      <c r="B250" s="107" t="s">
        <v>270</v>
      </c>
      <c r="C250" s="107" t="s">
        <v>306</v>
      </c>
      <c r="E250" s="105">
        <v>199.42</v>
      </c>
      <c r="F250" s="104" t="s">
        <v>315</v>
      </c>
      <c r="G250" s="104" t="s">
        <v>374</v>
      </c>
    </row>
    <row r="251" spans="1:17" ht="13">
      <c r="B251" s="107" t="s">
        <v>270</v>
      </c>
      <c r="C251" s="107" t="s">
        <v>142</v>
      </c>
      <c r="D251" s="99" t="s">
        <v>362</v>
      </c>
      <c r="E251" s="105">
        <v>97.04</v>
      </c>
      <c r="F251" s="104" t="s">
        <v>315</v>
      </c>
      <c r="G251" s="79"/>
    </row>
    <row r="252" spans="1:17" ht="13">
      <c r="B252" s="107" t="s">
        <v>270</v>
      </c>
      <c r="C252" s="107" t="s">
        <v>112</v>
      </c>
      <c r="E252" s="105">
        <f>4901.28-E251</f>
        <v>4804.24</v>
      </c>
      <c r="F252" s="104" t="s">
        <v>315</v>
      </c>
      <c r="G252" s="104" t="s">
        <v>374</v>
      </c>
    </row>
    <row r="253" spans="1:17" ht="13">
      <c r="B253" s="107" t="s">
        <v>270</v>
      </c>
      <c r="C253" s="107" t="s">
        <v>306</v>
      </c>
      <c r="E253" s="105">
        <v>1231.29</v>
      </c>
      <c r="F253" s="104" t="s">
        <v>315</v>
      </c>
      <c r="G253" s="104" t="s">
        <v>374</v>
      </c>
    </row>
    <row r="254" spans="1:17" ht="13">
      <c r="B254" s="99" t="s">
        <v>270</v>
      </c>
      <c r="C254" s="99" t="s">
        <v>306</v>
      </c>
      <c r="E254" s="105">
        <v>68.28</v>
      </c>
      <c r="F254" s="104" t="s">
        <v>315</v>
      </c>
      <c r="G254" s="104" t="s">
        <v>374</v>
      </c>
    </row>
    <row r="255" spans="1:17" ht="13">
      <c r="B255" s="99" t="s">
        <v>270</v>
      </c>
      <c r="C255" s="99" t="s">
        <v>306</v>
      </c>
      <c r="E255" s="105">
        <v>19.440000000000001</v>
      </c>
      <c r="F255" s="104" t="s">
        <v>315</v>
      </c>
      <c r="G255" s="104" t="s">
        <v>374</v>
      </c>
    </row>
    <row r="256" spans="1:17" ht="13">
      <c r="A256" s="99"/>
      <c r="B256" s="99" t="s">
        <v>270</v>
      </c>
      <c r="C256" s="99" t="s">
        <v>112</v>
      </c>
      <c r="E256" s="105">
        <v>658.18</v>
      </c>
      <c r="F256" s="104" t="s">
        <v>315</v>
      </c>
      <c r="G256" s="104" t="s">
        <v>374</v>
      </c>
    </row>
    <row r="257" spans="1:7" ht="13">
      <c r="A257" s="99"/>
      <c r="B257" s="99" t="s">
        <v>270</v>
      </c>
      <c r="C257" s="99" t="s">
        <v>306</v>
      </c>
      <c r="E257" s="105">
        <v>86.16</v>
      </c>
      <c r="F257" s="104" t="s">
        <v>315</v>
      </c>
      <c r="G257" s="104" t="s">
        <v>374</v>
      </c>
    </row>
    <row r="258" spans="1:7" ht="13">
      <c r="A258" s="99"/>
      <c r="B258" s="99" t="s">
        <v>434</v>
      </c>
      <c r="C258" s="99" t="s">
        <v>57</v>
      </c>
      <c r="D258" s="99" t="s">
        <v>105</v>
      </c>
      <c r="E258" s="105">
        <v>537.45000000000005</v>
      </c>
      <c r="F258" s="104" t="s">
        <v>374</v>
      </c>
      <c r="G258" s="104" t="s">
        <v>315</v>
      </c>
    </row>
    <row r="259" spans="1:7" ht="13">
      <c r="A259" s="99"/>
      <c r="B259" s="99" t="s">
        <v>434</v>
      </c>
      <c r="C259" s="99" t="s">
        <v>57</v>
      </c>
      <c r="D259" s="99" t="s">
        <v>105</v>
      </c>
      <c r="E259" s="105">
        <v>386.6</v>
      </c>
      <c r="F259" s="104" t="s">
        <v>374</v>
      </c>
      <c r="G259" s="104" t="s">
        <v>315</v>
      </c>
    </row>
    <row r="260" spans="1:7" ht="13">
      <c r="A260" s="99"/>
      <c r="B260" s="99" t="s">
        <v>434</v>
      </c>
      <c r="C260" s="99" t="s">
        <v>57</v>
      </c>
      <c r="D260" s="99" t="s">
        <v>105</v>
      </c>
      <c r="E260" s="105">
        <v>54.79</v>
      </c>
      <c r="F260" s="104" t="s">
        <v>374</v>
      </c>
      <c r="G260" s="104" t="s">
        <v>315</v>
      </c>
    </row>
    <row r="261" spans="1:7" ht="13">
      <c r="A261" s="99"/>
      <c r="B261" s="99" t="s">
        <v>434</v>
      </c>
      <c r="C261" s="99" t="s">
        <v>57</v>
      </c>
      <c r="D261" s="99" t="s">
        <v>105</v>
      </c>
      <c r="E261" s="105">
        <v>116.74</v>
      </c>
      <c r="F261" s="104" t="s">
        <v>374</v>
      </c>
      <c r="G261" s="104" t="s">
        <v>315</v>
      </c>
    </row>
    <row r="262" spans="1:7" ht="13">
      <c r="A262" s="99"/>
      <c r="B262" s="99" t="s">
        <v>434</v>
      </c>
      <c r="C262" s="99" t="s">
        <v>57</v>
      </c>
      <c r="D262" s="99" t="s">
        <v>105</v>
      </c>
      <c r="E262" s="105">
        <v>97.88</v>
      </c>
      <c r="F262" s="104" t="s">
        <v>374</v>
      </c>
      <c r="G262" s="104" t="s">
        <v>315</v>
      </c>
    </row>
    <row r="263" spans="1:7" ht="13">
      <c r="A263" s="99"/>
      <c r="B263" s="99" t="s">
        <v>434</v>
      </c>
      <c r="C263" s="99" t="s">
        <v>57</v>
      </c>
      <c r="D263" s="99" t="s">
        <v>105</v>
      </c>
      <c r="E263" s="105">
        <v>550.04999999999995</v>
      </c>
      <c r="F263" s="104" t="s">
        <v>374</v>
      </c>
      <c r="G263" s="104" t="s">
        <v>315</v>
      </c>
    </row>
    <row r="264" spans="1:7" ht="13">
      <c r="A264" s="99"/>
      <c r="B264" s="99" t="s">
        <v>434</v>
      </c>
      <c r="C264" s="99" t="s">
        <v>57</v>
      </c>
      <c r="D264" s="99" t="s">
        <v>105</v>
      </c>
      <c r="E264" s="105">
        <v>255.84</v>
      </c>
      <c r="F264" s="104" t="s">
        <v>374</v>
      </c>
      <c r="G264" s="104" t="s">
        <v>315</v>
      </c>
    </row>
    <row r="265" spans="1:7" ht="13">
      <c r="A265" s="99"/>
      <c r="B265" s="99" t="s">
        <v>434</v>
      </c>
      <c r="C265" s="99" t="s">
        <v>57</v>
      </c>
      <c r="D265" s="99" t="s">
        <v>105</v>
      </c>
      <c r="E265" s="105">
        <v>252.91</v>
      </c>
      <c r="F265" s="104" t="s">
        <v>374</v>
      </c>
      <c r="G265" s="104" t="s">
        <v>315</v>
      </c>
    </row>
    <row r="266" spans="1:7" ht="13">
      <c r="A266" s="99"/>
      <c r="B266" s="99" t="s">
        <v>434</v>
      </c>
      <c r="C266" s="99" t="s">
        <v>57</v>
      </c>
      <c r="D266" s="99" t="s">
        <v>105</v>
      </c>
      <c r="E266" s="105">
        <v>213.32</v>
      </c>
      <c r="F266" s="104" t="s">
        <v>374</v>
      </c>
      <c r="G266" s="104" t="s">
        <v>315</v>
      </c>
    </row>
    <row r="267" spans="1:7" ht="13">
      <c r="A267" s="99"/>
      <c r="B267" s="99" t="s">
        <v>434</v>
      </c>
      <c r="C267" s="99" t="s">
        <v>57</v>
      </c>
      <c r="D267" s="99" t="s">
        <v>105</v>
      </c>
      <c r="E267" s="105">
        <v>109.41</v>
      </c>
      <c r="F267" s="104" t="s">
        <v>374</v>
      </c>
      <c r="G267" s="104" t="s">
        <v>315</v>
      </c>
    </row>
    <row r="268" spans="1:7" ht="13">
      <c r="A268" s="99"/>
      <c r="B268" s="99" t="s">
        <v>434</v>
      </c>
      <c r="C268" s="99" t="s">
        <v>57</v>
      </c>
      <c r="D268" s="99" t="s">
        <v>105</v>
      </c>
      <c r="E268" s="105">
        <v>428.16</v>
      </c>
      <c r="F268" s="104" t="s">
        <v>374</v>
      </c>
      <c r="G268" s="104" t="s">
        <v>315</v>
      </c>
    </row>
    <row r="269" spans="1:7" ht="13">
      <c r="A269" s="99"/>
      <c r="B269" s="99" t="s">
        <v>435</v>
      </c>
      <c r="C269" s="99" t="s">
        <v>436</v>
      </c>
      <c r="E269" s="105">
        <v>16.41</v>
      </c>
      <c r="F269" s="104" t="s">
        <v>315</v>
      </c>
      <c r="G269" s="104" t="s">
        <v>374</v>
      </c>
    </row>
    <row r="270" spans="1:7" ht="13">
      <c r="A270" s="99"/>
      <c r="B270" s="99" t="s">
        <v>435</v>
      </c>
      <c r="C270" s="99" t="s">
        <v>56</v>
      </c>
      <c r="E270" s="105">
        <v>427.94</v>
      </c>
      <c r="F270" s="104" t="s">
        <v>374</v>
      </c>
      <c r="G270" s="104" t="s">
        <v>374</v>
      </c>
    </row>
    <row r="271" spans="1:7" ht="13">
      <c r="A271" s="99"/>
      <c r="B271" s="99" t="s">
        <v>55</v>
      </c>
      <c r="C271" s="99" t="s">
        <v>112</v>
      </c>
      <c r="E271" s="105">
        <v>1101.81</v>
      </c>
      <c r="F271" s="104" t="s">
        <v>315</v>
      </c>
      <c r="G271" s="104" t="s">
        <v>374</v>
      </c>
    </row>
    <row r="272" spans="1:7" ht="13">
      <c r="A272" s="99"/>
      <c r="B272" s="99" t="s">
        <v>55</v>
      </c>
      <c r="C272" s="99" t="s">
        <v>56</v>
      </c>
      <c r="E272" s="105">
        <v>502.92</v>
      </c>
      <c r="F272" s="104" t="s">
        <v>374</v>
      </c>
      <c r="G272" s="104" t="s">
        <v>374</v>
      </c>
    </row>
    <row r="273" spans="1:7" ht="13">
      <c r="A273" s="99"/>
      <c r="B273" s="99" t="s">
        <v>435</v>
      </c>
      <c r="C273" s="99" t="s">
        <v>70</v>
      </c>
      <c r="E273" s="105">
        <v>122.16</v>
      </c>
      <c r="F273" s="104" t="s">
        <v>374</v>
      </c>
      <c r="G273" s="104" t="s">
        <v>374</v>
      </c>
    </row>
    <row r="274" spans="1:7" ht="13">
      <c r="A274" s="99"/>
      <c r="B274" s="99" t="s">
        <v>435</v>
      </c>
      <c r="C274" s="99" t="s">
        <v>57</v>
      </c>
      <c r="E274" s="105">
        <v>933.06</v>
      </c>
      <c r="F274" s="104" t="s">
        <v>374</v>
      </c>
      <c r="G274" s="104" t="s">
        <v>374</v>
      </c>
    </row>
    <row r="275" spans="1:7" ht="13">
      <c r="A275" s="99"/>
      <c r="B275" s="99" t="s">
        <v>435</v>
      </c>
      <c r="C275" s="99" t="s">
        <v>57</v>
      </c>
      <c r="E275" s="105">
        <v>170.69</v>
      </c>
      <c r="F275" s="104" t="s">
        <v>374</v>
      </c>
      <c r="G275" s="104" t="s">
        <v>374</v>
      </c>
    </row>
    <row r="276" spans="1:7" ht="13">
      <c r="A276" s="99"/>
      <c r="B276" s="99" t="s">
        <v>435</v>
      </c>
      <c r="C276" s="99" t="s">
        <v>97</v>
      </c>
      <c r="E276" s="105">
        <v>542.02</v>
      </c>
      <c r="F276" s="104" t="s">
        <v>315</v>
      </c>
      <c r="G276" s="104" t="s">
        <v>374</v>
      </c>
    </row>
    <row r="277" spans="1:7" ht="13">
      <c r="A277" s="99"/>
      <c r="B277" s="99" t="s">
        <v>55</v>
      </c>
      <c r="C277" s="99" t="s">
        <v>97</v>
      </c>
      <c r="E277" s="105">
        <v>57.96</v>
      </c>
      <c r="F277" s="104" t="s">
        <v>374</v>
      </c>
      <c r="G277" s="104" t="s">
        <v>374</v>
      </c>
    </row>
    <row r="278" spans="1:7" ht="13">
      <c r="A278" s="99"/>
      <c r="B278" s="99" t="s">
        <v>55</v>
      </c>
      <c r="C278" s="99" t="s">
        <v>338</v>
      </c>
      <c r="E278" s="105">
        <v>130.88</v>
      </c>
      <c r="F278" s="104" t="s">
        <v>315</v>
      </c>
      <c r="G278" s="104" t="s">
        <v>374</v>
      </c>
    </row>
    <row r="279" spans="1:7" ht="13">
      <c r="A279" s="99"/>
      <c r="B279" s="99" t="s">
        <v>435</v>
      </c>
      <c r="C279" s="99" t="s">
        <v>59</v>
      </c>
      <c r="E279" s="105">
        <v>106.33</v>
      </c>
      <c r="F279" s="104" t="s">
        <v>437</v>
      </c>
      <c r="G279" s="104" t="s">
        <v>374</v>
      </c>
    </row>
    <row r="280" spans="1:7" ht="13">
      <c r="A280" s="99"/>
      <c r="B280" s="99" t="s">
        <v>55</v>
      </c>
      <c r="C280" s="99" t="s">
        <v>57</v>
      </c>
      <c r="E280" s="105">
        <f>170.69-15.79</f>
        <v>154.9</v>
      </c>
      <c r="F280" s="104" t="s">
        <v>374</v>
      </c>
      <c r="G280" s="104" t="s">
        <v>374</v>
      </c>
    </row>
    <row r="281" spans="1:7" ht="13">
      <c r="A281" s="99"/>
      <c r="B281" s="99" t="s">
        <v>434</v>
      </c>
      <c r="C281" s="99" t="s">
        <v>57</v>
      </c>
      <c r="E281" s="105">
        <v>15.79</v>
      </c>
      <c r="F281" s="104" t="s">
        <v>374</v>
      </c>
      <c r="G281" s="104" t="s">
        <v>315</v>
      </c>
    </row>
    <row r="282" spans="1:7" ht="13">
      <c r="A282" s="99"/>
      <c r="B282" s="99" t="s">
        <v>435</v>
      </c>
      <c r="C282" s="99" t="s">
        <v>97</v>
      </c>
      <c r="E282" s="105">
        <v>47.48</v>
      </c>
      <c r="F282" s="104" t="s">
        <v>374</v>
      </c>
      <c r="G282" s="104" t="s">
        <v>374</v>
      </c>
    </row>
    <row r="283" spans="1:7" ht="13">
      <c r="A283" s="99"/>
      <c r="B283" s="99" t="s">
        <v>435</v>
      </c>
      <c r="C283" s="99" t="s">
        <v>338</v>
      </c>
      <c r="E283" s="105">
        <v>587.69000000000005</v>
      </c>
      <c r="F283" s="104" t="s">
        <v>374</v>
      </c>
      <c r="G283" s="104" t="s">
        <v>374</v>
      </c>
    </row>
    <row r="284" spans="1:7" ht="13">
      <c r="A284" s="99"/>
      <c r="B284" s="99" t="s">
        <v>435</v>
      </c>
      <c r="C284" s="99" t="s">
        <v>59</v>
      </c>
      <c r="E284" s="105">
        <f>588.6-E285</f>
        <v>493.11</v>
      </c>
      <c r="F284" s="104" t="s">
        <v>374</v>
      </c>
      <c r="G284" s="104" t="s">
        <v>374</v>
      </c>
    </row>
    <row r="285" spans="1:7" ht="13">
      <c r="A285" s="99"/>
      <c r="B285" s="99" t="s">
        <v>435</v>
      </c>
      <c r="C285" s="99" t="s">
        <v>306</v>
      </c>
      <c r="E285" s="105">
        <f>27.82+24.85+42.82</f>
        <v>95.490000000000009</v>
      </c>
      <c r="F285" s="104" t="s">
        <v>315</v>
      </c>
      <c r="G285" s="104" t="s">
        <v>374</v>
      </c>
    </row>
    <row r="286" spans="1:7" ht="13">
      <c r="A286" s="99"/>
      <c r="B286" s="99" t="s">
        <v>435</v>
      </c>
      <c r="C286" s="99" t="s">
        <v>438</v>
      </c>
      <c r="E286" s="105">
        <v>18.239999999999998</v>
      </c>
      <c r="F286" s="104" t="s">
        <v>315</v>
      </c>
      <c r="G286" s="104" t="s">
        <v>374</v>
      </c>
    </row>
    <row r="287" spans="1:7" ht="13">
      <c r="A287" s="99"/>
      <c r="B287" s="99" t="s">
        <v>435</v>
      </c>
      <c r="C287" s="99" t="s">
        <v>59</v>
      </c>
      <c r="E287" s="105">
        <v>84.04</v>
      </c>
      <c r="F287" s="104" t="s">
        <v>374</v>
      </c>
      <c r="G287" s="104" t="s">
        <v>374</v>
      </c>
    </row>
    <row r="288" spans="1:7" ht="13">
      <c r="A288" s="99"/>
      <c r="B288" s="99" t="s">
        <v>435</v>
      </c>
      <c r="C288" s="99" t="s">
        <v>97</v>
      </c>
      <c r="D288" s="99" t="s">
        <v>439</v>
      </c>
      <c r="E288" s="105">
        <v>200.58</v>
      </c>
      <c r="F288" s="104" t="s">
        <v>315</v>
      </c>
      <c r="G288" s="104" t="s">
        <v>374</v>
      </c>
    </row>
    <row r="289" spans="1:7" ht="13">
      <c r="A289" s="99"/>
      <c r="B289" s="99" t="s">
        <v>435</v>
      </c>
      <c r="C289" s="99" t="s">
        <v>338</v>
      </c>
      <c r="D289" s="99" t="s">
        <v>153</v>
      </c>
      <c r="E289" s="105">
        <v>32.72</v>
      </c>
      <c r="F289" s="104" t="s">
        <v>374</v>
      </c>
      <c r="G289" s="104" t="s">
        <v>374</v>
      </c>
    </row>
    <row r="290" spans="1:7" ht="13">
      <c r="A290" s="99"/>
      <c r="B290" s="99" t="s">
        <v>435</v>
      </c>
      <c r="C290" s="99" t="s">
        <v>59</v>
      </c>
      <c r="E290" s="105">
        <v>163.72</v>
      </c>
      <c r="F290" s="104" t="s">
        <v>374</v>
      </c>
      <c r="G290" s="104" t="s">
        <v>374</v>
      </c>
    </row>
    <row r="291" spans="1:7" ht="13">
      <c r="A291" s="99"/>
      <c r="B291" s="99" t="s">
        <v>435</v>
      </c>
      <c r="C291" s="99" t="s">
        <v>57</v>
      </c>
      <c r="E291" s="105">
        <f>56.84+96.12+161.94</f>
        <v>314.89999999999998</v>
      </c>
      <c r="F291" s="104" t="s">
        <v>374</v>
      </c>
      <c r="G291" s="104" t="s">
        <v>374</v>
      </c>
    </row>
    <row r="292" spans="1:7" ht="13">
      <c r="A292" s="99"/>
      <c r="B292" s="99" t="s">
        <v>435</v>
      </c>
      <c r="C292" s="99" t="s">
        <v>59</v>
      </c>
      <c r="D292" s="99" t="s">
        <v>440</v>
      </c>
      <c r="E292" s="105">
        <v>76.38</v>
      </c>
      <c r="F292" s="104" t="s">
        <v>315</v>
      </c>
      <c r="G292" s="104" t="s">
        <v>374</v>
      </c>
    </row>
    <row r="293" spans="1:7" ht="13">
      <c r="A293" s="99"/>
      <c r="B293" s="99" t="s">
        <v>435</v>
      </c>
      <c r="C293" s="99" t="s">
        <v>97</v>
      </c>
      <c r="E293" s="105">
        <v>180.62</v>
      </c>
      <c r="F293" s="104" t="s">
        <v>374</v>
      </c>
      <c r="G293" s="104" t="s">
        <v>374</v>
      </c>
    </row>
    <row r="294" spans="1:7" ht="13">
      <c r="A294" s="99"/>
      <c r="B294" s="99" t="s">
        <v>435</v>
      </c>
      <c r="C294" s="99" t="s">
        <v>59</v>
      </c>
      <c r="D294" s="99" t="s">
        <v>441</v>
      </c>
      <c r="E294" s="105">
        <v>67.66</v>
      </c>
      <c r="F294" s="104" t="s">
        <v>315</v>
      </c>
      <c r="G294" s="104" t="s">
        <v>374</v>
      </c>
    </row>
    <row r="295" spans="1:7" ht="13">
      <c r="A295" s="99"/>
      <c r="B295" s="99" t="s">
        <v>435</v>
      </c>
      <c r="C295" s="99" t="s">
        <v>97</v>
      </c>
      <c r="E295" s="105">
        <v>28.98</v>
      </c>
      <c r="F295" s="104" t="s">
        <v>374</v>
      </c>
      <c r="G295" s="104" t="s">
        <v>374</v>
      </c>
    </row>
    <row r="296" spans="1:7" ht="13">
      <c r="A296" s="99"/>
      <c r="B296" s="99" t="s">
        <v>435</v>
      </c>
      <c r="C296" s="99" t="s">
        <v>59</v>
      </c>
      <c r="E296" s="105">
        <v>119.41</v>
      </c>
      <c r="F296" s="104" t="s">
        <v>374</v>
      </c>
      <c r="G296" s="104" t="s">
        <v>374</v>
      </c>
    </row>
    <row r="297" spans="1:7" ht="13">
      <c r="A297" s="99"/>
      <c r="B297" s="99" t="s">
        <v>435</v>
      </c>
      <c r="C297" s="99" t="s">
        <v>56</v>
      </c>
      <c r="E297" s="105">
        <v>1190.26</v>
      </c>
      <c r="F297" s="104" t="s">
        <v>374</v>
      </c>
      <c r="G297" s="104" t="s">
        <v>374</v>
      </c>
    </row>
    <row r="298" spans="1:7" ht="13">
      <c r="A298" s="99"/>
      <c r="B298" s="99" t="s">
        <v>435</v>
      </c>
      <c r="C298" s="99" t="s">
        <v>97</v>
      </c>
      <c r="E298" s="105">
        <v>387.51</v>
      </c>
      <c r="F298" s="104" t="s">
        <v>374</v>
      </c>
      <c r="G298" s="104" t="s">
        <v>374</v>
      </c>
    </row>
    <row r="299" spans="1:7" ht="13">
      <c r="A299" s="99"/>
      <c r="B299" s="99" t="s">
        <v>435</v>
      </c>
      <c r="C299" s="99" t="s">
        <v>442</v>
      </c>
      <c r="E299" s="105">
        <v>24.82</v>
      </c>
      <c r="F299" s="104" t="s">
        <v>315</v>
      </c>
      <c r="G299" s="104" t="s">
        <v>374</v>
      </c>
    </row>
    <row r="300" spans="1:7" ht="13">
      <c r="A300" s="99"/>
      <c r="B300" s="99" t="s">
        <v>435</v>
      </c>
      <c r="C300" s="99" t="s">
        <v>57</v>
      </c>
      <c r="E300" s="105">
        <v>424.83</v>
      </c>
      <c r="F300" s="104" t="s">
        <v>374</v>
      </c>
      <c r="G300" s="104" t="s">
        <v>374</v>
      </c>
    </row>
    <row r="301" spans="1:7" ht="13">
      <c r="A301" s="99"/>
      <c r="B301" s="99" t="s">
        <v>435</v>
      </c>
      <c r="C301" s="99" t="s">
        <v>59</v>
      </c>
      <c r="D301" s="99" t="s">
        <v>441</v>
      </c>
      <c r="E301" s="105">
        <f>49.98+10.09+24.39+23.03+97.8+9.39</f>
        <v>214.68</v>
      </c>
      <c r="F301" s="104" t="s">
        <v>315</v>
      </c>
      <c r="G301" s="104" t="s">
        <v>374</v>
      </c>
    </row>
    <row r="302" spans="1:7" ht="13">
      <c r="A302" s="99"/>
      <c r="B302" s="99" t="s">
        <v>435</v>
      </c>
      <c r="C302" s="99" t="s">
        <v>306</v>
      </c>
      <c r="E302" s="105">
        <f>35.91+35.9+59.95</f>
        <v>131.76</v>
      </c>
      <c r="F302" s="104" t="s">
        <v>315</v>
      </c>
      <c r="G302" s="104" t="s">
        <v>374</v>
      </c>
    </row>
    <row r="303" spans="1:7" ht="13">
      <c r="A303" s="99"/>
      <c r="B303" s="99" t="s">
        <v>435</v>
      </c>
      <c r="C303" s="99" t="s">
        <v>59</v>
      </c>
      <c r="E303" s="105">
        <f>17.5+46.55+23.12+49.98</f>
        <v>137.15</v>
      </c>
      <c r="F303" s="104" t="s">
        <v>374</v>
      </c>
      <c r="G303" s="104" t="s">
        <v>374</v>
      </c>
    </row>
    <row r="304" spans="1:7" ht="13">
      <c r="A304" s="99"/>
      <c r="B304" s="99" t="s">
        <v>435</v>
      </c>
      <c r="C304" s="99" t="s">
        <v>306</v>
      </c>
      <c r="D304" s="99" t="s">
        <v>443</v>
      </c>
      <c r="E304" s="105">
        <v>52.04</v>
      </c>
      <c r="F304" s="104" t="s">
        <v>315</v>
      </c>
      <c r="G304" s="104" t="s">
        <v>315</v>
      </c>
    </row>
    <row r="305" spans="1:7" ht="13">
      <c r="A305" s="99"/>
      <c r="B305" s="99" t="s">
        <v>435</v>
      </c>
      <c r="C305" s="99" t="s">
        <v>97</v>
      </c>
      <c r="E305" s="105">
        <v>249.82</v>
      </c>
      <c r="F305" s="104" t="s">
        <v>374</v>
      </c>
      <c r="G305" s="104" t="s">
        <v>374</v>
      </c>
    </row>
    <row r="306" spans="1:7" ht="13">
      <c r="A306" s="99"/>
      <c r="B306" s="99" t="s">
        <v>435</v>
      </c>
      <c r="C306" s="99" t="s">
        <v>112</v>
      </c>
      <c r="E306" s="105">
        <v>45.97</v>
      </c>
      <c r="F306" s="104" t="s">
        <v>315</v>
      </c>
      <c r="G306" s="104" t="s">
        <v>374</v>
      </c>
    </row>
    <row r="307" spans="1:7" ht="13">
      <c r="A307" s="99"/>
      <c r="B307" s="99" t="s">
        <v>435</v>
      </c>
      <c r="C307" s="99" t="s">
        <v>59</v>
      </c>
      <c r="D307" s="99" t="s">
        <v>444</v>
      </c>
      <c r="E307" s="105">
        <v>39.42</v>
      </c>
      <c r="F307" s="104" t="s">
        <v>315</v>
      </c>
      <c r="G307" s="104" t="s">
        <v>374</v>
      </c>
    </row>
    <row r="308" spans="1:7" ht="13">
      <c r="A308" s="99"/>
      <c r="B308" s="99" t="s">
        <v>435</v>
      </c>
      <c r="C308" s="99" t="s">
        <v>56</v>
      </c>
      <c r="E308" s="105">
        <f>658.69-90.03</f>
        <v>568.66000000000008</v>
      </c>
      <c r="F308" s="104" t="s">
        <v>374</v>
      </c>
      <c r="G308" s="104" t="s">
        <v>374</v>
      </c>
    </row>
    <row r="309" spans="1:7" ht="13">
      <c r="A309" s="99"/>
      <c r="B309" s="99" t="s">
        <v>435</v>
      </c>
      <c r="C309" s="99" t="s">
        <v>56</v>
      </c>
      <c r="D309" s="99" t="s">
        <v>445</v>
      </c>
      <c r="E309" s="105">
        <v>90.03</v>
      </c>
      <c r="F309" s="104" t="s">
        <v>374</v>
      </c>
      <c r="G309" s="104" t="s">
        <v>315</v>
      </c>
    </row>
    <row r="310" spans="1:7" ht="13">
      <c r="A310" s="99"/>
      <c r="B310" s="99" t="s">
        <v>435</v>
      </c>
      <c r="C310" s="99" t="s">
        <v>97</v>
      </c>
      <c r="D310" s="99" t="s">
        <v>446</v>
      </c>
      <c r="E310" s="105">
        <v>27.86</v>
      </c>
      <c r="F310" s="104" t="s">
        <v>315</v>
      </c>
      <c r="G310" s="104" t="s">
        <v>374</v>
      </c>
    </row>
    <row r="311" spans="1:7" ht="13">
      <c r="A311" s="99"/>
      <c r="B311" s="99" t="s">
        <v>435</v>
      </c>
      <c r="C311" s="99" t="s">
        <v>97</v>
      </c>
      <c r="E311" s="105">
        <f>64.58+105.22</f>
        <v>169.8</v>
      </c>
      <c r="F311" s="104" t="s">
        <v>374</v>
      </c>
      <c r="G311" s="104" t="s">
        <v>374</v>
      </c>
    </row>
    <row r="312" spans="1:7" ht="13">
      <c r="A312" s="99"/>
      <c r="B312" s="99" t="s">
        <v>435</v>
      </c>
      <c r="C312" s="99" t="s">
        <v>59</v>
      </c>
      <c r="D312" s="99" t="s">
        <v>441</v>
      </c>
      <c r="E312" s="105">
        <f>118.07+36.69+52.44</f>
        <v>207.2</v>
      </c>
      <c r="F312" s="104" t="s">
        <v>315</v>
      </c>
      <c r="G312" s="104" t="s">
        <v>374</v>
      </c>
    </row>
    <row r="313" spans="1:7" ht="13">
      <c r="A313" s="99"/>
      <c r="B313" s="99" t="s">
        <v>435</v>
      </c>
      <c r="C313" s="99" t="s">
        <v>59</v>
      </c>
      <c r="D313" s="99" t="s">
        <v>306</v>
      </c>
      <c r="E313" s="105">
        <f>87.31+13.91</f>
        <v>101.22</v>
      </c>
      <c r="F313" s="104" t="s">
        <v>315</v>
      </c>
      <c r="G313" s="104" t="s">
        <v>374</v>
      </c>
    </row>
    <row r="314" spans="1:7" ht="13">
      <c r="A314" s="99"/>
      <c r="B314" s="99" t="s">
        <v>435</v>
      </c>
      <c r="C314" s="99" t="s">
        <v>59</v>
      </c>
      <c r="E314" s="105">
        <f>22.23+20.36</f>
        <v>42.59</v>
      </c>
      <c r="F314" s="104" t="s">
        <v>374</v>
      </c>
      <c r="G314" s="104" t="s">
        <v>374</v>
      </c>
    </row>
    <row r="315" spans="1:7" ht="13">
      <c r="A315" s="99"/>
      <c r="B315" s="99" t="s">
        <v>435</v>
      </c>
      <c r="C315" s="99" t="s">
        <v>57</v>
      </c>
      <c r="E315" s="105">
        <v>677.78</v>
      </c>
      <c r="F315" s="104" t="s">
        <v>374</v>
      </c>
      <c r="G315" s="104" t="s">
        <v>374</v>
      </c>
    </row>
    <row r="316" spans="1:7" ht="13">
      <c r="A316" s="99"/>
      <c r="B316" s="99" t="s">
        <v>435</v>
      </c>
      <c r="C316" s="99" t="s">
        <v>306</v>
      </c>
      <c r="D316" s="99" t="s">
        <v>443</v>
      </c>
      <c r="E316" s="105">
        <v>52.04</v>
      </c>
      <c r="F316" s="104" t="s">
        <v>315</v>
      </c>
      <c r="G316" s="104" t="s">
        <v>315</v>
      </c>
    </row>
    <row r="317" spans="1:7" ht="13">
      <c r="A317" s="99"/>
      <c r="B317" s="99" t="s">
        <v>435</v>
      </c>
      <c r="C317" s="99" t="s">
        <v>56</v>
      </c>
      <c r="E317" s="105">
        <f>1464.69-E318</f>
        <v>1121.73</v>
      </c>
      <c r="F317" s="104" t="s">
        <v>374</v>
      </c>
      <c r="G317" s="104" t="s">
        <v>374</v>
      </c>
    </row>
    <row r="318" spans="1:7" ht="13">
      <c r="A318" s="99"/>
      <c r="B318" s="99" t="s">
        <v>435</v>
      </c>
      <c r="C318" s="99" t="s">
        <v>56</v>
      </c>
      <c r="D318" s="99" t="s">
        <v>445</v>
      </c>
      <c r="E318" s="105">
        <v>342.96</v>
      </c>
      <c r="F318" s="104" t="s">
        <v>374</v>
      </c>
      <c r="G318" s="104" t="s">
        <v>315</v>
      </c>
    </row>
    <row r="319" spans="1:7" ht="13">
      <c r="A319" s="99"/>
      <c r="B319" s="99" t="s">
        <v>435</v>
      </c>
      <c r="C319" s="99" t="s">
        <v>306</v>
      </c>
      <c r="D319" s="99" t="s">
        <v>443</v>
      </c>
      <c r="E319" s="105">
        <v>130.1</v>
      </c>
      <c r="F319" s="104" t="s">
        <v>315</v>
      </c>
      <c r="G319" s="104" t="s">
        <v>315</v>
      </c>
    </row>
    <row r="320" spans="1:7" ht="13">
      <c r="A320" s="99"/>
      <c r="B320" s="99" t="s">
        <v>435</v>
      </c>
      <c r="C320" s="99" t="s">
        <v>57</v>
      </c>
      <c r="E320" s="105">
        <v>1342.85</v>
      </c>
      <c r="F320" s="104" t="s">
        <v>374</v>
      </c>
      <c r="G320" s="104" t="s">
        <v>374</v>
      </c>
    </row>
    <row r="321" spans="1:7" ht="13">
      <c r="A321" s="99"/>
      <c r="B321" s="99" t="s">
        <v>435</v>
      </c>
      <c r="C321" s="99" t="s">
        <v>59</v>
      </c>
      <c r="E321" s="105">
        <f>60.52+20.36+20.36+20.36+20.36+73.48+62.78+20.36+47.67</f>
        <v>346.25000000000006</v>
      </c>
      <c r="F321" s="104" t="s">
        <v>374</v>
      </c>
      <c r="G321" s="104" t="s">
        <v>374</v>
      </c>
    </row>
    <row r="322" spans="1:7" ht="13">
      <c r="A322" s="99"/>
      <c r="B322" s="99" t="s">
        <v>435</v>
      </c>
      <c r="C322" s="99" t="s">
        <v>59</v>
      </c>
      <c r="D322" s="99" t="s">
        <v>446</v>
      </c>
      <c r="E322" s="105">
        <f>24.82+25.79</f>
        <v>50.61</v>
      </c>
      <c r="F322" s="104" t="s">
        <v>315</v>
      </c>
      <c r="G322" s="104" t="s">
        <v>374</v>
      </c>
    </row>
    <row r="323" spans="1:7" ht="13">
      <c r="A323" s="99"/>
      <c r="B323" s="99" t="s">
        <v>435</v>
      </c>
      <c r="C323" s="99" t="s">
        <v>59</v>
      </c>
      <c r="D323" s="99" t="s">
        <v>447</v>
      </c>
      <c r="E323" s="105">
        <f>17.77+44.34+23.72+179.32+16.96+30.38+136.68+40.51+46.69+13.79+44.64+61.38+23.02+64.89+52.74+10.32+19.66</f>
        <v>826.80999999999983</v>
      </c>
      <c r="F323" s="104" t="s">
        <v>315</v>
      </c>
      <c r="G323" s="104" t="s">
        <v>374</v>
      </c>
    </row>
    <row r="324" spans="1:7" ht="13">
      <c r="A324" s="99"/>
      <c r="B324" s="99" t="s">
        <v>435</v>
      </c>
      <c r="C324" s="99" t="s">
        <v>59</v>
      </c>
      <c r="D324" s="99" t="s">
        <v>441</v>
      </c>
      <c r="E324" s="105">
        <f>260.8+76.38+73.38+157.32+23.03</f>
        <v>590.91</v>
      </c>
      <c r="F324" s="104" t="s">
        <v>315</v>
      </c>
      <c r="G324" s="104" t="s">
        <v>374</v>
      </c>
    </row>
    <row r="325" spans="1:7" ht="13">
      <c r="A325" s="99"/>
      <c r="B325" s="99" t="s">
        <v>435</v>
      </c>
      <c r="C325" s="99" t="s">
        <v>448</v>
      </c>
      <c r="D325" s="99" t="s">
        <v>449</v>
      </c>
      <c r="E325" s="105">
        <v>46.86</v>
      </c>
      <c r="F325" s="104" t="s">
        <v>315</v>
      </c>
      <c r="G325" s="104" t="s">
        <v>374</v>
      </c>
    </row>
    <row r="326" spans="1:7" ht="13">
      <c r="A326" s="99"/>
      <c r="B326" s="99" t="s">
        <v>435</v>
      </c>
      <c r="C326" s="99" t="s">
        <v>59</v>
      </c>
      <c r="D326" s="99" t="s">
        <v>306</v>
      </c>
      <c r="E326" s="105">
        <f>594.4+44.44+24.89+42.47+35.48+39.76</f>
        <v>781.43999999999994</v>
      </c>
      <c r="F326" s="104" t="s">
        <v>315</v>
      </c>
      <c r="G326" s="104" t="s">
        <v>374</v>
      </c>
    </row>
    <row r="327" spans="1:7" ht="13">
      <c r="A327" s="99"/>
      <c r="B327" s="99" t="s">
        <v>435</v>
      </c>
      <c r="C327" s="99" t="s">
        <v>97</v>
      </c>
      <c r="E327" s="105">
        <f>140.92+161.84+28.2+43.44+43.37+54.08</f>
        <v>471.84999999999997</v>
      </c>
      <c r="F327" s="104" t="s">
        <v>374</v>
      </c>
      <c r="G327" s="104" t="s">
        <v>374</v>
      </c>
    </row>
    <row r="328" spans="1:7" ht="13">
      <c r="A328" s="99"/>
      <c r="B328" s="99" t="s">
        <v>435</v>
      </c>
      <c r="C328" s="99" t="s">
        <v>97</v>
      </c>
      <c r="D328" s="99" t="s">
        <v>306</v>
      </c>
      <c r="E328" s="105">
        <f>226.2+55.18+24.66+86.34+102.48</f>
        <v>494.86</v>
      </c>
      <c r="F328" s="104" t="s">
        <v>315</v>
      </c>
      <c r="G328" s="104" t="s">
        <v>374</v>
      </c>
    </row>
    <row r="329" spans="1:7" ht="13">
      <c r="A329" s="99"/>
      <c r="B329" s="99" t="s">
        <v>435</v>
      </c>
      <c r="C329" s="99" t="s">
        <v>56</v>
      </c>
      <c r="E329" s="105">
        <v>353.63</v>
      </c>
      <c r="F329" s="104" t="s">
        <v>374</v>
      </c>
      <c r="G329" s="104" t="s">
        <v>374</v>
      </c>
    </row>
    <row r="330" spans="1:7" ht="13">
      <c r="A330" s="99"/>
      <c r="B330" s="99" t="s">
        <v>55</v>
      </c>
      <c r="C330" s="99" t="s">
        <v>97</v>
      </c>
      <c r="D330" s="99" t="s">
        <v>306</v>
      </c>
      <c r="E330" s="105">
        <f>32.06+28.44+43</f>
        <v>103.5</v>
      </c>
      <c r="F330" s="104" t="s">
        <v>315</v>
      </c>
      <c r="G330" s="104" t="s">
        <v>374</v>
      </c>
    </row>
    <row r="331" spans="1:7" ht="13">
      <c r="A331" s="99"/>
      <c r="B331" s="99" t="s">
        <v>435</v>
      </c>
      <c r="C331" s="99" t="s">
        <v>97</v>
      </c>
      <c r="D331" s="99" t="s">
        <v>450</v>
      </c>
      <c r="E331" s="105">
        <f>112.08+112.08+144.2</f>
        <v>368.36</v>
      </c>
      <c r="F331" s="104" t="s">
        <v>315</v>
      </c>
      <c r="G331" s="104" t="s">
        <v>374</v>
      </c>
    </row>
    <row r="332" spans="1:7" ht="13">
      <c r="A332" s="99"/>
      <c r="B332" s="99" t="s">
        <v>435</v>
      </c>
      <c r="C332" s="99" t="s">
        <v>97</v>
      </c>
      <c r="E332" s="105">
        <f>246.2+26.19+28.2</f>
        <v>300.58999999999997</v>
      </c>
      <c r="F332" s="104" t="s">
        <v>374</v>
      </c>
      <c r="G332" s="104" t="s">
        <v>374</v>
      </c>
    </row>
    <row r="333" spans="1:7" ht="13">
      <c r="A333" s="99"/>
      <c r="B333" s="99" t="s">
        <v>55</v>
      </c>
      <c r="C333" s="99" t="s">
        <v>59</v>
      </c>
      <c r="D333" s="99" t="s">
        <v>446</v>
      </c>
      <c r="E333" s="105">
        <v>24.16</v>
      </c>
      <c r="F333" s="104" t="s">
        <v>315</v>
      </c>
      <c r="G333" s="104" t="s">
        <v>374</v>
      </c>
    </row>
    <row r="334" spans="1:7" ht="13">
      <c r="A334" s="99"/>
      <c r="B334" s="99" t="s">
        <v>435</v>
      </c>
      <c r="C334" s="99" t="s">
        <v>59</v>
      </c>
      <c r="E334" s="105">
        <v>20.36</v>
      </c>
      <c r="F334" s="104" t="s">
        <v>374</v>
      </c>
      <c r="G334" s="104" t="s">
        <v>374</v>
      </c>
    </row>
    <row r="335" spans="1:7" ht="13">
      <c r="A335" s="99"/>
      <c r="B335" s="99" t="s">
        <v>435</v>
      </c>
      <c r="C335" s="99" t="s">
        <v>97</v>
      </c>
      <c r="E335" s="105">
        <v>86.94</v>
      </c>
      <c r="F335" s="104" t="s">
        <v>374</v>
      </c>
      <c r="G335" s="104" t="s">
        <v>374</v>
      </c>
    </row>
    <row r="336" spans="1:7" ht="13">
      <c r="A336" s="99"/>
      <c r="B336" s="99" t="s">
        <v>435</v>
      </c>
      <c r="C336" s="99" t="s">
        <v>338</v>
      </c>
      <c r="E336" s="105">
        <v>40.72</v>
      </c>
      <c r="F336" s="104" t="s">
        <v>374</v>
      </c>
      <c r="G336" s="104" t="s">
        <v>374</v>
      </c>
    </row>
    <row r="337" spans="1:7" ht="13">
      <c r="A337" s="99"/>
      <c r="B337" s="99" t="s">
        <v>435</v>
      </c>
      <c r="C337" s="99" t="s">
        <v>448</v>
      </c>
      <c r="E337" s="105">
        <v>145.72</v>
      </c>
      <c r="F337" s="104" t="s">
        <v>374</v>
      </c>
      <c r="G337" s="104" t="s">
        <v>374</v>
      </c>
    </row>
    <row r="338" spans="1:7" ht="13">
      <c r="A338" s="99"/>
      <c r="B338" s="99" t="s">
        <v>435</v>
      </c>
      <c r="C338" s="99" t="s">
        <v>57</v>
      </c>
      <c r="D338" s="99" t="s">
        <v>451</v>
      </c>
      <c r="E338" s="105">
        <v>15.79</v>
      </c>
      <c r="F338" s="104" t="s">
        <v>374</v>
      </c>
      <c r="G338" s="104" t="s">
        <v>315</v>
      </c>
    </row>
    <row r="339" spans="1:7" ht="13">
      <c r="A339" s="99"/>
      <c r="B339" s="99" t="s">
        <v>435</v>
      </c>
      <c r="C339" s="99" t="s">
        <v>57</v>
      </c>
      <c r="D339" s="99" t="s">
        <v>449</v>
      </c>
      <c r="E339" s="105">
        <v>18.260000000000002</v>
      </c>
      <c r="F339" s="104" t="s">
        <v>315</v>
      </c>
      <c r="G339" s="104" t="s">
        <v>374</v>
      </c>
    </row>
    <row r="340" spans="1:7" ht="13">
      <c r="A340" s="99"/>
      <c r="B340" s="99" t="s">
        <v>55</v>
      </c>
      <c r="C340" s="99" t="s">
        <v>57</v>
      </c>
      <c r="E340" s="105">
        <f>180.57-E339-E338</f>
        <v>146.52000000000001</v>
      </c>
      <c r="F340" s="104" t="s">
        <v>374</v>
      </c>
      <c r="G340" s="104" t="s">
        <v>374</v>
      </c>
    </row>
    <row r="341" spans="1:7" ht="13">
      <c r="A341" s="99"/>
      <c r="B341" s="99" t="s">
        <v>55</v>
      </c>
      <c r="C341" s="99" t="s">
        <v>59</v>
      </c>
      <c r="E341" s="105">
        <v>58.95</v>
      </c>
      <c r="F341" s="104" t="s">
        <v>374</v>
      </c>
      <c r="G341" s="104" t="s">
        <v>374</v>
      </c>
    </row>
    <row r="342" spans="1:7" ht="13">
      <c r="A342" s="99"/>
      <c r="B342" s="99" t="s">
        <v>435</v>
      </c>
      <c r="C342" s="99" t="s">
        <v>57</v>
      </c>
      <c r="E342" s="105">
        <v>29.15</v>
      </c>
      <c r="F342" s="104" t="s">
        <v>374</v>
      </c>
      <c r="G342" s="104" t="s">
        <v>374</v>
      </c>
    </row>
    <row r="343" spans="1:7" ht="13">
      <c r="A343" s="99"/>
      <c r="B343" s="99" t="s">
        <v>435</v>
      </c>
      <c r="C343" s="99" t="s">
        <v>306</v>
      </c>
      <c r="D343" s="99" t="s">
        <v>443</v>
      </c>
      <c r="E343" s="105">
        <v>104.08</v>
      </c>
      <c r="F343" s="104" t="s">
        <v>315</v>
      </c>
      <c r="G343" s="104" t="s">
        <v>315</v>
      </c>
    </row>
    <row r="344" spans="1:7" ht="13">
      <c r="A344" s="99"/>
      <c r="B344" s="99" t="s">
        <v>435</v>
      </c>
      <c r="C344" s="99" t="s">
        <v>56</v>
      </c>
      <c r="E344" s="105">
        <v>852.8</v>
      </c>
      <c r="F344" s="104" t="s">
        <v>374</v>
      </c>
      <c r="G344" s="104" t="s">
        <v>374</v>
      </c>
    </row>
    <row r="345" spans="1:7" ht="13">
      <c r="A345" s="99"/>
      <c r="B345" s="99" t="s">
        <v>435</v>
      </c>
      <c r="C345" s="99" t="s">
        <v>97</v>
      </c>
      <c r="D345" s="99" t="s">
        <v>306</v>
      </c>
      <c r="E345" s="105">
        <f>24.66+27.86</f>
        <v>52.519999999999996</v>
      </c>
      <c r="F345" s="104" t="s">
        <v>315</v>
      </c>
      <c r="G345" s="104" t="s">
        <v>374</v>
      </c>
    </row>
    <row r="346" spans="1:7" ht="13">
      <c r="A346" s="99"/>
      <c r="B346" s="99" t="s">
        <v>435</v>
      </c>
      <c r="C346" s="99" t="s">
        <v>97</v>
      </c>
      <c r="E346" s="105">
        <f>632.34-E345</f>
        <v>579.82000000000005</v>
      </c>
      <c r="F346" s="104" t="s">
        <v>374</v>
      </c>
      <c r="G346" s="104" t="s">
        <v>374</v>
      </c>
    </row>
    <row r="347" spans="1:7" ht="13">
      <c r="A347" s="99"/>
      <c r="B347" s="99" t="s">
        <v>435</v>
      </c>
      <c r="C347" s="99" t="s">
        <v>338</v>
      </c>
      <c r="E347" s="105">
        <v>40.08</v>
      </c>
      <c r="F347" s="104" t="s">
        <v>374</v>
      </c>
      <c r="G347" s="104" t="s">
        <v>374</v>
      </c>
    </row>
    <row r="348" spans="1:7" ht="13">
      <c r="A348" s="99"/>
      <c r="B348" s="99" t="s">
        <v>435</v>
      </c>
      <c r="C348" s="99" t="s">
        <v>59</v>
      </c>
      <c r="D348" s="99" t="s">
        <v>446</v>
      </c>
      <c r="E348" s="105">
        <f>25.79</f>
        <v>25.79</v>
      </c>
      <c r="F348" s="104" t="s">
        <v>315</v>
      </c>
      <c r="G348" s="104" t="s">
        <v>374</v>
      </c>
    </row>
    <row r="349" spans="1:7" ht="13">
      <c r="A349" s="99"/>
      <c r="B349" s="99" t="s">
        <v>435</v>
      </c>
      <c r="C349" s="99" t="s">
        <v>59</v>
      </c>
      <c r="D349" s="99" t="s">
        <v>444</v>
      </c>
      <c r="E349" s="105">
        <f>14.25+34.34</f>
        <v>48.59</v>
      </c>
      <c r="F349" s="104" t="s">
        <v>315</v>
      </c>
      <c r="G349" s="104" t="s">
        <v>374</v>
      </c>
    </row>
    <row r="350" spans="1:7" ht="13">
      <c r="A350" s="99"/>
      <c r="B350" s="99" t="s">
        <v>435</v>
      </c>
      <c r="C350" s="99" t="s">
        <v>59</v>
      </c>
      <c r="D350" s="99" t="s">
        <v>306</v>
      </c>
      <c r="E350" s="105">
        <f>27.82+35.91+4.8+17.79</f>
        <v>86.32</v>
      </c>
      <c r="F350" s="104" t="s">
        <v>315</v>
      </c>
      <c r="G350" s="104" t="s">
        <v>374</v>
      </c>
    </row>
    <row r="351" spans="1:7" ht="13">
      <c r="A351" s="99"/>
      <c r="B351" s="99" t="s">
        <v>435</v>
      </c>
      <c r="C351" s="99" t="s">
        <v>448</v>
      </c>
      <c r="D351" s="99" t="s">
        <v>441</v>
      </c>
      <c r="E351" s="105">
        <f>27+65.2</f>
        <v>92.2</v>
      </c>
      <c r="F351" s="104" t="s">
        <v>315</v>
      </c>
      <c r="G351" s="104" t="s">
        <v>374</v>
      </c>
    </row>
    <row r="352" spans="1:7" ht="13">
      <c r="A352" s="99"/>
      <c r="B352" s="99" t="s">
        <v>435</v>
      </c>
      <c r="C352" s="99" t="s">
        <v>448</v>
      </c>
      <c r="D352" s="99" t="s">
        <v>447</v>
      </c>
      <c r="E352" s="105">
        <v>23.6</v>
      </c>
      <c r="F352" s="104" t="s">
        <v>315</v>
      </c>
      <c r="G352" s="104" t="s">
        <v>374</v>
      </c>
    </row>
    <row r="353" spans="1:7" ht="13">
      <c r="A353" s="99"/>
      <c r="B353" s="99" t="s">
        <v>435</v>
      </c>
      <c r="C353" s="99" t="s">
        <v>448</v>
      </c>
      <c r="E353" s="105">
        <f>489.66-E348-E349-E350-E351-E352</f>
        <v>213.16</v>
      </c>
      <c r="F353" s="104" t="s">
        <v>374</v>
      </c>
      <c r="G353" s="104" t="s">
        <v>374</v>
      </c>
    </row>
    <row r="354" spans="1:7" ht="13">
      <c r="A354" s="99"/>
      <c r="B354" s="99" t="s">
        <v>435</v>
      </c>
      <c r="C354" s="99" t="s">
        <v>57</v>
      </c>
      <c r="E354" s="105">
        <v>722.68</v>
      </c>
      <c r="F354" s="104" t="s">
        <v>374</v>
      </c>
      <c r="G354" s="104" t="s">
        <v>374</v>
      </c>
    </row>
    <row r="355" spans="1:7" ht="13">
      <c r="A355" s="99"/>
      <c r="B355" s="99" t="s">
        <v>435</v>
      </c>
      <c r="C355" s="99" t="s">
        <v>338</v>
      </c>
      <c r="E355" s="105">
        <v>47.43</v>
      </c>
      <c r="F355" s="104" t="s">
        <v>374</v>
      </c>
      <c r="G355" s="104" t="s">
        <v>374</v>
      </c>
    </row>
    <row r="356" spans="1:7" ht="13">
      <c r="A356" s="99"/>
      <c r="B356" s="99" t="s">
        <v>435</v>
      </c>
      <c r="C356" s="99" t="s">
        <v>59</v>
      </c>
      <c r="E356" s="105">
        <v>34.21</v>
      </c>
      <c r="F356" s="104" t="s">
        <v>374</v>
      </c>
      <c r="G356" s="104" t="s">
        <v>374</v>
      </c>
    </row>
    <row r="357" spans="1:7" ht="13">
      <c r="A357" s="99"/>
      <c r="B357" s="99" t="s">
        <v>435</v>
      </c>
      <c r="C357" s="99" t="s">
        <v>97</v>
      </c>
      <c r="D357" s="99" t="s">
        <v>306</v>
      </c>
      <c r="E357" s="105">
        <v>58.03</v>
      </c>
      <c r="F357" s="104" t="s">
        <v>315</v>
      </c>
      <c r="G357" s="104" t="s">
        <v>374</v>
      </c>
    </row>
    <row r="358" spans="1:7" ht="13">
      <c r="A358" s="99"/>
      <c r="B358" s="99" t="s">
        <v>435</v>
      </c>
      <c r="C358" s="99" t="s">
        <v>97</v>
      </c>
      <c r="E358" s="105">
        <f>247.11-E357</f>
        <v>189.08</v>
      </c>
      <c r="F358" s="104" t="s">
        <v>374</v>
      </c>
      <c r="G358" s="104" t="s">
        <v>374</v>
      </c>
    </row>
    <row r="359" spans="1:7" ht="13">
      <c r="A359" s="99"/>
      <c r="B359" s="99" t="s">
        <v>435</v>
      </c>
      <c r="C359" s="99" t="s">
        <v>59</v>
      </c>
      <c r="D359" s="99" t="s">
        <v>306</v>
      </c>
      <c r="E359" s="105">
        <f>140.72-46.47</f>
        <v>94.25</v>
      </c>
      <c r="F359" s="104" t="s">
        <v>315</v>
      </c>
      <c r="G359" s="104" t="s">
        <v>374</v>
      </c>
    </row>
    <row r="360" spans="1:7" ht="13">
      <c r="A360" s="99"/>
      <c r="B360" s="99" t="s">
        <v>435</v>
      </c>
      <c r="C360" s="99" t="s">
        <v>59</v>
      </c>
      <c r="E360" s="105">
        <f>140.72-E359</f>
        <v>46.47</v>
      </c>
      <c r="F360" s="104" t="s">
        <v>374</v>
      </c>
      <c r="G360" s="104" t="s">
        <v>374</v>
      </c>
    </row>
    <row r="361" spans="1:7" ht="13">
      <c r="A361" s="99"/>
      <c r="B361" s="99" t="s">
        <v>435</v>
      </c>
      <c r="C361" s="99" t="s">
        <v>57</v>
      </c>
      <c r="D361" s="99" t="s">
        <v>449</v>
      </c>
      <c r="E361" s="105">
        <f>166.36-56.84</f>
        <v>109.52000000000001</v>
      </c>
      <c r="F361" s="104" t="s">
        <v>315</v>
      </c>
      <c r="G361" s="104" t="s">
        <v>374</v>
      </c>
    </row>
    <row r="362" spans="1:7" ht="13">
      <c r="A362" s="99"/>
      <c r="B362" s="99" t="s">
        <v>435</v>
      </c>
      <c r="C362" s="99" t="s">
        <v>57</v>
      </c>
      <c r="D362" s="99"/>
      <c r="E362" s="105">
        <v>56.84</v>
      </c>
      <c r="F362" s="104" t="s">
        <v>374</v>
      </c>
      <c r="G362" s="104" t="s">
        <v>374</v>
      </c>
    </row>
    <row r="363" spans="1:7" ht="13">
      <c r="A363" s="99"/>
      <c r="B363" s="99" t="s">
        <v>435</v>
      </c>
      <c r="C363" s="99" t="s">
        <v>97</v>
      </c>
      <c r="D363" s="99" t="s">
        <v>306</v>
      </c>
      <c r="E363" s="105">
        <v>161.13999999999999</v>
      </c>
      <c r="F363" s="104" t="s">
        <v>315</v>
      </c>
      <c r="G363" s="104" t="s">
        <v>374</v>
      </c>
    </row>
    <row r="364" spans="1:7" ht="13">
      <c r="A364" s="99"/>
      <c r="B364" s="99" t="s">
        <v>435</v>
      </c>
      <c r="C364" s="99" t="s">
        <v>338</v>
      </c>
      <c r="E364" s="105">
        <f>187.98+49.41</f>
        <v>237.39</v>
      </c>
      <c r="F364" s="104" t="s">
        <v>374</v>
      </c>
      <c r="G364" s="104" t="s">
        <v>374</v>
      </c>
    </row>
    <row r="365" spans="1:7" ht="13">
      <c r="A365" s="99"/>
      <c r="B365" s="99" t="s">
        <v>435</v>
      </c>
      <c r="C365" s="99" t="s">
        <v>59</v>
      </c>
      <c r="E365" s="105">
        <v>35.380000000000003</v>
      </c>
      <c r="F365" s="104" t="s">
        <v>374</v>
      </c>
      <c r="G365" s="104" t="s">
        <v>374</v>
      </c>
    </row>
    <row r="366" spans="1:7" ht="13">
      <c r="A366" s="99"/>
      <c r="B366" s="99" t="s">
        <v>435</v>
      </c>
      <c r="C366" s="99" t="s">
        <v>306</v>
      </c>
      <c r="D366" s="99" t="s">
        <v>443</v>
      </c>
      <c r="E366" s="105">
        <v>104.08</v>
      </c>
      <c r="F366" s="104" t="s">
        <v>315</v>
      </c>
      <c r="G366" s="104" t="s">
        <v>315</v>
      </c>
    </row>
    <row r="367" spans="1:7" ht="13">
      <c r="A367" s="99"/>
      <c r="B367" s="99" t="s">
        <v>435</v>
      </c>
      <c r="C367" s="99" t="s">
        <v>56</v>
      </c>
      <c r="E367" s="105">
        <f>1110.58-171.48</f>
        <v>939.09999999999991</v>
      </c>
      <c r="F367" s="104" t="s">
        <v>374</v>
      </c>
      <c r="G367" s="104" t="s">
        <v>374</v>
      </c>
    </row>
    <row r="368" spans="1:7" ht="13">
      <c r="A368" s="99"/>
      <c r="B368" s="99" t="s">
        <v>435</v>
      </c>
      <c r="C368" s="99" t="s">
        <v>56</v>
      </c>
      <c r="D368" s="99" t="s">
        <v>452</v>
      </c>
      <c r="E368" s="105">
        <v>171.48</v>
      </c>
      <c r="F368" s="104" t="s">
        <v>374</v>
      </c>
      <c r="G368" s="104" t="s">
        <v>315</v>
      </c>
    </row>
    <row r="369" spans="1:7" ht="13">
      <c r="A369" s="99"/>
      <c r="B369" s="99" t="s">
        <v>435</v>
      </c>
      <c r="C369" s="99" t="s">
        <v>70</v>
      </c>
      <c r="E369" s="105">
        <v>325.76</v>
      </c>
      <c r="F369" s="104" t="s">
        <v>374</v>
      </c>
      <c r="G369" s="104" t="s">
        <v>374</v>
      </c>
    </row>
    <row r="370" spans="1:7" ht="13">
      <c r="A370" s="99"/>
      <c r="B370" s="99" t="s">
        <v>435</v>
      </c>
      <c r="C370" s="99" t="s">
        <v>97</v>
      </c>
      <c r="D370" s="99" t="s">
        <v>306</v>
      </c>
      <c r="E370" s="105">
        <f>60.63+128.68+76.86+55.72</f>
        <v>321.89</v>
      </c>
      <c r="F370" s="104" t="s">
        <v>315</v>
      </c>
      <c r="G370" s="104" t="s">
        <v>374</v>
      </c>
    </row>
    <row r="371" spans="1:7" ht="13">
      <c r="A371" s="99"/>
      <c r="B371" s="99" t="s">
        <v>435</v>
      </c>
      <c r="C371" s="99" t="s">
        <v>97</v>
      </c>
      <c r="E371" s="105">
        <f>622.57-E370</f>
        <v>300.68000000000006</v>
      </c>
      <c r="F371" s="104" t="s">
        <v>374</v>
      </c>
      <c r="G371" s="104" t="s">
        <v>374</v>
      </c>
    </row>
    <row r="372" spans="1:7" ht="13">
      <c r="A372" s="99"/>
      <c r="B372" s="99" t="s">
        <v>435</v>
      </c>
      <c r="C372" s="99" t="s">
        <v>59</v>
      </c>
      <c r="D372" s="99" t="s">
        <v>446</v>
      </c>
      <c r="E372" s="105">
        <f>(25.79*2)+24.82+24.16</f>
        <v>100.56</v>
      </c>
      <c r="F372" s="104" t="s">
        <v>315</v>
      </c>
      <c r="G372" s="104" t="s">
        <v>374</v>
      </c>
    </row>
    <row r="373" spans="1:7" ht="13">
      <c r="A373" s="99"/>
      <c r="B373" s="99" t="s">
        <v>55</v>
      </c>
      <c r="C373" s="99" t="s">
        <v>59</v>
      </c>
      <c r="D373" s="99" t="s">
        <v>444</v>
      </c>
      <c r="E373" s="105">
        <f>28.5+34.34+16.74+39.02</f>
        <v>118.6</v>
      </c>
      <c r="F373" s="104" t="s">
        <v>315</v>
      </c>
      <c r="G373" s="104" t="s">
        <v>374</v>
      </c>
    </row>
    <row r="374" spans="1:7" ht="13">
      <c r="A374" s="99"/>
      <c r="B374" s="99" t="s">
        <v>55</v>
      </c>
      <c r="C374" s="99" t="s">
        <v>59</v>
      </c>
      <c r="D374" s="99" t="s">
        <v>453</v>
      </c>
      <c r="E374" s="105">
        <v>46.86</v>
      </c>
      <c r="F374" s="104" t="s">
        <v>315</v>
      </c>
      <c r="G374" s="104" t="s">
        <v>374</v>
      </c>
    </row>
    <row r="375" spans="1:7" ht="13">
      <c r="A375" s="99"/>
      <c r="B375" s="99" t="s">
        <v>55</v>
      </c>
      <c r="C375" s="99" t="s">
        <v>59</v>
      </c>
      <c r="D375" s="99" t="s">
        <v>306</v>
      </c>
      <c r="E375" s="105">
        <f>55.52+46.38+29.52+24.39+25.67+24.17+42.47+75.21</f>
        <v>323.33000000000004</v>
      </c>
      <c r="F375" s="104" t="s">
        <v>315</v>
      </c>
      <c r="G375" s="104" t="s">
        <v>374</v>
      </c>
    </row>
    <row r="376" spans="1:7" ht="13">
      <c r="A376" s="99"/>
      <c r="B376" s="99" t="s">
        <v>435</v>
      </c>
      <c r="C376" s="99" t="s">
        <v>59</v>
      </c>
      <c r="D376" s="99" t="s">
        <v>441</v>
      </c>
      <c r="E376" s="105">
        <f>18.87+314.64+260.8+23.03+77.18</f>
        <v>694.52</v>
      </c>
      <c r="F376" s="104" t="s">
        <v>315</v>
      </c>
      <c r="G376" s="104" t="s">
        <v>374</v>
      </c>
    </row>
    <row r="377" spans="1:7" ht="13">
      <c r="A377" s="99"/>
      <c r="B377" s="99" t="s">
        <v>435</v>
      </c>
      <c r="C377" s="99" t="s">
        <v>59</v>
      </c>
      <c r="E377" s="105">
        <f>1598.37-E372-E373-E374-E375-E376</f>
        <v>314.50000000000011</v>
      </c>
      <c r="F377" s="104" t="s">
        <v>374</v>
      </c>
      <c r="G377" s="104" t="s">
        <v>374</v>
      </c>
    </row>
    <row r="378" spans="1:7" ht="13">
      <c r="A378" s="99"/>
      <c r="B378" s="99" t="s">
        <v>435</v>
      </c>
      <c r="C378" s="99" t="s">
        <v>57</v>
      </c>
      <c r="E378" s="105">
        <v>1263.74</v>
      </c>
      <c r="F378" s="104" t="s">
        <v>374</v>
      </c>
      <c r="G378" s="104" t="s">
        <v>374</v>
      </c>
    </row>
    <row r="379" spans="1:7" ht="13">
      <c r="A379" s="99"/>
      <c r="B379" s="99" t="s">
        <v>64</v>
      </c>
      <c r="C379" s="99" t="s">
        <v>338</v>
      </c>
      <c r="E379" s="105">
        <v>626.78</v>
      </c>
      <c r="F379" s="104" t="s">
        <v>374</v>
      </c>
      <c r="G379" s="104" t="s">
        <v>374</v>
      </c>
    </row>
    <row r="380" spans="1:7" ht="13">
      <c r="A380" s="99"/>
      <c r="B380" s="99" t="s">
        <v>64</v>
      </c>
      <c r="C380" s="99" t="s">
        <v>338</v>
      </c>
      <c r="E380" s="105">
        <f>200.72</f>
        <v>200.72</v>
      </c>
      <c r="F380" s="104" t="s">
        <v>374</v>
      </c>
      <c r="G380" s="104" t="s">
        <v>374</v>
      </c>
    </row>
    <row r="381" spans="1:7" ht="13">
      <c r="A381" s="99"/>
      <c r="B381" s="99" t="s">
        <v>64</v>
      </c>
      <c r="C381" s="99" t="s">
        <v>338</v>
      </c>
      <c r="E381" s="105">
        <v>376.96</v>
      </c>
      <c r="F381" s="104" t="s">
        <v>374</v>
      </c>
      <c r="G381" s="104" t="s">
        <v>374</v>
      </c>
    </row>
    <row r="382" spans="1:7" ht="13">
      <c r="A382" s="99"/>
      <c r="B382" s="99" t="s">
        <v>125</v>
      </c>
      <c r="C382" s="99" t="s">
        <v>341</v>
      </c>
      <c r="E382" s="105">
        <v>69.680000000000007</v>
      </c>
      <c r="F382" s="104" t="s">
        <v>374</v>
      </c>
      <c r="G382" s="104" t="s">
        <v>374</v>
      </c>
    </row>
    <row r="383" spans="1:7" ht="13">
      <c r="A383" s="99"/>
      <c r="B383" s="99" t="s">
        <v>125</v>
      </c>
      <c r="C383" s="99" t="s">
        <v>341</v>
      </c>
      <c r="E383" s="105">
        <v>107.19</v>
      </c>
      <c r="F383" s="104" t="s">
        <v>374</v>
      </c>
      <c r="G383" s="104" t="s">
        <v>374</v>
      </c>
    </row>
    <row r="384" spans="1:7" ht="13">
      <c r="A384" s="99"/>
      <c r="B384" s="99" t="s">
        <v>125</v>
      </c>
      <c r="C384" s="99" t="s">
        <v>341</v>
      </c>
      <c r="E384" s="105">
        <v>182.37</v>
      </c>
      <c r="F384" s="104" t="s">
        <v>374</v>
      </c>
      <c r="G384" s="104" t="s">
        <v>374</v>
      </c>
    </row>
    <row r="385" spans="1:7" ht="13">
      <c r="A385" s="99"/>
      <c r="B385" s="99" t="s">
        <v>454</v>
      </c>
      <c r="C385" s="99" t="s">
        <v>57</v>
      </c>
      <c r="E385" s="105">
        <v>11.04</v>
      </c>
      <c r="F385" s="104" t="s">
        <v>374</v>
      </c>
      <c r="G385" s="104" t="s">
        <v>374</v>
      </c>
    </row>
    <row r="386" spans="1:7" ht="13">
      <c r="A386" s="99"/>
      <c r="B386" s="99" t="s">
        <v>454</v>
      </c>
      <c r="C386" s="99" t="s">
        <v>159</v>
      </c>
      <c r="E386" s="105">
        <v>12.75</v>
      </c>
      <c r="F386" s="104" t="s">
        <v>315</v>
      </c>
      <c r="G386" s="104" t="s">
        <v>374</v>
      </c>
    </row>
    <row r="387" spans="1:7" ht="13">
      <c r="A387" s="99"/>
      <c r="B387" s="99" t="s">
        <v>454</v>
      </c>
      <c r="C387" s="99" t="s">
        <v>384</v>
      </c>
      <c r="E387" s="105">
        <v>23.6</v>
      </c>
      <c r="F387" s="104" t="s">
        <v>374</v>
      </c>
      <c r="G387" s="104" t="s">
        <v>374</v>
      </c>
    </row>
    <row r="388" spans="1:7" ht="13">
      <c r="A388" s="99"/>
      <c r="B388" s="99" t="s">
        <v>454</v>
      </c>
      <c r="C388" s="99" t="s">
        <v>57</v>
      </c>
      <c r="E388" s="105">
        <v>43.68</v>
      </c>
      <c r="F388" s="104" t="s">
        <v>374</v>
      </c>
      <c r="G388" s="104" t="s">
        <v>374</v>
      </c>
    </row>
    <row r="389" spans="1:7" ht="13">
      <c r="A389" s="99"/>
      <c r="B389" s="99" t="s">
        <v>454</v>
      </c>
      <c r="C389" s="99" t="s">
        <v>449</v>
      </c>
      <c r="E389" s="105">
        <v>21.19</v>
      </c>
      <c r="F389" s="104" t="s">
        <v>315</v>
      </c>
      <c r="G389" s="104" t="s">
        <v>374</v>
      </c>
    </row>
    <row r="390" spans="1:7" ht="13">
      <c r="A390" s="99"/>
      <c r="B390" s="99" t="s">
        <v>454</v>
      </c>
      <c r="C390" s="99" t="s">
        <v>384</v>
      </c>
      <c r="E390" s="105">
        <f>1718.21-8.5-11.5-26.7-25.68</f>
        <v>1645.83</v>
      </c>
      <c r="F390" s="104" t="s">
        <v>374</v>
      </c>
      <c r="G390" s="104" t="s">
        <v>374</v>
      </c>
    </row>
    <row r="391" spans="1:7" ht="13">
      <c r="A391" s="99"/>
      <c r="B391" s="99" t="s">
        <v>454</v>
      </c>
      <c r="C391" s="99" t="s">
        <v>384</v>
      </c>
      <c r="E391" s="105">
        <f>2726.7-6.23-14.16-25.92-32.28-22.8-47.22-5.28-5.22-18.9-16.28-16.52-14.68-23.47-11.44-26.88-61.81</f>
        <v>2377.6099999999997</v>
      </c>
      <c r="F391" s="104" t="s">
        <v>374</v>
      </c>
      <c r="G391" s="104" t="s">
        <v>374</v>
      </c>
    </row>
    <row r="392" spans="1:7" ht="13">
      <c r="A392" s="99"/>
      <c r="B392" s="99" t="s">
        <v>455</v>
      </c>
      <c r="C392" s="99" t="s">
        <v>56</v>
      </c>
      <c r="D392" s="99" t="s">
        <v>105</v>
      </c>
      <c r="E392" s="105">
        <v>1802.28</v>
      </c>
      <c r="F392" s="104" t="s">
        <v>374</v>
      </c>
      <c r="G392" s="104" t="s">
        <v>315</v>
      </c>
    </row>
    <row r="393" spans="1:7" ht="13">
      <c r="A393" s="99"/>
      <c r="B393" s="99" t="s">
        <v>456</v>
      </c>
      <c r="C393" s="99" t="s">
        <v>338</v>
      </c>
      <c r="E393" s="105">
        <v>572.74</v>
      </c>
      <c r="F393" s="104" t="s">
        <v>374</v>
      </c>
      <c r="G393" s="104" t="s">
        <v>374</v>
      </c>
    </row>
    <row r="394" spans="1:7" ht="13">
      <c r="A394" s="99"/>
      <c r="B394" s="99" t="s">
        <v>456</v>
      </c>
      <c r="C394" s="99" t="s">
        <v>338</v>
      </c>
      <c r="E394" s="105">
        <v>388.95</v>
      </c>
      <c r="F394" s="104" t="s">
        <v>374</v>
      </c>
      <c r="G394" s="104" t="s">
        <v>374</v>
      </c>
    </row>
    <row r="395" spans="1:7" ht="13">
      <c r="A395" s="99"/>
      <c r="B395" s="99" t="s">
        <v>456</v>
      </c>
      <c r="C395" s="99" t="s">
        <v>338</v>
      </c>
      <c r="E395" s="105">
        <v>616.85</v>
      </c>
      <c r="F395" s="104" t="s">
        <v>374</v>
      </c>
      <c r="G395" s="104" t="s">
        <v>374</v>
      </c>
    </row>
    <row r="396" spans="1:7" ht="13">
      <c r="A396" s="99"/>
      <c r="B396" s="99" t="s">
        <v>456</v>
      </c>
      <c r="C396" s="99" t="s">
        <v>338</v>
      </c>
      <c r="E396" s="105">
        <v>639.85</v>
      </c>
      <c r="F396" s="104" t="s">
        <v>374</v>
      </c>
      <c r="G396" s="104" t="s">
        <v>374</v>
      </c>
    </row>
    <row r="397" spans="1:7" ht="13">
      <c r="A397" s="99"/>
      <c r="B397" s="99" t="s">
        <v>86</v>
      </c>
      <c r="C397" s="99" t="s">
        <v>57</v>
      </c>
      <c r="E397" s="105">
        <f>44.21+37.21</f>
        <v>81.42</v>
      </c>
      <c r="F397" s="104" t="s">
        <v>374</v>
      </c>
      <c r="G397" s="104" t="s">
        <v>374</v>
      </c>
    </row>
    <row r="398" spans="1:7" ht="13">
      <c r="A398" s="99"/>
      <c r="B398" s="99" t="s">
        <v>86</v>
      </c>
      <c r="C398" s="99" t="s">
        <v>59</v>
      </c>
      <c r="E398" s="105">
        <v>23.46</v>
      </c>
      <c r="F398" s="104" t="s">
        <v>374</v>
      </c>
      <c r="G398" s="104" t="s">
        <v>374</v>
      </c>
    </row>
    <row r="399" spans="1:7" ht="13">
      <c r="A399" s="99"/>
      <c r="B399" s="99" t="s">
        <v>86</v>
      </c>
      <c r="C399" s="99" t="s">
        <v>112</v>
      </c>
      <c r="D399" s="99" t="s">
        <v>362</v>
      </c>
      <c r="E399" s="105">
        <f>152.6+64+36.3+96.6+53.3+82.6+23.4+61.8+36.89</f>
        <v>607.4899999999999</v>
      </c>
      <c r="F399" s="104" t="s">
        <v>315</v>
      </c>
      <c r="G399" s="104" t="s">
        <v>315</v>
      </c>
    </row>
    <row r="400" spans="1:7" ht="13">
      <c r="A400" s="99"/>
      <c r="B400" s="99" t="s">
        <v>457</v>
      </c>
      <c r="C400" s="99" t="s">
        <v>338</v>
      </c>
      <c r="E400" s="105">
        <v>62.5</v>
      </c>
      <c r="F400" s="104" t="s">
        <v>315</v>
      </c>
      <c r="G400" s="104" t="s">
        <v>374</v>
      </c>
    </row>
    <row r="401" spans="1:7" ht="13">
      <c r="A401" s="99"/>
      <c r="B401" s="99" t="s">
        <v>457</v>
      </c>
      <c r="C401" s="99" t="s">
        <v>338</v>
      </c>
      <c r="E401" s="105">
        <v>25.11</v>
      </c>
      <c r="F401" s="104" t="s">
        <v>374</v>
      </c>
      <c r="G401" s="104" t="s">
        <v>374</v>
      </c>
    </row>
    <row r="402" spans="1:7" ht="13">
      <c r="A402" s="99"/>
      <c r="B402" s="99" t="s">
        <v>457</v>
      </c>
      <c r="C402" s="99" t="s">
        <v>338</v>
      </c>
      <c r="E402" s="105">
        <v>2.2799999999999998</v>
      </c>
      <c r="F402" s="104" t="s">
        <v>374</v>
      </c>
      <c r="G402" s="104" t="s">
        <v>374</v>
      </c>
    </row>
    <row r="403" spans="1:7" ht="13">
      <c r="A403" s="99"/>
      <c r="B403" s="99" t="s">
        <v>457</v>
      </c>
      <c r="C403" s="99" t="s">
        <v>59</v>
      </c>
      <c r="E403" s="105">
        <v>1299.48</v>
      </c>
      <c r="F403" s="104" t="s">
        <v>374</v>
      </c>
      <c r="G403" s="104" t="s">
        <v>374</v>
      </c>
    </row>
    <row r="404" spans="1:7" ht="13">
      <c r="A404" s="99"/>
      <c r="B404" s="99" t="s">
        <v>457</v>
      </c>
      <c r="C404" s="99" t="s">
        <v>59</v>
      </c>
      <c r="E404" s="105">
        <v>664.96</v>
      </c>
      <c r="F404" s="104" t="s">
        <v>374</v>
      </c>
      <c r="G404" s="104" t="s">
        <v>374</v>
      </c>
    </row>
    <row r="405" spans="1:7" ht="13">
      <c r="A405" s="99"/>
      <c r="B405" s="99" t="s">
        <v>457</v>
      </c>
      <c r="C405" s="99" t="s">
        <v>59</v>
      </c>
      <c r="E405" s="105">
        <f>4359.94-
 26.35-42.46-54.5-34.52-13.95-27.9-8.81-19.18-(18.65*3)</f>
        <v>4076.3199999999988</v>
      </c>
      <c r="F405" s="104" t="s">
        <v>374</v>
      </c>
      <c r="G405" s="104" t="s">
        <v>374</v>
      </c>
    </row>
    <row r="406" spans="1:7" ht="13">
      <c r="A406" s="99"/>
      <c r="B406" s="99" t="s">
        <v>457</v>
      </c>
      <c r="C406" s="99" t="s">
        <v>59</v>
      </c>
      <c r="D406" s="99" t="s">
        <v>458</v>
      </c>
      <c r="E406" s="105">
        <f>4359.94-E405</f>
        <v>283.6200000000008</v>
      </c>
      <c r="F406" s="104" t="s">
        <v>315</v>
      </c>
      <c r="G406" s="104" t="s">
        <v>374</v>
      </c>
    </row>
    <row r="407" spans="1:7" ht="13">
      <c r="A407" s="99"/>
      <c r="B407" s="99" t="s">
        <v>457</v>
      </c>
      <c r="C407" s="99" t="s">
        <v>59</v>
      </c>
      <c r="E407" s="105">
        <v>57.48</v>
      </c>
      <c r="F407" s="104" t="s">
        <v>374</v>
      </c>
      <c r="G407" s="104" t="s">
        <v>374</v>
      </c>
    </row>
    <row r="408" spans="1:7" ht="13">
      <c r="A408" s="99"/>
      <c r="B408" s="99" t="s">
        <v>457</v>
      </c>
      <c r="C408" s="99" t="s">
        <v>59</v>
      </c>
      <c r="E408" s="105">
        <v>36.020000000000003</v>
      </c>
      <c r="F408" s="104" t="s">
        <v>374</v>
      </c>
      <c r="G408" s="104" t="s">
        <v>374</v>
      </c>
    </row>
    <row r="409" spans="1:7" ht="13">
      <c r="A409" s="99"/>
      <c r="B409" s="99" t="s">
        <v>457</v>
      </c>
      <c r="C409" s="99" t="s">
        <v>59</v>
      </c>
      <c r="E409" s="105">
        <f>3179.08-43.44</f>
        <v>3135.64</v>
      </c>
      <c r="F409" s="104" t="s">
        <v>374</v>
      </c>
      <c r="G409" s="104" t="s">
        <v>374</v>
      </c>
    </row>
    <row r="410" spans="1:7" ht="13">
      <c r="A410" s="99"/>
      <c r="B410" s="99" t="s">
        <v>457</v>
      </c>
      <c r="C410" s="99" t="s">
        <v>59</v>
      </c>
      <c r="D410" s="99" t="s">
        <v>459</v>
      </c>
      <c r="E410" s="105">
        <v>43.44</v>
      </c>
      <c r="F410" s="104" t="s">
        <v>315</v>
      </c>
      <c r="G410" s="104" t="s">
        <v>374</v>
      </c>
    </row>
    <row r="411" spans="1:7" ht="13">
      <c r="A411" s="99"/>
      <c r="B411" s="99" t="s">
        <v>457</v>
      </c>
      <c r="C411" s="99" t="s">
        <v>59</v>
      </c>
      <c r="D411" s="99" t="s">
        <v>460</v>
      </c>
      <c r="E411" s="105">
        <f>554.33-(19.6*3)-(15.18*6)-(21.16*3)</f>
        <v>340.97</v>
      </c>
      <c r="F411" s="104" t="s">
        <v>315</v>
      </c>
      <c r="G411" s="104" t="s">
        <v>374</v>
      </c>
    </row>
    <row r="412" spans="1:7" ht="13">
      <c r="A412" s="99"/>
      <c r="B412" s="99" t="s">
        <v>457</v>
      </c>
      <c r="C412" s="99" t="s">
        <v>59</v>
      </c>
      <c r="E412" s="105">
        <f>554.3-E411</f>
        <v>213.32999999999993</v>
      </c>
      <c r="F412" s="104" t="s">
        <v>374</v>
      </c>
      <c r="G412" s="104" t="s">
        <v>374</v>
      </c>
    </row>
    <row r="413" spans="1:7" ht="13">
      <c r="A413" s="99"/>
      <c r="B413" s="99" t="s">
        <v>457</v>
      </c>
      <c r="C413" s="99" t="s">
        <v>59</v>
      </c>
      <c r="D413" s="99" t="s">
        <v>461</v>
      </c>
      <c r="E413" s="105">
        <f>273.25-(26.83*2)</f>
        <v>219.59</v>
      </c>
      <c r="F413" s="104" t="s">
        <v>315</v>
      </c>
      <c r="G413" s="104" t="s">
        <v>374</v>
      </c>
    </row>
    <row r="414" spans="1:7" ht="13">
      <c r="A414" s="99"/>
      <c r="B414" s="99" t="s">
        <v>457</v>
      </c>
      <c r="C414" s="99" t="s">
        <v>59</v>
      </c>
      <c r="E414" s="105">
        <f>26.83*2</f>
        <v>53.66</v>
      </c>
      <c r="F414" s="104" t="s">
        <v>374</v>
      </c>
      <c r="G414" s="104" t="s">
        <v>374</v>
      </c>
    </row>
    <row r="415" spans="1:7" ht="13">
      <c r="A415" s="99"/>
      <c r="B415" s="99" t="s">
        <v>462</v>
      </c>
      <c r="C415" s="99" t="s">
        <v>59</v>
      </c>
      <c r="E415" s="105">
        <v>1163.24</v>
      </c>
      <c r="F415" s="104" t="s">
        <v>374</v>
      </c>
      <c r="G415" s="104" t="s">
        <v>437</v>
      </c>
    </row>
    <row r="416" spans="1:7" ht="13">
      <c r="A416" s="99"/>
      <c r="B416" s="99" t="s">
        <v>87</v>
      </c>
      <c r="C416" s="99" t="s">
        <v>338</v>
      </c>
      <c r="E416" s="105">
        <v>195.4</v>
      </c>
      <c r="F416" s="104" t="s">
        <v>374</v>
      </c>
      <c r="G416" s="104" t="s">
        <v>374</v>
      </c>
    </row>
    <row r="417" spans="1:7" ht="13">
      <c r="A417" s="99"/>
      <c r="B417" s="99" t="s">
        <v>106</v>
      </c>
      <c r="C417" s="99" t="s">
        <v>341</v>
      </c>
      <c r="D417" s="99" t="s">
        <v>105</v>
      </c>
      <c r="E417" s="105">
        <v>183.07</v>
      </c>
      <c r="F417" s="104" t="s">
        <v>374</v>
      </c>
      <c r="G417" s="104" t="s">
        <v>463</v>
      </c>
    </row>
    <row r="418" spans="1:7" ht="13">
      <c r="A418" s="99"/>
      <c r="B418" s="99" t="s">
        <v>106</v>
      </c>
      <c r="C418" s="99" t="s">
        <v>341</v>
      </c>
      <c r="D418" s="99" t="s">
        <v>105</v>
      </c>
      <c r="E418" s="105">
        <v>104.73</v>
      </c>
      <c r="F418" s="104" t="s">
        <v>374</v>
      </c>
      <c r="G418" s="104" t="s">
        <v>463</v>
      </c>
    </row>
    <row r="419" spans="1:7" ht="13">
      <c r="A419" s="99"/>
      <c r="B419" s="99" t="s">
        <v>464</v>
      </c>
      <c r="C419" s="99" t="s">
        <v>338</v>
      </c>
      <c r="E419" s="105">
        <v>443.65</v>
      </c>
      <c r="F419" s="104" t="s">
        <v>374</v>
      </c>
      <c r="G419" s="104" t="s">
        <v>374</v>
      </c>
    </row>
    <row r="420" spans="1:7" ht="13">
      <c r="A420" s="99"/>
      <c r="B420" s="99" t="s">
        <v>464</v>
      </c>
      <c r="C420" s="99" t="s">
        <v>338</v>
      </c>
      <c r="E420" s="105">
        <v>178.48</v>
      </c>
      <c r="F420" s="104" t="s">
        <v>374</v>
      </c>
      <c r="G420" s="104" t="s">
        <v>374</v>
      </c>
    </row>
    <row r="421" spans="1:7" ht="13">
      <c r="A421" s="99"/>
      <c r="B421" s="99" t="s">
        <v>464</v>
      </c>
      <c r="C421" s="99" t="s">
        <v>338</v>
      </c>
      <c r="E421" s="105">
        <v>478.31</v>
      </c>
      <c r="F421" s="104" t="s">
        <v>374</v>
      </c>
      <c r="G421" s="104" t="s">
        <v>374</v>
      </c>
    </row>
    <row r="422" spans="1:7" ht="13">
      <c r="A422" s="99"/>
      <c r="B422" s="99" t="s">
        <v>110</v>
      </c>
      <c r="C422" s="99" t="s">
        <v>81</v>
      </c>
      <c r="D422" s="99" t="s">
        <v>105</v>
      </c>
      <c r="E422" s="105">
        <v>174.75</v>
      </c>
      <c r="F422" s="104" t="s">
        <v>374</v>
      </c>
      <c r="G422" s="104" t="s">
        <v>315</v>
      </c>
    </row>
    <row r="423" spans="1:7" ht="13">
      <c r="A423" s="99"/>
      <c r="B423" s="99" t="s">
        <v>110</v>
      </c>
      <c r="C423" s="99" t="s">
        <v>81</v>
      </c>
      <c r="D423" s="99" t="s">
        <v>105</v>
      </c>
      <c r="E423" s="105">
        <v>320.45</v>
      </c>
      <c r="F423" s="104" t="s">
        <v>374</v>
      </c>
      <c r="G423" s="104" t="s">
        <v>315</v>
      </c>
    </row>
    <row r="424" spans="1:7" ht="13">
      <c r="A424" s="99"/>
      <c r="B424" s="99" t="s">
        <v>110</v>
      </c>
      <c r="C424" s="99" t="s">
        <v>81</v>
      </c>
      <c r="D424" s="99" t="s">
        <v>105</v>
      </c>
      <c r="E424" s="105">
        <v>210</v>
      </c>
      <c r="F424" s="104" t="s">
        <v>374</v>
      </c>
      <c r="G424" s="104" t="s">
        <v>315</v>
      </c>
    </row>
    <row r="425" spans="1:7" ht="13">
      <c r="A425" s="99"/>
      <c r="B425" s="99" t="s">
        <v>110</v>
      </c>
      <c r="C425" s="99" t="s">
        <v>81</v>
      </c>
      <c r="D425" s="99" t="s">
        <v>105</v>
      </c>
      <c r="E425" s="105">
        <v>104.6</v>
      </c>
      <c r="F425" s="104" t="s">
        <v>374</v>
      </c>
      <c r="G425" s="104" t="s">
        <v>315</v>
      </c>
    </row>
    <row r="426" spans="1:7" ht="13">
      <c r="A426" s="99"/>
      <c r="B426" s="99" t="s">
        <v>110</v>
      </c>
      <c r="C426" s="99" t="s">
        <v>81</v>
      </c>
      <c r="D426" s="99" t="s">
        <v>105</v>
      </c>
      <c r="E426" s="105">
        <v>109.9</v>
      </c>
      <c r="F426" s="104" t="s">
        <v>374</v>
      </c>
      <c r="G426" s="104" t="s">
        <v>315</v>
      </c>
    </row>
    <row r="427" spans="1:7" ht="13">
      <c r="A427" s="99"/>
      <c r="B427" s="99" t="s">
        <v>110</v>
      </c>
      <c r="C427" s="99" t="s">
        <v>81</v>
      </c>
      <c r="D427" s="99" t="s">
        <v>105</v>
      </c>
      <c r="E427" s="105">
        <v>231.8</v>
      </c>
      <c r="F427" s="104" t="s">
        <v>374</v>
      </c>
      <c r="G427" s="104" t="s">
        <v>315</v>
      </c>
    </row>
    <row r="428" spans="1:7" ht="13">
      <c r="A428" s="99"/>
      <c r="B428" s="99" t="s">
        <v>110</v>
      </c>
      <c r="C428" s="99" t="s">
        <v>81</v>
      </c>
      <c r="D428" s="99" t="s">
        <v>105</v>
      </c>
      <c r="E428" s="105">
        <v>111.44</v>
      </c>
      <c r="F428" s="104" t="s">
        <v>374</v>
      </c>
      <c r="G428" s="104" t="s">
        <v>315</v>
      </c>
    </row>
    <row r="429" spans="1:7" ht="13">
      <c r="A429" s="99"/>
      <c r="B429" s="99" t="s">
        <v>71</v>
      </c>
      <c r="C429" s="99" t="s">
        <v>338</v>
      </c>
      <c r="E429" s="105">
        <v>358.96</v>
      </c>
      <c r="F429" s="104" t="s">
        <v>374</v>
      </c>
      <c r="G429" s="104" t="s">
        <v>374</v>
      </c>
    </row>
    <row r="430" spans="1:7" ht="13">
      <c r="A430" s="99"/>
      <c r="B430" s="99" t="s">
        <v>71</v>
      </c>
      <c r="C430" s="99" t="s">
        <v>338</v>
      </c>
      <c r="E430" s="105">
        <v>277.44</v>
      </c>
      <c r="F430" s="104" t="s">
        <v>374</v>
      </c>
      <c r="G430" s="104" t="s">
        <v>374</v>
      </c>
    </row>
    <row r="431" spans="1:7" ht="13">
      <c r="A431" s="99"/>
      <c r="B431" s="99" t="s">
        <v>71</v>
      </c>
      <c r="C431" s="99" t="s">
        <v>338</v>
      </c>
      <c r="E431" s="105">
        <v>335.6</v>
      </c>
      <c r="F431" s="104" t="s">
        <v>374</v>
      </c>
      <c r="G431" s="104" t="s">
        <v>374</v>
      </c>
    </row>
    <row r="432" spans="1:7" ht="13">
      <c r="A432" s="99"/>
      <c r="B432" s="99" t="s">
        <v>71</v>
      </c>
      <c r="C432" s="99" t="s">
        <v>338</v>
      </c>
      <c r="E432" s="105">
        <v>571.70000000000005</v>
      </c>
      <c r="F432" s="104" t="s">
        <v>374</v>
      </c>
      <c r="G432" s="104" t="s">
        <v>374</v>
      </c>
    </row>
    <row r="433" spans="1:26" ht="13">
      <c r="A433" s="41"/>
      <c r="B433" s="41"/>
      <c r="C433" s="41"/>
      <c r="D433" s="41" t="s">
        <v>429</v>
      </c>
      <c r="E433" s="117">
        <f>SUM(E244:E432)</f>
        <v>71932.19</v>
      </c>
      <c r="F433" s="118"/>
      <c r="G433" s="118"/>
      <c r="H433" s="119">
        <f>E399+E375+E370+E363+E359+E350+E345+E330+E328+E326++E313+E306+E285+E271+SUM(E244:E258)</f>
        <v>18511.670000000002</v>
      </c>
      <c r="I433" s="119">
        <f>E349+E307++E373</f>
        <v>206.61</v>
      </c>
      <c r="K433" s="119">
        <f>E406+E372+E348+E333+E322+E310+E366+E343+E319+E316+E304</f>
        <v>954.94000000000085</v>
      </c>
      <c r="L433" s="49"/>
      <c r="M433" s="119">
        <f>E352+E323</f>
        <v>850.40999999999985</v>
      </c>
      <c r="N433" s="119">
        <f>E411+E289</f>
        <v>373.69000000000005</v>
      </c>
      <c r="O433" s="119">
        <f>E292+E294+E301+E312+E324+E351+E376</f>
        <v>1943.55</v>
      </c>
      <c r="P433" s="49"/>
      <c r="Q433" s="119">
        <f>E406+E410+E413+E374+E361+E339+E331+E325</f>
        <v>1136.5100000000007</v>
      </c>
      <c r="R433" s="49"/>
      <c r="S433" s="49"/>
      <c r="T433" s="49"/>
      <c r="U433" s="49"/>
      <c r="V433" s="49"/>
      <c r="W433" s="49"/>
      <c r="X433" s="49"/>
      <c r="Y433" s="49"/>
      <c r="Z433" s="49"/>
    </row>
    <row r="434" spans="1:26" ht="13">
      <c r="A434" s="99" t="s">
        <v>465</v>
      </c>
      <c r="B434" s="99" t="s">
        <v>270</v>
      </c>
      <c r="C434" s="99" t="s">
        <v>466</v>
      </c>
      <c r="E434" s="105">
        <v>0</v>
      </c>
      <c r="F434" s="104" t="s">
        <v>315</v>
      </c>
      <c r="G434" s="104" t="s">
        <v>374</v>
      </c>
    </row>
    <row r="435" spans="1:26" ht="13">
      <c r="B435" s="99" t="s">
        <v>270</v>
      </c>
      <c r="C435" s="99" t="s">
        <v>467</v>
      </c>
      <c r="E435" s="105">
        <v>15.65</v>
      </c>
      <c r="F435" s="104" t="s">
        <v>315</v>
      </c>
      <c r="G435" s="104" t="s">
        <v>374</v>
      </c>
    </row>
    <row r="436" spans="1:26" ht="13">
      <c r="B436" s="99" t="s">
        <v>270</v>
      </c>
      <c r="C436" s="99" t="s">
        <v>299</v>
      </c>
      <c r="E436" s="105">
        <v>18.8</v>
      </c>
      <c r="F436" s="104" t="s">
        <v>315</v>
      </c>
      <c r="G436" s="104" t="s">
        <v>374</v>
      </c>
    </row>
    <row r="437" spans="1:26" ht="13">
      <c r="B437" s="99" t="s">
        <v>270</v>
      </c>
      <c r="C437" s="99" t="s">
        <v>212</v>
      </c>
      <c r="D437" s="99" t="s">
        <v>468</v>
      </c>
      <c r="E437" s="105">
        <v>28.38</v>
      </c>
      <c r="F437" s="104" t="s">
        <v>315</v>
      </c>
      <c r="G437" s="104" t="s">
        <v>315</v>
      </c>
    </row>
    <row r="438" spans="1:26" ht="13">
      <c r="B438" s="99" t="s">
        <v>270</v>
      </c>
      <c r="C438" s="99" t="s">
        <v>271</v>
      </c>
      <c r="E438" s="105">
        <v>5.13</v>
      </c>
      <c r="F438" s="104" t="s">
        <v>315</v>
      </c>
      <c r="G438" s="104" t="s">
        <v>374</v>
      </c>
    </row>
    <row r="439" spans="1:26" ht="13">
      <c r="B439" s="99" t="s">
        <v>270</v>
      </c>
      <c r="C439" s="99" t="s">
        <v>275</v>
      </c>
      <c r="E439" s="105">
        <v>42.86</v>
      </c>
      <c r="F439" s="104" t="s">
        <v>315</v>
      </c>
      <c r="G439" s="104" t="s">
        <v>374</v>
      </c>
    </row>
    <row r="440" spans="1:26" ht="13">
      <c r="B440" s="99" t="s">
        <v>270</v>
      </c>
      <c r="C440" s="99" t="s">
        <v>276</v>
      </c>
      <c r="E440" s="105">
        <v>13.38</v>
      </c>
      <c r="F440" s="104" t="s">
        <v>315</v>
      </c>
      <c r="G440" s="104" t="s">
        <v>374</v>
      </c>
    </row>
    <row r="441" spans="1:26" ht="13">
      <c r="B441" s="99" t="s">
        <v>270</v>
      </c>
      <c r="C441" s="99" t="s">
        <v>469</v>
      </c>
      <c r="E441" s="105">
        <v>37.869999999999997</v>
      </c>
      <c r="F441" s="104" t="s">
        <v>315</v>
      </c>
      <c r="G441" s="104" t="s">
        <v>374</v>
      </c>
    </row>
    <row r="442" spans="1:26" ht="13">
      <c r="B442" s="99" t="s">
        <v>270</v>
      </c>
      <c r="C442" s="99" t="s">
        <v>470</v>
      </c>
      <c r="E442" s="105">
        <v>17.77</v>
      </c>
      <c r="F442" s="104" t="s">
        <v>315</v>
      </c>
      <c r="G442" s="104" t="s">
        <v>374</v>
      </c>
    </row>
    <row r="443" spans="1:26" ht="13">
      <c r="B443" s="99" t="s">
        <v>270</v>
      </c>
      <c r="C443" s="99" t="s">
        <v>471</v>
      </c>
      <c r="E443" s="105">
        <v>13.44</v>
      </c>
      <c r="F443" s="104" t="s">
        <v>315</v>
      </c>
      <c r="G443" s="104" t="s">
        <v>374</v>
      </c>
    </row>
    <row r="444" spans="1:26" ht="13">
      <c r="B444" s="99" t="s">
        <v>270</v>
      </c>
      <c r="C444" s="99" t="s">
        <v>279</v>
      </c>
      <c r="E444" s="105">
        <v>30.38</v>
      </c>
      <c r="F444" s="104" t="s">
        <v>315</v>
      </c>
      <c r="G444" s="104" t="s">
        <v>374</v>
      </c>
    </row>
    <row r="445" spans="1:26" ht="13">
      <c r="B445" s="99" t="s">
        <v>270</v>
      </c>
      <c r="C445" s="99" t="s">
        <v>472</v>
      </c>
      <c r="E445" s="105">
        <v>19.36</v>
      </c>
      <c r="F445" s="104" t="s">
        <v>315</v>
      </c>
      <c r="G445" s="104" t="s">
        <v>374</v>
      </c>
    </row>
    <row r="446" spans="1:26" ht="13">
      <c r="B446" s="99" t="s">
        <v>270</v>
      </c>
      <c r="C446" s="99" t="s">
        <v>466</v>
      </c>
      <c r="E446" s="105">
        <v>29.1</v>
      </c>
      <c r="F446" s="104" t="s">
        <v>315</v>
      </c>
      <c r="G446" s="104" t="s">
        <v>374</v>
      </c>
    </row>
    <row r="447" spans="1:26" ht="13">
      <c r="B447" s="99" t="s">
        <v>270</v>
      </c>
      <c r="C447" s="99" t="s">
        <v>473</v>
      </c>
      <c r="E447" s="105">
        <v>5.36</v>
      </c>
      <c r="F447" s="104" t="s">
        <v>315</v>
      </c>
      <c r="G447" s="104" t="s">
        <v>374</v>
      </c>
    </row>
    <row r="448" spans="1:26" ht="13">
      <c r="B448" s="99" t="s">
        <v>270</v>
      </c>
      <c r="C448" s="99" t="s">
        <v>474</v>
      </c>
      <c r="E448" s="105">
        <v>13.93</v>
      </c>
      <c r="F448" s="104" t="s">
        <v>315</v>
      </c>
      <c r="G448" s="104" t="s">
        <v>374</v>
      </c>
    </row>
    <row r="449" spans="1:26" ht="13">
      <c r="B449" s="99" t="s">
        <v>270</v>
      </c>
      <c r="C449" s="99" t="s">
        <v>475</v>
      </c>
      <c r="E449" s="105">
        <v>6.46</v>
      </c>
      <c r="F449" s="104" t="s">
        <v>315</v>
      </c>
      <c r="G449" s="104" t="s">
        <v>374</v>
      </c>
    </row>
    <row r="450" spans="1:26" ht="13">
      <c r="B450" s="99" t="s">
        <v>270</v>
      </c>
      <c r="C450" s="99" t="s">
        <v>304</v>
      </c>
      <c r="E450" s="105">
        <v>22.85</v>
      </c>
      <c r="F450" s="104" t="s">
        <v>315</v>
      </c>
      <c r="G450" s="104" t="s">
        <v>374</v>
      </c>
    </row>
    <row r="451" spans="1:26" ht="13">
      <c r="B451" s="99" t="s">
        <v>270</v>
      </c>
      <c r="C451" s="99" t="s">
        <v>476</v>
      </c>
      <c r="E451" s="105">
        <v>8.8000000000000007</v>
      </c>
      <c r="F451" s="104" t="s">
        <v>315</v>
      </c>
      <c r="G451" s="104" t="s">
        <v>374</v>
      </c>
    </row>
    <row r="452" spans="1:26" ht="13">
      <c r="B452" s="99" t="s">
        <v>270</v>
      </c>
      <c r="C452" s="99" t="s">
        <v>477</v>
      </c>
      <c r="E452" s="105">
        <v>23.59</v>
      </c>
      <c r="F452" s="104" t="s">
        <v>315</v>
      </c>
      <c r="G452" s="104" t="s">
        <v>374</v>
      </c>
    </row>
    <row r="453" spans="1:26" ht="13">
      <c r="B453" s="99" t="s">
        <v>270</v>
      </c>
      <c r="C453" s="99" t="s">
        <v>271</v>
      </c>
      <c r="E453" s="105">
        <v>7.94</v>
      </c>
      <c r="F453" s="104" t="s">
        <v>315</v>
      </c>
      <c r="G453" s="104" t="s">
        <v>374</v>
      </c>
    </row>
    <row r="454" spans="1:26" ht="13">
      <c r="B454" s="99" t="s">
        <v>270</v>
      </c>
      <c r="C454" s="99" t="s">
        <v>470</v>
      </c>
      <c r="E454" s="105">
        <v>17.77</v>
      </c>
      <c r="F454" s="104" t="s">
        <v>315</v>
      </c>
      <c r="G454" s="104" t="s">
        <v>374</v>
      </c>
    </row>
    <row r="455" spans="1:26" ht="13">
      <c r="B455" s="99" t="s">
        <v>435</v>
      </c>
      <c r="C455" s="99" t="s">
        <v>118</v>
      </c>
      <c r="E455" s="105">
        <v>99.62</v>
      </c>
      <c r="F455" s="104" t="s">
        <v>374</v>
      </c>
      <c r="G455" s="104" t="s">
        <v>374</v>
      </c>
    </row>
    <row r="456" spans="1:26" ht="13">
      <c r="B456" s="99" t="s">
        <v>435</v>
      </c>
      <c r="C456" s="99" t="s">
        <v>478</v>
      </c>
      <c r="E456" s="105">
        <v>44.28</v>
      </c>
      <c r="F456" s="104" t="s">
        <v>374</v>
      </c>
      <c r="G456" s="104" t="s">
        <v>374</v>
      </c>
    </row>
    <row r="457" spans="1:26" ht="13">
      <c r="B457" s="99" t="s">
        <v>435</v>
      </c>
      <c r="C457" s="99" t="s">
        <v>479</v>
      </c>
      <c r="E457" s="105">
        <v>169.81</v>
      </c>
      <c r="F457" s="104" t="s">
        <v>374</v>
      </c>
      <c r="G457" s="104" t="s">
        <v>374</v>
      </c>
    </row>
    <row r="458" spans="1:26" ht="13">
      <c r="B458" s="99" t="s">
        <v>435</v>
      </c>
      <c r="C458" s="99" t="s">
        <v>480</v>
      </c>
      <c r="E458" s="105">
        <v>142.54</v>
      </c>
      <c r="F458" s="104" t="s">
        <v>374</v>
      </c>
      <c r="G458" s="104" t="s">
        <v>374</v>
      </c>
    </row>
    <row r="459" spans="1:26" ht="13">
      <c r="A459" s="120"/>
      <c r="B459" s="99" t="s">
        <v>435</v>
      </c>
      <c r="C459" s="121" t="s">
        <v>481</v>
      </c>
      <c r="D459" s="120"/>
      <c r="E459" s="122">
        <v>10.68</v>
      </c>
      <c r="F459" s="123" t="s">
        <v>374</v>
      </c>
      <c r="G459" s="123" t="s">
        <v>374</v>
      </c>
      <c r="H459" s="120"/>
      <c r="I459" s="120"/>
      <c r="J459" s="120"/>
      <c r="K459" s="120"/>
      <c r="L459" s="120"/>
      <c r="M459" s="120"/>
      <c r="N459" s="120"/>
      <c r="O459" s="120"/>
      <c r="P459" s="120"/>
      <c r="Q459" s="120"/>
      <c r="R459" s="120"/>
      <c r="S459" s="120"/>
      <c r="T459" s="120"/>
      <c r="U459" s="120"/>
      <c r="V459" s="120"/>
      <c r="W459" s="120"/>
      <c r="X459" s="120"/>
      <c r="Y459" s="120"/>
      <c r="Z459" s="120"/>
    </row>
    <row r="460" spans="1:26" ht="13">
      <c r="B460" s="99" t="s">
        <v>435</v>
      </c>
      <c r="C460" s="99" t="s">
        <v>482</v>
      </c>
      <c r="E460" s="105">
        <v>109.78</v>
      </c>
      <c r="F460" s="104" t="s">
        <v>315</v>
      </c>
      <c r="G460" s="104" t="s">
        <v>374</v>
      </c>
    </row>
    <row r="461" spans="1:26" ht="13">
      <c r="B461" s="99" t="s">
        <v>435</v>
      </c>
      <c r="C461" s="99" t="s">
        <v>483</v>
      </c>
      <c r="E461" s="105">
        <v>83.82</v>
      </c>
      <c r="F461" s="104" t="s">
        <v>374</v>
      </c>
      <c r="G461" s="104" t="s">
        <v>374</v>
      </c>
    </row>
    <row r="462" spans="1:26" ht="13">
      <c r="B462" s="99" t="s">
        <v>435</v>
      </c>
      <c r="C462" s="99" t="s">
        <v>327</v>
      </c>
      <c r="E462" s="105">
        <v>38.69</v>
      </c>
      <c r="F462" s="104" t="s">
        <v>374</v>
      </c>
      <c r="G462" s="104" t="s">
        <v>374</v>
      </c>
    </row>
    <row r="463" spans="1:26" ht="13">
      <c r="B463" s="99" t="s">
        <v>435</v>
      </c>
      <c r="C463" s="99" t="s">
        <v>279</v>
      </c>
      <c r="E463" s="105">
        <v>25.42</v>
      </c>
      <c r="F463" s="104" t="s">
        <v>315</v>
      </c>
      <c r="G463" s="104" t="s">
        <v>374</v>
      </c>
    </row>
    <row r="464" spans="1:26" ht="13">
      <c r="B464" s="99" t="s">
        <v>435</v>
      </c>
      <c r="C464" s="99" t="s">
        <v>327</v>
      </c>
      <c r="E464" s="105">
        <v>31.99</v>
      </c>
      <c r="F464" s="104" t="s">
        <v>374</v>
      </c>
      <c r="G464" s="104" t="s">
        <v>374</v>
      </c>
    </row>
    <row r="465" spans="2:7" ht="13">
      <c r="B465" s="99" t="s">
        <v>435</v>
      </c>
      <c r="C465" s="99" t="s">
        <v>484</v>
      </c>
      <c r="E465" s="105">
        <v>26.01</v>
      </c>
      <c r="F465" s="104" t="s">
        <v>374</v>
      </c>
      <c r="G465" s="104" t="s">
        <v>374</v>
      </c>
    </row>
    <row r="466" spans="2:7" ht="13">
      <c r="B466" s="99" t="s">
        <v>435</v>
      </c>
      <c r="C466" s="99" t="s">
        <v>276</v>
      </c>
      <c r="E466" s="105">
        <v>55.52</v>
      </c>
      <c r="F466" s="104" t="s">
        <v>315</v>
      </c>
      <c r="G466" s="104" t="s">
        <v>374</v>
      </c>
    </row>
    <row r="467" spans="2:7" ht="13">
      <c r="B467" s="99" t="s">
        <v>485</v>
      </c>
      <c r="C467" s="99" t="s">
        <v>76</v>
      </c>
      <c r="D467" s="99" t="s">
        <v>105</v>
      </c>
      <c r="E467" s="105">
        <v>599.08000000000004</v>
      </c>
      <c r="F467" s="104" t="s">
        <v>315</v>
      </c>
      <c r="G467" s="104" t="s">
        <v>315</v>
      </c>
    </row>
    <row r="468" spans="2:7" ht="13">
      <c r="B468" s="107" t="s">
        <v>270</v>
      </c>
      <c r="C468" s="107" t="s">
        <v>306</v>
      </c>
      <c r="D468" s="108"/>
      <c r="E468" s="111">
        <v>1322.93</v>
      </c>
      <c r="F468" s="110" t="s">
        <v>315</v>
      </c>
      <c r="G468" s="110" t="s">
        <v>374</v>
      </c>
    </row>
    <row r="469" spans="2:7" ht="13">
      <c r="B469" s="107" t="s">
        <v>270</v>
      </c>
      <c r="C469" s="107" t="s">
        <v>306</v>
      </c>
      <c r="D469" s="108"/>
      <c r="E469" s="111">
        <v>410.19</v>
      </c>
      <c r="F469" s="110" t="s">
        <v>315</v>
      </c>
      <c r="G469" s="110" t="s">
        <v>374</v>
      </c>
    </row>
    <row r="470" spans="2:7" ht="13">
      <c r="B470" s="107" t="s">
        <v>270</v>
      </c>
      <c r="C470" s="107" t="s">
        <v>306</v>
      </c>
      <c r="E470" s="111">
        <v>5885.49</v>
      </c>
      <c r="F470" s="110" t="s">
        <v>315</v>
      </c>
      <c r="G470" s="110" t="s">
        <v>374</v>
      </c>
    </row>
    <row r="471" spans="2:7" ht="13">
      <c r="B471" s="107" t="s">
        <v>270</v>
      </c>
      <c r="C471" s="107" t="s">
        <v>306</v>
      </c>
      <c r="E471" s="111">
        <v>326.66000000000003</v>
      </c>
      <c r="F471" s="110" t="s">
        <v>315</v>
      </c>
      <c r="G471" s="110" t="s">
        <v>374</v>
      </c>
    </row>
    <row r="472" spans="2:7" ht="13">
      <c r="B472" s="107" t="s">
        <v>270</v>
      </c>
      <c r="C472" s="107" t="s">
        <v>306</v>
      </c>
      <c r="E472" s="111">
        <v>23.38</v>
      </c>
      <c r="F472" s="110" t="s">
        <v>315</v>
      </c>
      <c r="G472" s="110" t="s">
        <v>374</v>
      </c>
    </row>
    <row r="473" spans="2:7" ht="13">
      <c r="B473" s="107" t="s">
        <v>270</v>
      </c>
      <c r="C473" s="107" t="s">
        <v>306</v>
      </c>
      <c r="E473" s="111">
        <v>1250.54</v>
      </c>
      <c r="F473" s="110" t="s">
        <v>315</v>
      </c>
      <c r="G473" s="110" t="s">
        <v>374</v>
      </c>
    </row>
    <row r="474" spans="2:7" ht="13">
      <c r="B474" s="124" t="s">
        <v>486</v>
      </c>
      <c r="C474" s="124" t="s">
        <v>487</v>
      </c>
      <c r="D474" s="125"/>
      <c r="E474" s="126">
        <v>524.04999999999995</v>
      </c>
      <c r="F474" s="127" t="s">
        <v>374</v>
      </c>
      <c r="G474" s="127" t="s">
        <v>374</v>
      </c>
    </row>
    <row r="475" spans="2:7" ht="13">
      <c r="B475" s="124" t="s">
        <v>488</v>
      </c>
      <c r="C475" s="124" t="s">
        <v>337</v>
      </c>
      <c r="D475" s="99" t="s">
        <v>105</v>
      </c>
      <c r="E475" s="126">
        <v>2209.27</v>
      </c>
      <c r="F475" s="127" t="s">
        <v>374</v>
      </c>
      <c r="G475" s="127" t="s">
        <v>315</v>
      </c>
    </row>
    <row r="476" spans="2:7" ht="13">
      <c r="B476" s="124" t="s">
        <v>435</v>
      </c>
      <c r="C476" s="124" t="s">
        <v>97</v>
      </c>
      <c r="D476" s="125"/>
      <c r="E476" s="126">
        <v>28.98</v>
      </c>
      <c r="F476" s="127" t="s">
        <v>374</v>
      </c>
      <c r="G476" s="127" t="s">
        <v>374</v>
      </c>
    </row>
    <row r="477" spans="2:7" ht="13">
      <c r="B477" s="124" t="s">
        <v>435</v>
      </c>
      <c r="C477" s="124" t="s">
        <v>338</v>
      </c>
      <c r="D477" s="125"/>
      <c r="E477" s="126">
        <v>179.6</v>
      </c>
      <c r="F477" s="127" t="s">
        <v>315</v>
      </c>
      <c r="G477" s="127" t="s">
        <v>374</v>
      </c>
    </row>
    <row r="478" spans="2:7" ht="13">
      <c r="B478" s="124" t="s">
        <v>435</v>
      </c>
      <c r="C478" s="124" t="s">
        <v>448</v>
      </c>
      <c r="E478" s="126">
        <v>295.54000000000002</v>
      </c>
      <c r="F478" s="127" t="s">
        <v>374</v>
      </c>
      <c r="G478" s="127" t="s">
        <v>374</v>
      </c>
    </row>
    <row r="479" spans="2:7" ht="13">
      <c r="B479" s="124" t="s">
        <v>435</v>
      </c>
      <c r="C479" s="124" t="s">
        <v>337</v>
      </c>
      <c r="D479" s="125"/>
      <c r="E479" s="126">
        <v>81.819999999999993</v>
      </c>
      <c r="F479" s="127" t="s">
        <v>374</v>
      </c>
      <c r="G479" s="127" t="s">
        <v>374</v>
      </c>
    </row>
    <row r="480" spans="2:7" ht="13">
      <c r="B480" s="124" t="s">
        <v>435</v>
      </c>
      <c r="C480" s="124" t="s">
        <v>337</v>
      </c>
      <c r="D480" s="125"/>
      <c r="E480" s="126">
        <v>62.86</v>
      </c>
      <c r="F480" s="127" t="s">
        <v>315</v>
      </c>
      <c r="G480" s="127" t="s">
        <v>374</v>
      </c>
    </row>
    <row r="481" spans="2:7" ht="13">
      <c r="B481" s="124" t="s">
        <v>435</v>
      </c>
      <c r="C481" s="124" t="s">
        <v>489</v>
      </c>
      <c r="D481" s="124" t="s">
        <v>362</v>
      </c>
      <c r="E481" s="126">
        <v>243.36</v>
      </c>
      <c r="F481" s="127" t="s">
        <v>315</v>
      </c>
      <c r="G481" s="127" t="s">
        <v>315</v>
      </c>
    </row>
    <row r="482" spans="2:7" ht="13">
      <c r="B482" s="124" t="s">
        <v>55</v>
      </c>
      <c r="C482" s="124" t="s">
        <v>337</v>
      </c>
      <c r="D482" s="125"/>
      <c r="E482" s="126">
        <v>1247.8399999999999</v>
      </c>
      <c r="F482" s="127" t="s">
        <v>374</v>
      </c>
      <c r="G482" s="127" t="s">
        <v>374</v>
      </c>
    </row>
    <row r="483" spans="2:7" ht="13">
      <c r="B483" s="124" t="s">
        <v>435</v>
      </c>
      <c r="C483" s="124" t="s">
        <v>448</v>
      </c>
      <c r="D483" s="125"/>
      <c r="E483" s="126">
        <v>257.01</v>
      </c>
      <c r="F483" s="127" t="s">
        <v>315</v>
      </c>
      <c r="G483" s="127" t="s">
        <v>374</v>
      </c>
    </row>
    <row r="484" spans="2:7" ht="13">
      <c r="B484" s="124" t="s">
        <v>435</v>
      </c>
      <c r="C484" s="124" t="s">
        <v>448</v>
      </c>
      <c r="D484" s="125"/>
      <c r="E484" s="126">
        <v>93.1</v>
      </c>
      <c r="F484" s="127" t="s">
        <v>374</v>
      </c>
      <c r="G484" s="127" t="s">
        <v>374</v>
      </c>
    </row>
    <row r="485" spans="2:7" ht="13">
      <c r="B485" s="124" t="s">
        <v>435</v>
      </c>
      <c r="C485" s="124" t="s">
        <v>448</v>
      </c>
      <c r="E485" s="126">
        <f>161.1+17.92</f>
        <v>179.01999999999998</v>
      </c>
      <c r="F485" s="127" t="s">
        <v>315</v>
      </c>
      <c r="G485" s="127" t="s">
        <v>374</v>
      </c>
    </row>
    <row r="486" spans="2:7" ht="13">
      <c r="B486" s="124" t="s">
        <v>435</v>
      </c>
      <c r="C486" s="124" t="s">
        <v>448</v>
      </c>
      <c r="E486" s="126">
        <f>84.42</f>
        <v>84.42</v>
      </c>
      <c r="F486" s="127" t="s">
        <v>374</v>
      </c>
      <c r="G486" s="127" t="s">
        <v>374</v>
      </c>
    </row>
    <row r="487" spans="2:7" ht="13">
      <c r="B487" s="124" t="s">
        <v>435</v>
      </c>
      <c r="C487" s="124" t="s">
        <v>448</v>
      </c>
      <c r="E487" s="126">
        <f>1856.16-(SUM(E483:E486))</f>
        <v>1242.6100000000001</v>
      </c>
      <c r="F487" s="127" t="s">
        <v>315</v>
      </c>
      <c r="G487" s="127" t="s">
        <v>374</v>
      </c>
    </row>
    <row r="488" spans="2:7" ht="13">
      <c r="B488" s="124" t="s">
        <v>435</v>
      </c>
      <c r="C488" s="124" t="s">
        <v>97</v>
      </c>
      <c r="E488" s="126">
        <f>128.68+331.08+54+247.14+49.32+49.32+102.48+108.16</f>
        <v>1070.18</v>
      </c>
      <c r="F488" s="127" t="s">
        <v>315</v>
      </c>
      <c r="G488" s="127" t="s">
        <v>374</v>
      </c>
    </row>
    <row r="489" spans="2:7" ht="13">
      <c r="B489" s="99" t="s">
        <v>435</v>
      </c>
      <c r="C489" s="99" t="s">
        <v>97</v>
      </c>
      <c r="E489" s="114">
        <f>92.82+130.35+99.62+59.55+140.61</f>
        <v>522.95000000000005</v>
      </c>
      <c r="F489" s="104" t="s">
        <v>374</v>
      </c>
      <c r="G489" s="104" t="s">
        <v>374</v>
      </c>
    </row>
    <row r="490" spans="2:7" ht="13">
      <c r="B490" s="99" t="s">
        <v>435</v>
      </c>
      <c r="C490" s="99" t="s">
        <v>97</v>
      </c>
      <c r="E490" s="105">
        <v>331.08</v>
      </c>
      <c r="F490" s="104" t="s">
        <v>315</v>
      </c>
      <c r="G490" s="104" t="s">
        <v>374</v>
      </c>
    </row>
    <row r="491" spans="2:7" ht="13">
      <c r="B491" s="99" t="s">
        <v>435</v>
      </c>
      <c r="C491" s="99" t="s">
        <v>448</v>
      </c>
      <c r="E491" s="105">
        <v>384</v>
      </c>
      <c r="F491" s="104" t="s">
        <v>315</v>
      </c>
      <c r="G491" s="104" t="s">
        <v>374</v>
      </c>
    </row>
    <row r="492" spans="2:7" ht="13">
      <c r="B492" s="99" t="s">
        <v>435</v>
      </c>
      <c r="C492" s="99" t="s">
        <v>490</v>
      </c>
      <c r="E492" s="105">
        <v>16.47</v>
      </c>
      <c r="F492" s="104" t="s">
        <v>315</v>
      </c>
      <c r="G492" s="104" t="s">
        <v>374</v>
      </c>
    </row>
    <row r="493" spans="2:7" ht="13">
      <c r="B493" s="99" t="s">
        <v>435</v>
      </c>
      <c r="C493" s="99" t="s">
        <v>448</v>
      </c>
      <c r="E493" s="105">
        <v>133.38</v>
      </c>
      <c r="F493" s="104" t="s">
        <v>374</v>
      </c>
      <c r="G493" s="104" t="s">
        <v>374</v>
      </c>
    </row>
    <row r="494" spans="2:7" ht="13">
      <c r="B494" s="99" t="s">
        <v>435</v>
      </c>
      <c r="C494" s="99" t="s">
        <v>448</v>
      </c>
      <c r="E494" s="105">
        <v>98.18</v>
      </c>
      <c r="F494" s="104" t="s">
        <v>315</v>
      </c>
      <c r="G494" s="104" t="s">
        <v>374</v>
      </c>
    </row>
    <row r="495" spans="2:7" ht="13">
      <c r="B495" s="99" t="s">
        <v>435</v>
      </c>
      <c r="C495" s="99" t="s">
        <v>328</v>
      </c>
      <c r="E495" s="105">
        <v>566.28</v>
      </c>
      <c r="F495" s="104" t="s">
        <v>374</v>
      </c>
      <c r="G495" s="104" t="s">
        <v>374</v>
      </c>
    </row>
    <row r="496" spans="2:7" ht="13">
      <c r="B496" s="99" t="s">
        <v>435</v>
      </c>
      <c r="C496" s="99" t="s">
        <v>97</v>
      </c>
      <c r="E496" s="105">
        <v>1188.6099999999999</v>
      </c>
      <c r="F496" s="104" t="s">
        <v>374</v>
      </c>
      <c r="G496" s="104" t="s">
        <v>374</v>
      </c>
    </row>
    <row r="497" spans="2:7" ht="13">
      <c r="B497" s="99" t="s">
        <v>491</v>
      </c>
      <c r="C497" s="99" t="s">
        <v>487</v>
      </c>
      <c r="E497" s="105">
        <v>245.56</v>
      </c>
      <c r="F497" s="104" t="s">
        <v>315</v>
      </c>
      <c r="G497" s="104" t="s">
        <v>374</v>
      </c>
    </row>
    <row r="498" spans="2:7" ht="13">
      <c r="B498" s="99" t="s">
        <v>492</v>
      </c>
      <c r="C498" s="99" t="s">
        <v>78</v>
      </c>
      <c r="D498" s="99" t="s">
        <v>105</v>
      </c>
      <c r="E498" s="105">
        <f>101.1+179.52</f>
        <v>280.62</v>
      </c>
      <c r="F498" s="104" t="s">
        <v>374</v>
      </c>
      <c r="G498" s="104" t="s">
        <v>315</v>
      </c>
    </row>
    <row r="499" spans="2:7" ht="13">
      <c r="B499" s="99" t="s">
        <v>493</v>
      </c>
      <c r="C499" s="99" t="s">
        <v>487</v>
      </c>
      <c r="E499" s="105">
        <v>240.38</v>
      </c>
      <c r="F499" s="104" t="s">
        <v>315</v>
      </c>
      <c r="G499" s="104" t="s">
        <v>374</v>
      </c>
    </row>
    <row r="500" spans="2:7" ht="13">
      <c r="B500" s="99" t="s">
        <v>494</v>
      </c>
      <c r="C500" s="99" t="s">
        <v>328</v>
      </c>
      <c r="D500" s="99" t="s">
        <v>105</v>
      </c>
      <c r="E500" s="105">
        <f>1739.34+2172.63</f>
        <v>3911.9700000000003</v>
      </c>
      <c r="F500" s="104" t="s">
        <v>374</v>
      </c>
      <c r="G500" s="104" t="s">
        <v>315</v>
      </c>
    </row>
    <row r="501" spans="2:7" ht="13">
      <c r="B501" s="99" t="s">
        <v>495</v>
      </c>
      <c r="C501" s="99" t="s">
        <v>487</v>
      </c>
      <c r="E501" s="105">
        <f>514.38+348.65+486.55+511.55+1.92+238.88</f>
        <v>2101.9299999999998</v>
      </c>
      <c r="F501" s="104" t="s">
        <v>315</v>
      </c>
      <c r="G501" s="104" t="s">
        <v>374</v>
      </c>
    </row>
    <row r="502" spans="2:7" ht="13">
      <c r="B502" s="99" t="s">
        <v>496</v>
      </c>
      <c r="C502" s="99" t="s">
        <v>337</v>
      </c>
      <c r="E502" s="105">
        <v>39.409999999999997</v>
      </c>
      <c r="F502" s="104" t="s">
        <v>374</v>
      </c>
      <c r="G502" s="104" t="s">
        <v>374</v>
      </c>
    </row>
    <row r="503" spans="2:7" ht="13">
      <c r="B503" s="99" t="s">
        <v>497</v>
      </c>
      <c r="C503" s="99" t="s">
        <v>487</v>
      </c>
      <c r="E503" s="105">
        <v>51.1</v>
      </c>
      <c r="F503" s="104" t="s">
        <v>374</v>
      </c>
      <c r="G503" s="104" t="s">
        <v>374</v>
      </c>
    </row>
    <row r="504" spans="2:7" ht="13">
      <c r="B504" s="99" t="s">
        <v>497</v>
      </c>
      <c r="C504" s="99" t="s">
        <v>487</v>
      </c>
      <c r="E504" s="105">
        <v>21.16</v>
      </c>
      <c r="F504" s="104" t="s">
        <v>315</v>
      </c>
      <c r="G504" s="104" t="s">
        <v>374</v>
      </c>
    </row>
    <row r="505" spans="2:7" ht="13">
      <c r="B505" s="99" t="s">
        <v>497</v>
      </c>
      <c r="C505" s="99" t="s">
        <v>498</v>
      </c>
      <c r="E505" s="105">
        <v>24.36</v>
      </c>
      <c r="F505" s="104" t="s">
        <v>315</v>
      </c>
      <c r="G505" s="104" t="s">
        <v>315</v>
      </c>
    </row>
    <row r="506" spans="2:7" ht="13">
      <c r="B506" s="99" t="s">
        <v>497</v>
      </c>
      <c r="C506" s="99" t="s">
        <v>448</v>
      </c>
      <c r="E506" s="105">
        <v>28.65</v>
      </c>
      <c r="F506" s="104" t="s">
        <v>315</v>
      </c>
      <c r="G506" s="104" t="s">
        <v>374</v>
      </c>
    </row>
    <row r="507" spans="2:7" ht="13">
      <c r="B507" s="99" t="s">
        <v>435</v>
      </c>
      <c r="C507" s="99" t="s">
        <v>448</v>
      </c>
      <c r="E507" s="105">
        <v>12.55</v>
      </c>
      <c r="F507" s="104" t="s">
        <v>315</v>
      </c>
      <c r="G507" s="104" t="s">
        <v>374</v>
      </c>
    </row>
    <row r="508" spans="2:7" ht="13">
      <c r="B508" s="99" t="s">
        <v>435</v>
      </c>
      <c r="C508" s="99" t="s">
        <v>97</v>
      </c>
      <c r="E508" s="105">
        <v>94.54</v>
      </c>
      <c r="F508" s="104" t="s">
        <v>374</v>
      </c>
      <c r="G508" s="104" t="s">
        <v>374</v>
      </c>
    </row>
    <row r="509" spans="2:7" ht="13">
      <c r="B509" s="99" t="s">
        <v>435</v>
      </c>
      <c r="C509" s="99" t="s">
        <v>487</v>
      </c>
      <c r="E509" s="105">
        <v>634.86</v>
      </c>
      <c r="F509" s="104" t="s">
        <v>315</v>
      </c>
      <c r="G509" s="104" t="s">
        <v>374</v>
      </c>
    </row>
    <row r="510" spans="2:7" ht="13">
      <c r="B510" s="99" t="s">
        <v>435</v>
      </c>
      <c r="C510" s="99" t="s">
        <v>448</v>
      </c>
      <c r="E510" s="105">
        <f>12.55+40.08+22.7+14.55+43.05</f>
        <v>132.93</v>
      </c>
      <c r="F510" s="104" t="s">
        <v>374</v>
      </c>
      <c r="G510" s="104" t="s">
        <v>374</v>
      </c>
    </row>
    <row r="511" spans="2:7" ht="13">
      <c r="B511" s="99" t="s">
        <v>435</v>
      </c>
      <c r="C511" s="99" t="s">
        <v>448</v>
      </c>
      <c r="E511" s="105">
        <v>52.52</v>
      </c>
      <c r="F511" s="104" t="s">
        <v>315</v>
      </c>
      <c r="G511" s="104" t="s">
        <v>374</v>
      </c>
    </row>
    <row r="512" spans="2:7" ht="13">
      <c r="B512" s="99" t="s">
        <v>435</v>
      </c>
      <c r="C512" s="99" t="s">
        <v>448</v>
      </c>
      <c r="E512" s="105">
        <f>50.27+43.59+32.31+201.96</f>
        <v>328.13</v>
      </c>
      <c r="F512" s="104" t="s">
        <v>374</v>
      </c>
      <c r="G512" s="104" t="s">
        <v>374</v>
      </c>
    </row>
    <row r="513" spans="2:7" ht="13">
      <c r="B513" s="99" t="s">
        <v>435</v>
      </c>
      <c r="C513" s="99" t="s">
        <v>337</v>
      </c>
      <c r="E513" s="105">
        <f>148.12-56.84</f>
        <v>91.28</v>
      </c>
      <c r="F513" s="104" t="s">
        <v>315</v>
      </c>
      <c r="G513" s="104" t="s">
        <v>374</v>
      </c>
    </row>
    <row r="514" spans="2:7" ht="13">
      <c r="B514" s="99" t="s">
        <v>435</v>
      </c>
      <c r="C514" s="99" t="s">
        <v>337</v>
      </c>
      <c r="E514" s="105">
        <v>56.84</v>
      </c>
      <c r="F514" s="104" t="s">
        <v>374</v>
      </c>
      <c r="G514" s="104" t="s">
        <v>374</v>
      </c>
    </row>
    <row r="515" spans="2:7" ht="13">
      <c r="B515" s="99" t="s">
        <v>435</v>
      </c>
      <c r="C515" s="99" t="s">
        <v>328</v>
      </c>
      <c r="D515" s="99" t="s">
        <v>105</v>
      </c>
      <c r="E515" s="105">
        <v>30.01</v>
      </c>
      <c r="F515" s="104" t="s">
        <v>374</v>
      </c>
      <c r="G515" s="104" t="s">
        <v>315</v>
      </c>
    </row>
    <row r="516" spans="2:7" ht="13">
      <c r="B516" s="99" t="s">
        <v>435</v>
      </c>
      <c r="C516" s="99" t="s">
        <v>328</v>
      </c>
      <c r="E516" s="105">
        <f>478.17-30.01</f>
        <v>448.16</v>
      </c>
      <c r="F516" s="104" t="s">
        <v>374</v>
      </c>
      <c r="G516" s="104" t="s">
        <v>374</v>
      </c>
    </row>
    <row r="517" spans="2:7" ht="13">
      <c r="B517" s="99" t="s">
        <v>435</v>
      </c>
      <c r="C517" s="99" t="s">
        <v>499</v>
      </c>
      <c r="E517" s="105">
        <v>49.07</v>
      </c>
      <c r="F517" s="104" t="s">
        <v>374</v>
      </c>
      <c r="G517" s="104" t="s">
        <v>374</v>
      </c>
    </row>
    <row r="518" spans="2:7" ht="13">
      <c r="B518" s="99" t="s">
        <v>435</v>
      </c>
      <c r="C518" s="99" t="s">
        <v>97</v>
      </c>
      <c r="E518" s="105">
        <f>385.24-27.86</f>
        <v>357.38</v>
      </c>
      <c r="F518" s="104" t="s">
        <v>374</v>
      </c>
      <c r="G518" s="104" t="s">
        <v>374</v>
      </c>
    </row>
    <row r="519" spans="2:7" ht="13">
      <c r="B519" s="99" t="s">
        <v>435</v>
      </c>
      <c r="C519" s="99" t="s">
        <v>97</v>
      </c>
      <c r="E519" s="105">
        <v>27.86</v>
      </c>
      <c r="F519" s="104" t="s">
        <v>315</v>
      </c>
      <c r="G519" s="104" t="s">
        <v>374</v>
      </c>
    </row>
    <row r="520" spans="2:7" ht="13">
      <c r="B520" s="99" t="s">
        <v>435</v>
      </c>
      <c r="C520" s="99" t="s">
        <v>487</v>
      </c>
      <c r="E520" s="105">
        <v>12.14</v>
      </c>
      <c r="F520" s="104" t="s">
        <v>315</v>
      </c>
      <c r="G520" s="104" t="s">
        <v>374</v>
      </c>
    </row>
    <row r="521" spans="2:7" ht="13">
      <c r="B521" s="99" t="s">
        <v>435</v>
      </c>
      <c r="C521" s="99" t="s">
        <v>448</v>
      </c>
      <c r="E521" s="105">
        <v>414.63</v>
      </c>
      <c r="F521" s="104" t="s">
        <v>315</v>
      </c>
      <c r="G521" s="104" t="s">
        <v>374</v>
      </c>
    </row>
    <row r="522" spans="2:7" ht="13">
      <c r="B522" s="99" t="s">
        <v>435</v>
      </c>
      <c r="C522" s="99" t="s">
        <v>337</v>
      </c>
      <c r="E522" s="105">
        <f>474.37+30.02</f>
        <v>504.39</v>
      </c>
      <c r="F522" s="104" t="s">
        <v>374</v>
      </c>
      <c r="G522" s="104" t="s">
        <v>374</v>
      </c>
    </row>
    <row r="523" spans="2:7" ht="13">
      <c r="B523" s="99" t="s">
        <v>435</v>
      </c>
      <c r="C523" s="99" t="s">
        <v>306</v>
      </c>
      <c r="D523" s="99" t="s">
        <v>362</v>
      </c>
      <c r="E523" s="105">
        <v>202.8</v>
      </c>
      <c r="F523" s="104" t="s">
        <v>315</v>
      </c>
      <c r="G523" s="104" t="s">
        <v>315</v>
      </c>
    </row>
    <row r="524" spans="2:7" ht="13">
      <c r="B524" s="99" t="s">
        <v>435</v>
      </c>
      <c r="C524" s="99" t="s">
        <v>448</v>
      </c>
      <c r="E524" s="105">
        <v>24.82</v>
      </c>
      <c r="F524" s="104" t="s">
        <v>315</v>
      </c>
      <c r="G524" s="104" t="s">
        <v>374</v>
      </c>
    </row>
    <row r="525" spans="2:7" ht="13">
      <c r="B525" s="99" t="s">
        <v>435</v>
      </c>
      <c r="C525" s="99" t="s">
        <v>337</v>
      </c>
      <c r="E525" s="105">
        <v>56.97</v>
      </c>
      <c r="F525" s="104" t="s">
        <v>374</v>
      </c>
      <c r="G525" s="104" t="s">
        <v>374</v>
      </c>
    </row>
    <row r="526" spans="2:7" ht="13">
      <c r="B526" s="99" t="s">
        <v>435</v>
      </c>
      <c r="C526" s="99" t="s">
        <v>97</v>
      </c>
      <c r="E526" s="105">
        <v>57.96</v>
      </c>
      <c r="F526" s="104" t="s">
        <v>374</v>
      </c>
      <c r="G526" s="104" t="s">
        <v>374</v>
      </c>
    </row>
    <row r="527" spans="2:7" ht="13">
      <c r="B527" s="99" t="s">
        <v>435</v>
      </c>
      <c r="C527" s="99" t="s">
        <v>487</v>
      </c>
      <c r="E527" s="105">
        <v>106.16</v>
      </c>
      <c r="F527" s="104" t="s">
        <v>315</v>
      </c>
      <c r="G527" s="104" t="s">
        <v>374</v>
      </c>
    </row>
    <row r="528" spans="2:7" ht="13">
      <c r="B528" s="99" t="s">
        <v>435</v>
      </c>
      <c r="C528" s="99" t="s">
        <v>448</v>
      </c>
      <c r="E528" s="105">
        <v>362.53</v>
      </c>
      <c r="F528" s="104" t="s">
        <v>374</v>
      </c>
      <c r="G528" s="104" t="s">
        <v>374</v>
      </c>
    </row>
    <row r="529" spans="2:7" ht="13">
      <c r="B529" s="99" t="s">
        <v>435</v>
      </c>
      <c r="C529" s="99" t="s">
        <v>337</v>
      </c>
      <c r="E529" s="105">
        <v>120</v>
      </c>
      <c r="F529" s="104" t="s">
        <v>374</v>
      </c>
      <c r="G529" s="104" t="s">
        <v>374</v>
      </c>
    </row>
    <row r="530" spans="2:7" ht="13">
      <c r="B530" s="99" t="s">
        <v>435</v>
      </c>
      <c r="C530" s="99" t="s">
        <v>448</v>
      </c>
      <c r="E530" s="105">
        <v>142</v>
      </c>
      <c r="F530" s="104" t="s">
        <v>315</v>
      </c>
      <c r="G530" s="104" t="s">
        <v>374</v>
      </c>
    </row>
    <row r="531" spans="2:7" ht="13">
      <c r="B531" s="99" t="s">
        <v>435</v>
      </c>
      <c r="C531" s="99" t="s">
        <v>499</v>
      </c>
      <c r="E531" s="105">
        <v>47.07</v>
      </c>
      <c r="F531" s="104" t="s">
        <v>374</v>
      </c>
      <c r="G531" s="104" t="s">
        <v>374</v>
      </c>
    </row>
    <row r="532" spans="2:7" ht="13">
      <c r="B532" s="99" t="s">
        <v>435</v>
      </c>
      <c r="C532" s="99" t="s">
        <v>448</v>
      </c>
      <c r="E532" s="105">
        <v>42.79</v>
      </c>
      <c r="F532" s="104" t="s">
        <v>315</v>
      </c>
      <c r="G532" s="104" t="s">
        <v>374</v>
      </c>
    </row>
    <row r="533" spans="2:7" ht="13">
      <c r="B533" s="99" t="s">
        <v>435</v>
      </c>
      <c r="C533" s="99" t="s">
        <v>97</v>
      </c>
      <c r="E533" s="105">
        <v>66.760000000000005</v>
      </c>
      <c r="F533" s="104" t="s">
        <v>374</v>
      </c>
      <c r="G533" s="104" t="s">
        <v>374</v>
      </c>
    </row>
    <row r="534" spans="2:7" ht="13">
      <c r="B534" s="99" t="s">
        <v>435</v>
      </c>
      <c r="C534" s="99" t="s">
        <v>328</v>
      </c>
      <c r="E534" s="105">
        <v>912.08</v>
      </c>
      <c r="F534" s="104" t="s">
        <v>374</v>
      </c>
      <c r="G534" s="104" t="s">
        <v>374</v>
      </c>
    </row>
    <row r="535" spans="2:7" ht="13">
      <c r="B535" s="99" t="s">
        <v>55</v>
      </c>
      <c r="C535" s="99" t="s">
        <v>97</v>
      </c>
      <c r="E535" s="105">
        <f>140.92+50.36</f>
        <v>191.27999999999997</v>
      </c>
      <c r="F535" s="104" t="s">
        <v>374</v>
      </c>
      <c r="G535" s="104" t="s">
        <v>374</v>
      </c>
    </row>
    <row r="536" spans="2:7" ht="13">
      <c r="B536" s="99" t="s">
        <v>435</v>
      </c>
      <c r="C536" s="99" t="s">
        <v>97</v>
      </c>
      <c r="E536" s="105">
        <f>193.02+54+34.2+49.32+57.56+76.86</f>
        <v>464.96000000000004</v>
      </c>
      <c r="F536" s="104" t="s">
        <v>315</v>
      </c>
      <c r="G536" s="104" t="s">
        <v>374</v>
      </c>
    </row>
    <row r="537" spans="2:7" ht="13">
      <c r="B537" s="99" t="s">
        <v>55</v>
      </c>
      <c r="C537" s="99" t="s">
        <v>97</v>
      </c>
      <c r="E537" s="105">
        <f>80.92+88.46+49.02+56.4+43.44+98.8</f>
        <v>417.04</v>
      </c>
      <c r="F537" s="104" t="s">
        <v>374</v>
      </c>
      <c r="G537" s="104" t="s">
        <v>374</v>
      </c>
    </row>
    <row r="538" spans="2:7" ht="13">
      <c r="B538" s="99" t="s">
        <v>55</v>
      </c>
      <c r="C538" s="99" t="s">
        <v>97</v>
      </c>
      <c r="E538" s="105">
        <f>81.12+55.72</f>
        <v>136.84</v>
      </c>
      <c r="F538" s="104" t="s">
        <v>315</v>
      </c>
      <c r="G538" s="104" t="s">
        <v>374</v>
      </c>
    </row>
    <row r="539" spans="2:7" ht="13">
      <c r="B539" s="99" t="s">
        <v>435</v>
      </c>
      <c r="C539" s="99" t="s">
        <v>448</v>
      </c>
      <c r="E539" s="105">
        <f>25.79+28.5+30.72+86.54+73.38+24.17+38.94+33.48+46.38+61.08+55.52</f>
        <v>504.5</v>
      </c>
      <c r="F539" s="104" t="s">
        <v>315</v>
      </c>
      <c r="G539" s="104" t="s">
        <v>374</v>
      </c>
    </row>
    <row r="540" spans="2:7" ht="13">
      <c r="B540" s="99" t="s">
        <v>55</v>
      </c>
      <c r="C540" s="99" t="s">
        <v>448</v>
      </c>
      <c r="E540" s="105">
        <f>47.42+257.04+50.01+76.9+47.52+60.52</f>
        <v>539.41</v>
      </c>
      <c r="F540" s="104" t="s">
        <v>374</v>
      </c>
      <c r="G540" s="104" t="s">
        <v>374</v>
      </c>
    </row>
    <row r="541" spans="2:7" ht="13">
      <c r="B541" s="99" t="s">
        <v>435</v>
      </c>
      <c r="C541" s="99" t="s">
        <v>337</v>
      </c>
      <c r="E541" s="105">
        <v>2222</v>
      </c>
      <c r="F541" s="104" t="s">
        <v>374</v>
      </c>
      <c r="G541" s="104" t="s">
        <v>374</v>
      </c>
    </row>
    <row r="542" spans="2:7" ht="13">
      <c r="B542" s="99" t="s">
        <v>435</v>
      </c>
      <c r="C542" s="99" t="s">
        <v>306</v>
      </c>
      <c r="D542" s="99" t="s">
        <v>362</v>
      </c>
      <c r="E542" s="105">
        <v>304.2</v>
      </c>
      <c r="F542" s="104" t="s">
        <v>315</v>
      </c>
      <c r="G542" s="104" t="s">
        <v>315</v>
      </c>
    </row>
    <row r="543" spans="2:7" ht="13">
      <c r="B543" s="99" t="s">
        <v>435</v>
      </c>
      <c r="C543" s="99" t="s">
        <v>328</v>
      </c>
      <c r="D543" s="99" t="s">
        <v>105</v>
      </c>
      <c r="E543" s="105">
        <v>60.02</v>
      </c>
      <c r="F543" s="104" t="s">
        <v>374</v>
      </c>
      <c r="G543" s="104" t="s">
        <v>315</v>
      </c>
    </row>
    <row r="544" spans="2:7" ht="13">
      <c r="B544" s="99" t="s">
        <v>435</v>
      </c>
      <c r="C544" s="99" t="s">
        <v>328</v>
      </c>
      <c r="E544" s="105">
        <f>884.91-E543</f>
        <v>824.89</v>
      </c>
      <c r="F544" s="104" t="s">
        <v>374</v>
      </c>
      <c r="G544" s="104" t="s">
        <v>374</v>
      </c>
    </row>
    <row r="545" spans="2:7" ht="13">
      <c r="B545" s="99" t="s">
        <v>435</v>
      </c>
      <c r="C545" s="99" t="s">
        <v>499</v>
      </c>
      <c r="E545" s="105">
        <v>49.07</v>
      </c>
      <c r="F545" s="104" t="s">
        <v>374</v>
      </c>
      <c r="G545" s="104" t="s">
        <v>374</v>
      </c>
    </row>
    <row r="546" spans="2:7" ht="13">
      <c r="B546" s="99" t="s">
        <v>435</v>
      </c>
      <c r="C546" s="99" t="s">
        <v>97</v>
      </c>
      <c r="E546" s="105">
        <v>27.86</v>
      </c>
      <c r="F546" s="104" t="s">
        <v>315</v>
      </c>
      <c r="G546" s="104" t="s">
        <v>374</v>
      </c>
    </row>
    <row r="547" spans="2:7" ht="13">
      <c r="B547" s="99" t="s">
        <v>435</v>
      </c>
      <c r="C547" s="99" t="s">
        <v>97</v>
      </c>
      <c r="E547" s="105">
        <f>319.79-E546</f>
        <v>291.93</v>
      </c>
      <c r="F547" s="104" t="s">
        <v>374</v>
      </c>
      <c r="G547" s="104" t="s">
        <v>374</v>
      </c>
    </row>
    <row r="548" spans="2:7" ht="13">
      <c r="B548" s="99" t="s">
        <v>435</v>
      </c>
      <c r="C548" s="99" t="s">
        <v>487</v>
      </c>
      <c r="E548" s="105">
        <v>14.32</v>
      </c>
      <c r="F548" s="104" t="s">
        <v>315</v>
      </c>
      <c r="G548" s="104" t="s">
        <v>374</v>
      </c>
    </row>
    <row r="549" spans="2:7" ht="13">
      <c r="B549" s="99" t="s">
        <v>435</v>
      </c>
      <c r="C549" s="99" t="s">
        <v>448</v>
      </c>
      <c r="E549" s="105">
        <v>341.5</v>
      </c>
      <c r="F549" s="104" t="s">
        <v>315</v>
      </c>
      <c r="G549" s="104" t="s">
        <v>374</v>
      </c>
    </row>
    <row r="550" spans="2:7" ht="13">
      <c r="B550" s="99" t="s">
        <v>435</v>
      </c>
      <c r="C550" s="99" t="s">
        <v>448</v>
      </c>
      <c r="E550" s="105">
        <v>95.55</v>
      </c>
      <c r="F550" s="104" t="s">
        <v>374</v>
      </c>
      <c r="G550" s="104" t="s">
        <v>374</v>
      </c>
    </row>
    <row r="551" spans="2:7" ht="13">
      <c r="B551" s="99" t="s">
        <v>55</v>
      </c>
      <c r="C551" s="99" t="s">
        <v>337</v>
      </c>
      <c r="E551" s="105">
        <v>333.73</v>
      </c>
      <c r="F551" s="104" t="s">
        <v>374</v>
      </c>
      <c r="G551" s="104" t="s">
        <v>374</v>
      </c>
    </row>
    <row r="552" spans="2:7" ht="13">
      <c r="B552" s="99" t="s">
        <v>435</v>
      </c>
      <c r="C552" s="99" t="s">
        <v>337</v>
      </c>
      <c r="E552" s="105">
        <v>33.18</v>
      </c>
      <c r="F552" s="104" t="s">
        <v>374</v>
      </c>
      <c r="G552" s="104" t="s">
        <v>374</v>
      </c>
    </row>
    <row r="553" spans="2:7" ht="13">
      <c r="B553" s="99" t="s">
        <v>435</v>
      </c>
      <c r="C553" s="99" t="s">
        <v>328</v>
      </c>
      <c r="E553" s="105">
        <v>1534.94</v>
      </c>
      <c r="F553" s="104" t="s">
        <v>374</v>
      </c>
      <c r="G553" s="104" t="s">
        <v>374</v>
      </c>
    </row>
    <row r="554" spans="2:7" ht="13">
      <c r="B554" s="99" t="s">
        <v>435</v>
      </c>
      <c r="C554" s="99" t="s">
        <v>70</v>
      </c>
      <c r="E554" s="105">
        <v>281.01</v>
      </c>
      <c r="F554" s="104" t="s">
        <v>374</v>
      </c>
      <c r="G554" s="104" t="s">
        <v>374</v>
      </c>
    </row>
    <row r="555" spans="2:7" ht="13">
      <c r="B555" s="99" t="s">
        <v>435</v>
      </c>
      <c r="C555" s="99" t="s">
        <v>97</v>
      </c>
      <c r="E555" s="105">
        <v>312.01</v>
      </c>
      <c r="F555" s="104" t="s">
        <v>374</v>
      </c>
      <c r="G555" s="104" t="s">
        <v>374</v>
      </c>
    </row>
    <row r="556" spans="2:7" ht="13">
      <c r="B556" s="99" t="s">
        <v>435</v>
      </c>
      <c r="C556" s="99" t="s">
        <v>448</v>
      </c>
      <c r="E556" s="105">
        <v>892.62</v>
      </c>
      <c r="F556" s="104" t="s">
        <v>315</v>
      </c>
      <c r="G556" s="104" t="s">
        <v>374</v>
      </c>
    </row>
    <row r="557" spans="2:7" ht="13">
      <c r="B557" s="99" t="s">
        <v>435</v>
      </c>
      <c r="C557" s="99" t="s">
        <v>306</v>
      </c>
      <c r="E557" s="105">
        <v>269.42</v>
      </c>
      <c r="F557" s="104" t="s">
        <v>315</v>
      </c>
      <c r="G557" s="104" t="s">
        <v>374</v>
      </c>
    </row>
    <row r="558" spans="2:7" ht="13">
      <c r="B558" s="99" t="s">
        <v>497</v>
      </c>
      <c r="C558" s="99" t="s">
        <v>59</v>
      </c>
      <c r="E558" s="105">
        <v>692.9</v>
      </c>
      <c r="F558" s="104" t="s">
        <v>374</v>
      </c>
      <c r="G558" s="104" t="s">
        <v>374</v>
      </c>
    </row>
    <row r="559" spans="2:7" ht="13">
      <c r="B559" s="99" t="s">
        <v>497</v>
      </c>
      <c r="C559" s="99" t="s">
        <v>448</v>
      </c>
      <c r="E559" s="105">
        <v>384.38</v>
      </c>
      <c r="F559" s="104" t="s">
        <v>315</v>
      </c>
      <c r="G559" s="104" t="s">
        <v>374</v>
      </c>
    </row>
    <row r="560" spans="2:7" ht="13">
      <c r="B560" s="99" t="s">
        <v>497</v>
      </c>
      <c r="C560" s="99" t="s">
        <v>448</v>
      </c>
      <c r="E560" s="105">
        <v>167.21</v>
      </c>
      <c r="F560" s="104" t="s">
        <v>374</v>
      </c>
      <c r="G560" s="104" t="s">
        <v>374</v>
      </c>
    </row>
    <row r="561" spans="2:7" ht="13">
      <c r="B561" s="99" t="s">
        <v>497</v>
      </c>
      <c r="C561" s="99" t="s">
        <v>448</v>
      </c>
      <c r="E561" s="105">
        <v>3496.6</v>
      </c>
      <c r="F561" s="104" t="s">
        <v>374</v>
      </c>
      <c r="G561" s="104" t="s">
        <v>374</v>
      </c>
    </row>
    <row r="562" spans="2:7" ht="13">
      <c r="B562" s="99" t="s">
        <v>497</v>
      </c>
      <c r="C562" s="99" t="s">
        <v>448</v>
      </c>
      <c r="E562" s="105">
        <v>1604.15</v>
      </c>
      <c r="F562" s="104" t="s">
        <v>374</v>
      </c>
      <c r="G562" s="104" t="s">
        <v>374</v>
      </c>
    </row>
    <row r="563" spans="2:7" ht="13">
      <c r="B563" s="99" t="s">
        <v>497</v>
      </c>
      <c r="C563" s="99" t="s">
        <v>448</v>
      </c>
      <c r="E563" s="105">
        <v>2232.11</v>
      </c>
      <c r="F563" s="104" t="s">
        <v>374</v>
      </c>
      <c r="G563" s="104" t="s">
        <v>374</v>
      </c>
    </row>
    <row r="564" spans="2:7" ht="13">
      <c r="B564" s="99" t="s">
        <v>491</v>
      </c>
      <c r="C564" s="99" t="s">
        <v>487</v>
      </c>
      <c r="E564" s="105">
        <v>130.56</v>
      </c>
      <c r="F564" s="104" t="s">
        <v>315</v>
      </c>
      <c r="G564" s="104" t="s">
        <v>374</v>
      </c>
    </row>
    <row r="565" spans="2:7" ht="13">
      <c r="B565" s="99" t="s">
        <v>491</v>
      </c>
      <c r="C565" s="99" t="s">
        <v>487</v>
      </c>
      <c r="E565" s="105">
        <v>170.42</v>
      </c>
      <c r="F565" s="104" t="s">
        <v>315</v>
      </c>
      <c r="G565" s="104" t="s">
        <v>374</v>
      </c>
    </row>
    <row r="566" spans="2:7" ht="13">
      <c r="B566" s="99" t="s">
        <v>462</v>
      </c>
      <c r="C566" s="99" t="s">
        <v>118</v>
      </c>
      <c r="E566" s="105">
        <v>1212.5899999999999</v>
      </c>
      <c r="F566" s="104" t="s">
        <v>374</v>
      </c>
      <c r="G566" s="104" t="s">
        <v>374</v>
      </c>
    </row>
    <row r="567" spans="2:7" ht="13">
      <c r="B567" s="99" t="s">
        <v>464</v>
      </c>
      <c r="C567" s="99" t="s">
        <v>487</v>
      </c>
      <c r="E567" s="105">
        <v>387.34</v>
      </c>
      <c r="F567" s="104" t="s">
        <v>374</v>
      </c>
      <c r="G567" s="104" t="s">
        <v>374</v>
      </c>
    </row>
    <row r="568" spans="2:7" ht="13">
      <c r="B568" s="99" t="s">
        <v>464</v>
      </c>
      <c r="C568" s="99" t="s">
        <v>487</v>
      </c>
      <c r="E568" s="105">
        <v>443.73</v>
      </c>
      <c r="F568" s="104" t="s">
        <v>374</v>
      </c>
      <c r="G568" s="104" t="s">
        <v>374</v>
      </c>
    </row>
    <row r="569" spans="2:7" ht="13">
      <c r="B569" s="99" t="s">
        <v>500</v>
      </c>
      <c r="C569" s="99" t="s">
        <v>341</v>
      </c>
      <c r="D569" s="99" t="s">
        <v>105</v>
      </c>
      <c r="E569" s="105">
        <v>232.94</v>
      </c>
      <c r="F569" s="104" t="s">
        <v>374</v>
      </c>
      <c r="G569" s="104" t="s">
        <v>315</v>
      </c>
    </row>
    <row r="570" spans="2:7" ht="13">
      <c r="B570" s="99" t="s">
        <v>110</v>
      </c>
      <c r="C570" s="99" t="s">
        <v>118</v>
      </c>
      <c r="D570" s="99" t="s">
        <v>105</v>
      </c>
      <c r="E570" s="105">
        <v>715.8</v>
      </c>
      <c r="F570" s="104" t="s">
        <v>374</v>
      </c>
      <c r="G570" s="104" t="s">
        <v>315</v>
      </c>
    </row>
    <row r="571" spans="2:7" ht="13">
      <c r="B571" s="99" t="s">
        <v>456</v>
      </c>
      <c r="C571" s="99" t="s">
        <v>338</v>
      </c>
      <c r="E571" s="105">
        <v>427.45</v>
      </c>
      <c r="F571" s="104" t="s">
        <v>315</v>
      </c>
      <c r="G571" s="104" t="s">
        <v>374</v>
      </c>
    </row>
    <row r="572" spans="2:7" ht="13">
      <c r="B572" s="99" t="s">
        <v>488</v>
      </c>
      <c r="C572" s="99" t="s">
        <v>338</v>
      </c>
      <c r="E572" s="105">
        <v>301.24</v>
      </c>
      <c r="F572" s="104" t="s">
        <v>374</v>
      </c>
      <c r="G572" s="104" t="s">
        <v>374</v>
      </c>
    </row>
    <row r="573" spans="2:7" ht="13">
      <c r="B573" s="99" t="s">
        <v>435</v>
      </c>
      <c r="C573" s="99" t="s">
        <v>97</v>
      </c>
      <c r="E573" s="105">
        <v>340.08</v>
      </c>
      <c r="F573" s="104" t="s">
        <v>315</v>
      </c>
      <c r="G573" s="104" t="s">
        <v>374</v>
      </c>
    </row>
    <row r="574" spans="2:7" ht="13">
      <c r="B574" s="99" t="s">
        <v>435</v>
      </c>
      <c r="C574" s="99" t="s">
        <v>338</v>
      </c>
      <c r="E574" s="114">
        <f>119.52+16.47</f>
        <v>135.99</v>
      </c>
      <c r="F574" s="104" t="s">
        <v>315</v>
      </c>
      <c r="G574" s="104" t="s">
        <v>374</v>
      </c>
    </row>
    <row r="575" spans="2:7" ht="13">
      <c r="B575" s="99" t="s">
        <v>435</v>
      </c>
      <c r="C575" s="99" t="s">
        <v>337</v>
      </c>
      <c r="E575" s="105">
        <v>98.18</v>
      </c>
      <c r="F575" s="104" t="s">
        <v>374</v>
      </c>
      <c r="G575" s="104" t="s">
        <v>374</v>
      </c>
    </row>
    <row r="576" spans="2:7" ht="13">
      <c r="B576" s="99" t="s">
        <v>435</v>
      </c>
      <c r="C576" s="99" t="s">
        <v>448</v>
      </c>
      <c r="E576" s="114">
        <f>74.89+53.88</f>
        <v>128.77000000000001</v>
      </c>
      <c r="F576" s="104" t="s">
        <v>374</v>
      </c>
      <c r="G576" s="104" t="s">
        <v>374</v>
      </c>
    </row>
    <row r="577" spans="2:7" ht="13">
      <c r="B577" s="99" t="s">
        <v>270</v>
      </c>
      <c r="C577" s="99" t="s">
        <v>306</v>
      </c>
      <c r="E577" s="114">
        <f>1806.19+52.86</f>
        <v>1859.05</v>
      </c>
      <c r="F577" s="104" t="s">
        <v>315</v>
      </c>
      <c r="G577" s="104" t="s">
        <v>374</v>
      </c>
    </row>
    <row r="578" spans="2:7" ht="13">
      <c r="B578" s="99" t="s">
        <v>435</v>
      </c>
      <c r="C578" s="99" t="s">
        <v>448</v>
      </c>
      <c r="E578" s="105">
        <v>202.56</v>
      </c>
      <c r="F578" s="104" t="s">
        <v>315</v>
      </c>
      <c r="G578" s="104" t="s">
        <v>374</v>
      </c>
    </row>
    <row r="579" spans="2:7" ht="13">
      <c r="B579" s="99" t="s">
        <v>435</v>
      </c>
      <c r="C579" s="99" t="s">
        <v>338</v>
      </c>
      <c r="E579" s="105">
        <v>435.48</v>
      </c>
      <c r="F579" s="104" t="s">
        <v>315</v>
      </c>
      <c r="G579" s="104" t="s">
        <v>374</v>
      </c>
    </row>
    <row r="580" spans="2:7" ht="13">
      <c r="B580" s="99" t="s">
        <v>435</v>
      </c>
      <c r="C580" s="99" t="s">
        <v>448</v>
      </c>
      <c r="E580" s="105">
        <v>348.84</v>
      </c>
      <c r="F580" s="104" t="s">
        <v>374</v>
      </c>
      <c r="G580" s="104" t="s">
        <v>374</v>
      </c>
    </row>
    <row r="581" spans="2:7" ht="13">
      <c r="B581" s="99" t="s">
        <v>435</v>
      </c>
      <c r="C581" s="99" t="s">
        <v>97</v>
      </c>
      <c r="E581" s="105">
        <v>94.54</v>
      </c>
      <c r="F581" s="104" t="s">
        <v>374</v>
      </c>
      <c r="G581" s="104" t="s">
        <v>374</v>
      </c>
    </row>
    <row r="582" spans="2:7" ht="13">
      <c r="B582" s="99" t="s">
        <v>435</v>
      </c>
      <c r="C582" s="99" t="s">
        <v>448</v>
      </c>
      <c r="E582" s="105">
        <v>16.22</v>
      </c>
      <c r="F582" s="104" t="s">
        <v>315</v>
      </c>
      <c r="G582" s="104" t="s">
        <v>374</v>
      </c>
    </row>
    <row r="583" spans="2:7" ht="13">
      <c r="B583" s="99" t="s">
        <v>435</v>
      </c>
      <c r="C583" s="99" t="s">
        <v>448</v>
      </c>
      <c r="E583" s="105">
        <v>46.47</v>
      </c>
      <c r="F583" s="104" t="s">
        <v>374</v>
      </c>
      <c r="G583" s="104" t="s">
        <v>374</v>
      </c>
    </row>
    <row r="584" spans="2:7" ht="13">
      <c r="B584" s="99" t="s">
        <v>435</v>
      </c>
      <c r="C584" s="99" t="s">
        <v>338</v>
      </c>
      <c r="E584" s="105">
        <v>36.479999999999997</v>
      </c>
      <c r="F584" s="104" t="s">
        <v>315</v>
      </c>
      <c r="G584" s="104" t="s">
        <v>374</v>
      </c>
    </row>
    <row r="585" spans="2:7" ht="13">
      <c r="B585" s="99" t="s">
        <v>435</v>
      </c>
      <c r="C585" s="99" t="s">
        <v>337</v>
      </c>
      <c r="E585" s="105">
        <v>93.32</v>
      </c>
      <c r="F585" s="104" t="s">
        <v>374</v>
      </c>
      <c r="G585" s="104" t="s">
        <v>374</v>
      </c>
    </row>
    <row r="586" spans="2:7" ht="13">
      <c r="B586" s="99" t="s">
        <v>501</v>
      </c>
      <c r="C586" s="99" t="s">
        <v>448</v>
      </c>
      <c r="E586" s="105">
        <v>86.12</v>
      </c>
      <c r="F586" s="104" t="s">
        <v>374</v>
      </c>
      <c r="G586" s="104" t="s">
        <v>374</v>
      </c>
    </row>
    <row r="587" spans="2:7" ht="13">
      <c r="B587" s="99" t="s">
        <v>501</v>
      </c>
      <c r="C587" s="99" t="s">
        <v>306</v>
      </c>
      <c r="E587" s="105">
        <v>15.44</v>
      </c>
      <c r="F587" s="104" t="s">
        <v>315</v>
      </c>
      <c r="G587" s="104" t="s">
        <v>374</v>
      </c>
    </row>
    <row r="588" spans="2:7" ht="13">
      <c r="B588" s="99" t="s">
        <v>501</v>
      </c>
      <c r="C588" s="99" t="s">
        <v>487</v>
      </c>
      <c r="E588" s="105">
        <v>16.07</v>
      </c>
      <c r="F588" s="104" t="s">
        <v>315</v>
      </c>
      <c r="G588" s="104" t="s">
        <v>374</v>
      </c>
    </row>
    <row r="589" spans="2:7" ht="13">
      <c r="B589" s="99" t="s">
        <v>58</v>
      </c>
      <c r="C589" s="99" t="s">
        <v>448</v>
      </c>
      <c r="E589" s="105">
        <v>908.72</v>
      </c>
      <c r="F589" s="104" t="s">
        <v>374</v>
      </c>
      <c r="G589" s="104" t="s">
        <v>374</v>
      </c>
    </row>
    <row r="590" spans="2:7" ht="13">
      <c r="B590" s="99" t="s">
        <v>58</v>
      </c>
      <c r="C590" s="99" t="s">
        <v>448</v>
      </c>
      <c r="E590" s="105">
        <v>670.82</v>
      </c>
      <c r="F590" s="104" t="s">
        <v>374</v>
      </c>
      <c r="G590" s="104" t="s">
        <v>374</v>
      </c>
    </row>
    <row r="591" spans="2:7" ht="13">
      <c r="B591" s="99" t="s">
        <v>501</v>
      </c>
      <c r="C591" s="99" t="s">
        <v>448</v>
      </c>
      <c r="E591" s="105">
        <v>92.58</v>
      </c>
      <c r="F591" s="104" t="s">
        <v>374</v>
      </c>
      <c r="G591" s="104" t="s">
        <v>374</v>
      </c>
    </row>
    <row r="592" spans="2:7" ht="13">
      <c r="B592" s="99" t="s">
        <v>501</v>
      </c>
      <c r="C592" s="99" t="s">
        <v>502</v>
      </c>
      <c r="E592" s="105">
        <v>10.36</v>
      </c>
      <c r="F592" s="104" t="s">
        <v>315</v>
      </c>
      <c r="G592" s="104" t="s">
        <v>374</v>
      </c>
    </row>
    <row r="593" spans="1:17" ht="13">
      <c r="B593" s="99" t="s">
        <v>501</v>
      </c>
      <c r="C593" s="99" t="s">
        <v>448</v>
      </c>
      <c r="E593" s="105">
        <v>1273.58</v>
      </c>
      <c r="F593" s="104" t="s">
        <v>374</v>
      </c>
      <c r="G593" s="104" t="s">
        <v>374</v>
      </c>
    </row>
    <row r="594" spans="1:17" ht="13">
      <c r="B594" s="99" t="s">
        <v>501</v>
      </c>
      <c r="C594" s="99" t="s">
        <v>338</v>
      </c>
      <c r="E594" s="105">
        <v>45</v>
      </c>
      <c r="F594" s="104" t="s">
        <v>315</v>
      </c>
      <c r="G594" s="104" t="s">
        <v>374</v>
      </c>
    </row>
    <row r="595" spans="1:17" ht="13">
      <c r="B595" s="99" t="s">
        <v>58</v>
      </c>
      <c r="C595" s="99" t="s">
        <v>448</v>
      </c>
      <c r="E595" s="105">
        <v>426.04</v>
      </c>
      <c r="F595" s="104" t="s">
        <v>374</v>
      </c>
      <c r="G595" s="104" t="s">
        <v>374</v>
      </c>
    </row>
    <row r="596" spans="1:17" ht="13">
      <c r="B596" s="99" t="s">
        <v>58</v>
      </c>
      <c r="C596" s="99" t="s">
        <v>97</v>
      </c>
      <c r="E596" s="105">
        <v>21.01</v>
      </c>
      <c r="F596" s="104" t="s">
        <v>374</v>
      </c>
      <c r="G596" s="104" t="s">
        <v>374</v>
      </c>
    </row>
    <row r="597" spans="1:17" ht="13">
      <c r="B597" s="99" t="s">
        <v>58</v>
      </c>
      <c r="C597" s="99" t="s">
        <v>448</v>
      </c>
      <c r="E597" s="105">
        <v>5.9</v>
      </c>
      <c r="F597" s="104" t="s">
        <v>315</v>
      </c>
      <c r="G597" s="104" t="s">
        <v>374</v>
      </c>
    </row>
    <row r="598" spans="1:17" ht="13">
      <c r="B598" s="99" t="s">
        <v>501</v>
      </c>
      <c r="C598" s="99" t="s">
        <v>448</v>
      </c>
      <c r="E598" s="105">
        <v>57.35</v>
      </c>
      <c r="F598" s="104" t="s">
        <v>374</v>
      </c>
      <c r="G598" s="104" t="s">
        <v>374</v>
      </c>
    </row>
    <row r="599" spans="1:17" ht="13">
      <c r="B599" s="99" t="s">
        <v>58</v>
      </c>
      <c r="C599" s="99" t="s">
        <v>448</v>
      </c>
      <c r="E599" s="105">
        <v>155.21</v>
      </c>
      <c r="F599" s="104" t="s">
        <v>374</v>
      </c>
      <c r="G599" s="104" t="s">
        <v>374</v>
      </c>
    </row>
    <row r="600" spans="1:17" ht="13">
      <c r="E600" s="114"/>
      <c r="F600" s="79"/>
      <c r="G600" s="79"/>
    </row>
    <row r="601" spans="1:17" ht="13">
      <c r="A601" s="128"/>
      <c r="B601" s="128"/>
      <c r="C601" s="128"/>
      <c r="D601" s="129" t="s">
        <v>503</v>
      </c>
      <c r="E601" s="130">
        <f>SUM(E434:E599)</f>
        <v>64772.110000000022</v>
      </c>
      <c r="F601" s="131"/>
      <c r="G601" s="131"/>
      <c r="H601" s="130">
        <f>E587+E577+E557+E542+E523+E488+SUM(E468:E473)+SUM(E434:E454)</f>
        <v>13319.099999999999</v>
      </c>
      <c r="I601" s="128"/>
      <c r="J601" s="128"/>
      <c r="K601" s="128"/>
      <c r="L601" s="128"/>
      <c r="M601" s="128"/>
      <c r="N601" s="128"/>
      <c r="O601" s="128"/>
      <c r="P601" s="128"/>
      <c r="Q601" s="114">
        <f>E481</f>
        <v>243.36</v>
      </c>
    </row>
    <row r="602" spans="1:17" ht="13">
      <c r="E602" s="114"/>
      <c r="F602" s="79"/>
      <c r="G602" s="79"/>
    </row>
    <row r="603" spans="1:17" ht="13">
      <c r="E603" s="114"/>
      <c r="F603" s="79"/>
      <c r="G603" s="79"/>
    </row>
    <row r="604" spans="1:17" ht="13">
      <c r="A604" s="99" t="s">
        <v>504</v>
      </c>
      <c r="B604" s="99" t="s">
        <v>270</v>
      </c>
      <c r="C604" s="99" t="s">
        <v>290</v>
      </c>
      <c r="E604" s="105">
        <v>10.79</v>
      </c>
      <c r="F604" s="104" t="s">
        <v>315</v>
      </c>
      <c r="G604" s="104" t="s">
        <v>374</v>
      </c>
    </row>
    <row r="605" spans="1:17" ht="13">
      <c r="B605" s="99" t="s">
        <v>270</v>
      </c>
      <c r="C605" s="99" t="s">
        <v>279</v>
      </c>
      <c r="E605" s="105">
        <v>46.18</v>
      </c>
      <c r="F605" s="104" t="s">
        <v>315</v>
      </c>
      <c r="G605" s="104" t="s">
        <v>374</v>
      </c>
    </row>
    <row r="606" spans="1:17" ht="13">
      <c r="B606" s="99" t="s">
        <v>270</v>
      </c>
      <c r="C606" s="99" t="s">
        <v>287</v>
      </c>
      <c r="E606" s="105">
        <v>32.97</v>
      </c>
      <c r="F606" s="104" t="s">
        <v>315</v>
      </c>
      <c r="G606" s="104" t="s">
        <v>374</v>
      </c>
    </row>
    <row r="607" spans="1:17" ht="13">
      <c r="B607" s="99" t="s">
        <v>270</v>
      </c>
      <c r="C607" s="99" t="s">
        <v>293</v>
      </c>
      <c r="E607" s="105">
        <v>37.71</v>
      </c>
      <c r="F607" s="104" t="s">
        <v>315</v>
      </c>
      <c r="G607" s="104" t="s">
        <v>374</v>
      </c>
    </row>
    <row r="608" spans="1:17" ht="13">
      <c r="B608" s="99" t="s">
        <v>270</v>
      </c>
      <c r="C608" s="99" t="s">
        <v>294</v>
      </c>
      <c r="E608" s="105">
        <v>21.98</v>
      </c>
      <c r="F608" s="104" t="s">
        <v>315</v>
      </c>
      <c r="G608" s="104" t="s">
        <v>374</v>
      </c>
    </row>
    <row r="609" spans="1:26" ht="13">
      <c r="B609" s="99" t="s">
        <v>270</v>
      </c>
      <c r="C609" s="99" t="s">
        <v>505</v>
      </c>
      <c r="E609" s="105">
        <v>22.28</v>
      </c>
      <c r="F609" s="104" t="s">
        <v>315</v>
      </c>
      <c r="G609" s="104" t="s">
        <v>374</v>
      </c>
    </row>
    <row r="610" spans="1:26" ht="13">
      <c r="B610" s="99" t="s">
        <v>270</v>
      </c>
      <c r="C610" s="99" t="s">
        <v>506</v>
      </c>
      <c r="E610" s="105">
        <v>151.19999999999999</v>
      </c>
      <c r="F610" s="104" t="s">
        <v>315</v>
      </c>
      <c r="G610" s="104" t="s">
        <v>374</v>
      </c>
    </row>
    <row r="611" spans="1:26" ht="13">
      <c r="A611" s="108"/>
      <c r="B611" s="107" t="s">
        <v>270</v>
      </c>
      <c r="C611" s="107" t="s">
        <v>477</v>
      </c>
      <c r="D611" s="108"/>
      <c r="E611" s="111">
        <f>110.88</f>
        <v>110.88</v>
      </c>
      <c r="F611" s="110" t="s">
        <v>315</v>
      </c>
      <c r="G611" s="110" t="s">
        <v>374</v>
      </c>
      <c r="H611" s="108"/>
      <c r="I611" s="108"/>
      <c r="J611" s="108"/>
      <c r="K611" s="108"/>
      <c r="L611" s="108"/>
      <c r="M611" s="108"/>
      <c r="N611" s="108"/>
      <c r="O611" s="108"/>
      <c r="P611" s="108"/>
      <c r="Q611" s="108"/>
      <c r="R611" s="108"/>
      <c r="S611" s="108"/>
      <c r="T611" s="108"/>
      <c r="U611" s="108"/>
      <c r="V611" s="108"/>
      <c r="W611" s="108"/>
      <c r="X611" s="108"/>
      <c r="Y611" s="108"/>
      <c r="Z611" s="108"/>
    </row>
    <row r="612" spans="1:26" ht="13">
      <c r="B612" s="99" t="s">
        <v>270</v>
      </c>
      <c r="C612" s="99" t="s">
        <v>276</v>
      </c>
      <c r="E612" s="105">
        <v>47.4</v>
      </c>
      <c r="F612" s="104" t="s">
        <v>315</v>
      </c>
      <c r="G612" s="104" t="s">
        <v>374</v>
      </c>
    </row>
    <row r="613" spans="1:26" ht="13">
      <c r="A613" s="108"/>
      <c r="B613" s="107" t="s">
        <v>270</v>
      </c>
      <c r="C613" s="107" t="s">
        <v>507</v>
      </c>
      <c r="D613" s="108"/>
      <c r="E613" s="111">
        <f>84.2</f>
        <v>84.2</v>
      </c>
      <c r="F613" s="110" t="s">
        <v>315</v>
      </c>
      <c r="G613" s="110" t="s">
        <v>374</v>
      </c>
      <c r="H613" s="108"/>
      <c r="I613" s="108"/>
      <c r="J613" s="108"/>
      <c r="K613" s="108"/>
      <c r="L613" s="108"/>
      <c r="M613" s="108"/>
      <c r="N613" s="108"/>
      <c r="O613" s="108"/>
      <c r="P613" s="108"/>
      <c r="Q613" s="108"/>
      <c r="R613" s="108"/>
      <c r="S613" s="108"/>
      <c r="T613" s="108"/>
      <c r="U613" s="108"/>
      <c r="V613" s="108"/>
      <c r="W613" s="108"/>
      <c r="X613" s="108"/>
      <c r="Y613" s="108"/>
      <c r="Z613" s="108"/>
    </row>
    <row r="614" spans="1:26" ht="13">
      <c r="B614" s="99" t="s">
        <v>270</v>
      </c>
      <c r="C614" s="99" t="s">
        <v>276</v>
      </c>
      <c r="E614" s="105">
        <v>13.38</v>
      </c>
      <c r="F614" s="104" t="s">
        <v>315</v>
      </c>
      <c r="G614" s="104" t="s">
        <v>374</v>
      </c>
    </row>
    <row r="615" spans="1:26" ht="13">
      <c r="B615" s="99" t="s">
        <v>270</v>
      </c>
      <c r="C615" s="99" t="s">
        <v>276</v>
      </c>
      <c r="E615" s="105">
        <v>60.68</v>
      </c>
      <c r="F615" s="104" t="s">
        <v>315</v>
      </c>
      <c r="G615" s="104" t="s">
        <v>374</v>
      </c>
    </row>
    <row r="616" spans="1:26" ht="13">
      <c r="B616" s="99" t="s">
        <v>270</v>
      </c>
      <c r="C616" s="99" t="s">
        <v>287</v>
      </c>
      <c r="E616" s="105">
        <v>92.91</v>
      </c>
      <c r="F616" s="104" t="s">
        <v>315</v>
      </c>
      <c r="G616" s="104" t="s">
        <v>374</v>
      </c>
    </row>
    <row r="617" spans="1:26" ht="13">
      <c r="B617" s="99" t="s">
        <v>270</v>
      </c>
      <c r="C617" s="99" t="s">
        <v>287</v>
      </c>
      <c r="E617" s="105">
        <v>98.91</v>
      </c>
      <c r="F617" s="104" t="s">
        <v>315</v>
      </c>
      <c r="G617" s="104" t="s">
        <v>374</v>
      </c>
    </row>
    <row r="618" spans="1:26" ht="13">
      <c r="A618" s="108"/>
      <c r="B618" s="107" t="s">
        <v>270</v>
      </c>
      <c r="C618" s="107" t="s">
        <v>466</v>
      </c>
      <c r="D618" s="108"/>
      <c r="E618" s="111">
        <f>116.4</f>
        <v>116.4</v>
      </c>
      <c r="F618" s="110" t="s">
        <v>315</v>
      </c>
      <c r="G618" s="110" t="s">
        <v>374</v>
      </c>
      <c r="H618" s="108"/>
      <c r="I618" s="108"/>
      <c r="J618" s="108"/>
      <c r="K618" s="108"/>
      <c r="L618" s="108"/>
      <c r="M618" s="108"/>
      <c r="N618" s="108"/>
      <c r="O618" s="108"/>
      <c r="P618" s="108"/>
      <c r="Q618" s="108"/>
      <c r="R618" s="108"/>
      <c r="S618" s="108"/>
      <c r="T618" s="108"/>
      <c r="U618" s="108"/>
      <c r="V618" s="108"/>
      <c r="W618" s="108"/>
      <c r="X618" s="108"/>
      <c r="Y618" s="108"/>
      <c r="Z618" s="108"/>
    </row>
    <row r="619" spans="1:26" ht="13">
      <c r="B619" s="99" t="s">
        <v>270</v>
      </c>
      <c r="C619" s="99" t="s">
        <v>508</v>
      </c>
      <c r="E619" s="105">
        <v>52.5</v>
      </c>
      <c r="F619" s="104" t="s">
        <v>315</v>
      </c>
      <c r="G619" s="104" t="s">
        <v>374</v>
      </c>
    </row>
    <row r="620" spans="1:26" ht="13">
      <c r="B620" s="99" t="s">
        <v>270</v>
      </c>
      <c r="C620" s="99" t="s">
        <v>294</v>
      </c>
      <c r="E620" s="105">
        <v>87.96</v>
      </c>
      <c r="F620" s="104" t="s">
        <v>315</v>
      </c>
      <c r="G620" s="104" t="s">
        <v>374</v>
      </c>
    </row>
    <row r="621" spans="1:26" ht="13">
      <c r="B621" s="99" t="s">
        <v>270</v>
      </c>
      <c r="C621" s="99" t="s">
        <v>295</v>
      </c>
      <c r="E621" s="105">
        <v>27.13</v>
      </c>
      <c r="F621" s="104" t="s">
        <v>315</v>
      </c>
      <c r="G621" s="104" t="s">
        <v>374</v>
      </c>
    </row>
    <row r="622" spans="1:26" ht="13">
      <c r="B622" s="99" t="s">
        <v>270</v>
      </c>
      <c r="C622" s="99" t="s">
        <v>302</v>
      </c>
      <c r="E622" s="105">
        <v>32.020000000000003</v>
      </c>
      <c r="F622" s="104" t="s">
        <v>315</v>
      </c>
      <c r="G622" s="104" t="s">
        <v>374</v>
      </c>
    </row>
    <row r="623" spans="1:26" ht="13">
      <c r="B623" s="99" t="s">
        <v>270</v>
      </c>
      <c r="C623" s="99" t="s">
        <v>303</v>
      </c>
      <c r="E623" s="105">
        <v>13.89</v>
      </c>
      <c r="F623" s="104" t="s">
        <v>315</v>
      </c>
      <c r="G623" s="104" t="s">
        <v>374</v>
      </c>
    </row>
    <row r="624" spans="1:26" ht="13">
      <c r="B624" s="99" t="s">
        <v>270</v>
      </c>
      <c r="C624" s="99" t="s">
        <v>303</v>
      </c>
      <c r="E624" s="105">
        <v>5.36</v>
      </c>
      <c r="F624" s="104" t="s">
        <v>315</v>
      </c>
      <c r="G624" s="104" t="s">
        <v>374</v>
      </c>
    </row>
    <row r="625" spans="1:26" ht="13">
      <c r="B625" s="99" t="s">
        <v>270</v>
      </c>
      <c r="C625" s="99" t="s">
        <v>303</v>
      </c>
      <c r="E625" s="105">
        <v>5.1100000000000003</v>
      </c>
      <c r="F625" s="104" t="s">
        <v>315</v>
      </c>
      <c r="G625" s="104" t="s">
        <v>374</v>
      </c>
    </row>
    <row r="626" spans="1:26" ht="13">
      <c r="A626" s="3"/>
      <c r="B626" s="99" t="s">
        <v>270</v>
      </c>
      <c r="C626" s="132" t="s">
        <v>305</v>
      </c>
      <c r="D626" s="3"/>
      <c r="E626" s="133">
        <v>124.14</v>
      </c>
      <c r="F626" s="104" t="s">
        <v>315</v>
      </c>
      <c r="G626" s="104" t="s">
        <v>374</v>
      </c>
      <c r="H626" s="3"/>
      <c r="I626" s="3"/>
      <c r="J626" s="3"/>
      <c r="K626" s="3"/>
      <c r="L626" s="3"/>
      <c r="M626" s="3"/>
      <c r="N626" s="3"/>
      <c r="O626" s="3"/>
      <c r="P626" s="3"/>
      <c r="Q626" s="3"/>
      <c r="R626" s="3"/>
      <c r="S626" s="3"/>
      <c r="T626" s="3"/>
      <c r="U626" s="3"/>
      <c r="V626" s="3"/>
      <c r="W626" s="3"/>
      <c r="X626" s="3"/>
      <c r="Y626" s="3"/>
      <c r="Z626" s="3"/>
    </row>
    <row r="627" spans="1:26" ht="13">
      <c r="B627" s="99" t="s">
        <v>270</v>
      </c>
      <c r="C627" s="99" t="s">
        <v>305</v>
      </c>
      <c r="E627" s="105">
        <v>122.28</v>
      </c>
      <c r="F627" s="104" t="s">
        <v>315</v>
      </c>
      <c r="G627" s="104" t="s">
        <v>374</v>
      </c>
    </row>
    <row r="628" spans="1:26" ht="13">
      <c r="B628" s="99" t="s">
        <v>270</v>
      </c>
      <c r="C628" s="99" t="s">
        <v>271</v>
      </c>
      <c r="E628" s="105">
        <v>75.3</v>
      </c>
      <c r="F628" s="104" t="s">
        <v>315</v>
      </c>
      <c r="G628" s="104" t="s">
        <v>374</v>
      </c>
    </row>
    <row r="629" spans="1:26" ht="13">
      <c r="B629" s="99" t="s">
        <v>270</v>
      </c>
      <c r="C629" s="99" t="s">
        <v>277</v>
      </c>
      <c r="E629" s="105">
        <v>129.24</v>
      </c>
      <c r="F629" s="104" t="s">
        <v>315</v>
      </c>
      <c r="G629" s="104" t="s">
        <v>374</v>
      </c>
    </row>
    <row r="630" spans="1:26" ht="13">
      <c r="B630" s="99" t="s">
        <v>270</v>
      </c>
      <c r="C630" s="99" t="s">
        <v>284</v>
      </c>
      <c r="E630" s="105">
        <v>210.3</v>
      </c>
      <c r="F630" s="104" t="s">
        <v>315</v>
      </c>
      <c r="G630" s="104" t="s">
        <v>374</v>
      </c>
    </row>
    <row r="631" spans="1:26" ht="13">
      <c r="A631" s="108"/>
      <c r="B631" s="107" t="s">
        <v>270</v>
      </c>
      <c r="C631" s="107" t="s">
        <v>466</v>
      </c>
      <c r="D631" s="108"/>
      <c r="E631" s="111">
        <f>29.1</f>
        <v>29.1</v>
      </c>
      <c r="F631" s="110" t="s">
        <v>315</v>
      </c>
      <c r="G631" s="110" t="s">
        <v>374</v>
      </c>
      <c r="H631" s="108"/>
      <c r="I631" s="108"/>
      <c r="J631" s="108"/>
      <c r="K631" s="108"/>
      <c r="L631" s="108"/>
      <c r="M631" s="108"/>
      <c r="N631" s="108"/>
      <c r="O631" s="108"/>
      <c r="P631" s="108"/>
      <c r="Q631" s="108"/>
      <c r="R631" s="108"/>
      <c r="S631" s="108"/>
      <c r="T631" s="108"/>
      <c r="U631" s="108"/>
      <c r="V631" s="108"/>
      <c r="W631" s="108"/>
      <c r="X631" s="108"/>
      <c r="Y631" s="108"/>
      <c r="Z631" s="108"/>
    </row>
    <row r="632" spans="1:26" ht="13">
      <c r="B632" s="99" t="s">
        <v>270</v>
      </c>
      <c r="C632" s="99" t="s">
        <v>303</v>
      </c>
      <c r="E632" s="105">
        <v>5.36</v>
      </c>
      <c r="F632" s="104" t="s">
        <v>315</v>
      </c>
      <c r="G632" s="104" t="s">
        <v>374</v>
      </c>
    </row>
    <row r="633" spans="1:26" ht="13">
      <c r="B633" s="99" t="s">
        <v>270</v>
      </c>
      <c r="C633" s="99" t="s">
        <v>303</v>
      </c>
      <c r="E633" s="105">
        <v>13.93</v>
      </c>
      <c r="F633" s="104" t="s">
        <v>315</v>
      </c>
      <c r="G633" s="104" t="s">
        <v>374</v>
      </c>
    </row>
    <row r="634" spans="1:26" ht="13">
      <c r="B634" s="99" t="s">
        <v>270</v>
      </c>
      <c r="C634" s="99" t="s">
        <v>303</v>
      </c>
      <c r="E634" s="105">
        <v>6.46</v>
      </c>
      <c r="F634" s="104" t="s">
        <v>315</v>
      </c>
      <c r="G634" s="104" t="s">
        <v>374</v>
      </c>
    </row>
    <row r="635" spans="1:26" ht="13">
      <c r="B635" s="99" t="s">
        <v>270</v>
      </c>
      <c r="C635" s="99" t="s">
        <v>476</v>
      </c>
      <c r="E635" s="105">
        <v>8.8000000000000007</v>
      </c>
      <c r="F635" s="104" t="s">
        <v>315</v>
      </c>
      <c r="G635" s="104" t="s">
        <v>374</v>
      </c>
    </row>
    <row r="636" spans="1:26" ht="13">
      <c r="B636" s="99" t="s">
        <v>270</v>
      </c>
      <c r="C636" s="99" t="s">
        <v>477</v>
      </c>
      <c r="E636" s="105">
        <v>23.59</v>
      </c>
      <c r="F636" s="104" t="s">
        <v>315</v>
      </c>
      <c r="G636" s="104" t="s">
        <v>374</v>
      </c>
    </row>
    <row r="637" spans="1:26" ht="13">
      <c r="B637" s="99" t="s">
        <v>270</v>
      </c>
      <c r="C637" s="99" t="s">
        <v>271</v>
      </c>
      <c r="E637" s="105">
        <v>7.94</v>
      </c>
      <c r="F637" s="104" t="s">
        <v>315</v>
      </c>
      <c r="G637" s="104" t="s">
        <v>374</v>
      </c>
    </row>
    <row r="638" spans="1:26" ht="13">
      <c r="B638" s="99" t="s">
        <v>270</v>
      </c>
      <c r="C638" s="99" t="s">
        <v>509</v>
      </c>
      <c r="E638" s="105">
        <v>17.11</v>
      </c>
      <c r="F638" s="104" t="s">
        <v>315</v>
      </c>
      <c r="G638" s="104" t="s">
        <v>374</v>
      </c>
    </row>
    <row r="639" spans="1:26" ht="13">
      <c r="B639" s="99" t="s">
        <v>270</v>
      </c>
      <c r="C639" s="99" t="s">
        <v>271</v>
      </c>
      <c r="E639" s="105">
        <v>15.56</v>
      </c>
      <c r="F639" s="104" t="s">
        <v>315</v>
      </c>
      <c r="G639" s="104" t="s">
        <v>374</v>
      </c>
    </row>
    <row r="640" spans="1:26" ht="13">
      <c r="B640" s="99" t="s">
        <v>270</v>
      </c>
      <c r="C640" s="99" t="s">
        <v>274</v>
      </c>
      <c r="E640" s="105">
        <v>30.13</v>
      </c>
      <c r="F640" s="104" t="s">
        <v>315</v>
      </c>
      <c r="G640" s="104" t="s">
        <v>374</v>
      </c>
    </row>
    <row r="641" spans="1:26" ht="13">
      <c r="B641" s="99" t="s">
        <v>270</v>
      </c>
      <c r="C641" s="99" t="s">
        <v>507</v>
      </c>
      <c r="E641" s="105">
        <v>9.35</v>
      </c>
      <c r="F641" s="104" t="s">
        <v>315</v>
      </c>
      <c r="G641" s="104" t="s">
        <v>374</v>
      </c>
    </row>
    <row r="642" spans="1:26" ht="13">
      <c r="B642" s="99" t="s">
        <v>270</v>
      </c>
      <c r="C642" s="99" t="s">
        <v>432</v>
      </c>
      <c r="D642" s="99" t="s">
        <v>510</v>
      </c>
      <c r="E642" s="105">
        <v>0</v>
      </c>
      <c r="F642" s="104" t="s">
        <v>315</v>
      </c>
      <c r="G642" s="104" t="s">
        <v>315</v>
      </c>
    </row>
    <row r="643" spans="1:26" ht="13">
      <c r="B643" s="99" t="s">
        <v>270</v>
      </c>
      <c r="C643" s="99" t="s">
        <v>276</v>
      </c>
      <c r="E643" s="105">
        <v>46.08</v>
      </c>
      <c r="F643" s="104" t="s">
        <v>315</v>
      </c>
      <c r="G643" s="104" t="s">
        <v>374</v>
      </c>
    </row>
    <row r="644" spans="1:26" ht="13">
      <c r="B644" s="99" t="s">
        <v>270</v>
      </c>
      <c r="C644" s="99" t="s">
        <v>276</v>
      </c>
      <c r="E644" s="105">
        <v>76.08</v>
      </c>
      <c r="F644" s="104" t="s">
        <v>315</v>
      </c>
      <c r="G644" s="104" t="s">
        <v>374</v>
      </c>
    </row>
    <row r="645" spans="1:26" ht="13">
      <c r="B645" s="99" t="s">
        <v>270</v>
      </c>
      <c r="C645" s="99" t="s">
        <v>276</v>
      </c>
      <c r="E645" s="105">
        <v>58.76</v>
      </c>
      <c r="F645" s="104" t="s">
        <v>315</v>
      </c>
      <c r="G645" s="104" t="s">
        <v>374</v>
      </c>
    </row>
    <row r="646" spans="1:26" ht="13">
      <c r="B646" s="99" t="s">
        <v>270</v>
      </c>
      <c r="C646" s="99" t="s">
        <v>277</v>
      </c>
      <c r="E646" s="105">
        <v>44.88</v>
      </c>
      <c r="F646" s="104" t="s">
        <v>315</v>
      </c>
      <c r="G646" s="104" t="s">
        <v>374</v>
      </c>
    </row>
    <row r="647" spans="1:26" ht="13">
      <c r="B647" s="99" t="s">
        <v>270</v>
      </c>
      <c r="C647" s="99" t="s">
        <v>279</v>
      </c>
      <c r="E647" s="105">
        <v>26.73</v>
      </c>
      <c r="F647" s="104" t="s">
        <v>315</v>
      </c>
      <c r="G647" s="104" t="s">
        <v>374</v>
      </c>
    </row>
    <row r="648" spans="1:26" ht="13">
      <c r="B648" s="99" t="s">
        <v>270</v>
      </c>
      <c r="C648" s="99" t="s">
        <v>279</v>
      </c>
      <c r="E648" s="105">
        <v>91.14</v>
      </c>
      <c r="F648" s="104" t="s">
        <v>315</v>
      </c>
      <c r="G648" s="104" t="s">
        <v>374</v>
      </c>
    </row>
    <row r="649" spans="1:26" ht="13">
      <c r="B649" s="99" t="s">
        <v>270</v>
      </c>
      <c r="C649" s="99" t="s">
        <v>279</v>
      </c>
      <c r="E649" s="105">
        <v>138.54</v>
      </c>
      <c r="F649" s="104" t="s">
        <v>315</v>
      </c>
      <c r="G649" s="104" t="s">
        <v>374</v>
      </c>
    </row>
    <row r="650" spans="1:26" ht="13">
      <c r="B650" s="99" t="s">
        <v>270</v>
      </c>
      <c r="C650" s="99" t="s">
        <v>284</v>
      </c>
      <c r="E650" s="105">
        <v>42.06</v>
      </c>
      <c r="F650" s="104" t="s">
        <v>315</v>
      </c>
      <c r="G650" s="104" t="s">
        <v>374</v>
      </c>
    </row>
    <row r="651" spans="1:26" ht="13">
      <c r="B651" s="99" t="s">
        <v>270</v>
      </c>
      <c r="C651" s="99" t="s">
        <v>511</v>
      </c>
      <c r="E651" s="105">
        <v>81.14</v>
      </c>
      <c r="F651" s="104" t="s">
        <v>315</v>
      </c>
      <c r="G651" s="104" t="s">
        <v>374</v>
      </c>
    </row>
    <row r="652" spans="1:26" ht="13">
      <c r="A652" s="108"/>
      <c r="B652" s="107" t="s">
        <v>270</v>
      </c>
      <c r="C652" s="107" t="s">
        <v>306</v>
      </c>
      <c r="D652" s="108"/>
      <c r="E652" s="109">
        <f>10.66+44.44+10.79+24.71+77.13+43.46+27.28+27+26.18+6.82+56.4+16.24+20.69+20.38+23.08+36.96+18.35+31.06+24.7</f>
        <v>546.33000000000004</v>
      </c>
      <c r="F652" s="110" t="s">
        <v>315</v>
      </c>
      <c r="G652" s="110" t="s">
        <v>374</v>
      </c>
      <c r="H652" s="108"/>
      <c r="I652" s="108"/>
      <c r="J652" s="108"/>
      <c r="K652" s="108"/>
      <c r="L652" s="108"/>
      <c r="M652" s="108"/>
      <c r="N652" s="108"/>
      <c r="O652" s="108"/>
      <c r="P652" s="108"/>
      <c r="Q652" s="108"/>
      <c r="R652" s="108"/>
      <c r="S652" s="108"/>
      <c r="T652" s="108"/>
      <c r="U652" s="108"/>
      <c r="V652" s="108"/>
      <c r="W652" s="108"/>
      <c r="X652" s="108"/>
      <c r="Y652" s="108"/>
      <c r="Z652" s="108"/>
    </row>
    <row r="653" spans="1:26" ht="13">
      <c r="A653" s="108"/>
      <c r="B653" s="107" t="s">
        <v>270</v>
      </c>
      <c r="C653" s="107" t="s">
        <v>306</v>
      </c>
      <c r="D653" s="108"/>
      <c r="E653" s="111">
        <f>338.03</f>
        <v>338.03</v>
      </c>
      <c r="F653" s="110" t="s">
        <v>315</v>
      </c>
      <c r="G653" s="110" t="s">
        <v>374</v>
      </c>
      <c r="H653" s="108"/>
      <c r="I653" s="108"/>
      <c r="J653" s="108"/>
      <c r="K653" s="108"/>
      <c r="L653" s="108"/>
      <c r="M653" s="108"/>
      <c r="N653" s="108"/>
      <c r="O653" s="108"/>
      <c r="P653" s="108"/>
      <c r="Q653" s="108"/>
      <c r="R653" s="108"/>
      <c r="S653" s="108"/>
      <c r="T653" s="108"/>
      <c r="U653" s="108"/>
      <c r="V653" s="108"/>
      <c r="W653" s="108"/>
      <c r="X653" s="108"/>
      <c r="Y653" s="108"/>
      <c r="Z653" s="108"/>
    </row>
    <row r="654" spans="1:26" ht="13">
      <c r="A654" s="108"/>
      <c r="B654" s="107" t="s">
        <v>270</v>
      </c>
      <c r="C654" s="107" t="s">
        <v>306</v>
      </c>
      <c r="D654" s="108"/>
      <c r="E654" s="109">
        <f>2596.21</f>
        <v>2596.21</v>
      </c>
      <c r="F654" s="110" t="s">
        <v>315</v>
      </c>
      <c r="G654" s="110" t="s">
        <v>374</v>
      </c>
      <c r="H654" s="108"/>
      <c r="I654" s="108"/>
      <c r="J654" s="108"/>
      <c r="K654" s="108"/>
      <c r="L654" s="108"/>
      <c r="M654" s="108"/>
      <c r="N654" s="108"/>
      <c r="O654" s="108"/>
      <c r="P654" s="108"/>
      <c r="Q654" s="108"/>
      <c r="R654" s="108"/>
      <c r="S654" s="108"/>
      <c r="T654" s="108"/>
      <c r="U654" s="108"/>
      <c r="V654" s="108"/>
      <c r="W654" s="108"/>
      <c r="X654" s="108"/>
      <c r="Y654" s="108"/>
      <c r="Z654" s="108"/>
    </row>
    <row r="655" spans="1:26" ht="13">
      <c r="A655" s="108"/>
      <c r="B655" s="107" t="s">
        <v>270</v>
      </c>
      <c r="C655" s="107" t="s">
        <v>306</v>
      </c>
      <c r="D655" s="108"/>
      <c r="E655" s="109">
        <f>20.69</f>
        <v>20.69</v>
      </c>
      <c r="F655" s="110" t="s">
        <v>315</v>
      </c>
      <c r="G655" s="110" t="s">
        <v>374</v>
      </c>
      <c r="H655" s="108"/>
      <c r="I655" s="108"/>
      <c r="J655" s="108"/>
      <c r="K655" s="108"/>
      <c r="L655" s="108"/>
      <c r="M655" s="108"/>
      <c r="N655" s="108"/>
      <c r="O655" s="108"/>
      <c r="P655" s="108"/>
      <c r="Q655" s="108"/>
      <c r="R655" s="108"/>
      <c r="S655" s="108"/>
      <c r="T655" s="108"/>
      <c r="U655" s="108"/>
      <c r="V655" s="108"/>
      <c r="W655" s="108"/>
      <c r="X655" s="108"/>
      <c r="Y655" s="108"/>
      <c r="Z655" s="108"/>
    </row>
    <row r="656" spans="1:26" ht="13">
      <c r="B656" s="99" t="s">
        <v>270</v>
      </c>
      <c r="C656" s="99" t="s">
        <v>512</v>
      </c>
      <c r="D656" s="99" t="s">
        <v>513</v>
      </c>
      <c r="E656" s="105">
        <v>36.54</v>
      </c>
      <c r="F656" s="104" t="s">
        <v>315</v>
      </c>
      <c r="G656" s="104" t="s">
        <v>315</v>
      </c>
    </row>
    <row r="657" spans="1:26" ht="13">
      <c r="A657" s="108"/>
      <c r="B657" s="107" t="s">
        <v>270</v>
      </c>
      <c r="C657" s="107" t="s">
        <v>306</v>
      </c>
      <c r="D657" s="108"/>
      <c r="E657" s="109">
        <f>3237.38-E656</f>
        <v>3200.84</v>
      </c>
      <c r="F657" s="110" t="s">
        <v>315</v>
      </c>
      <c r="G657" s="110" t="s">
        <v>374</v>
      </c>
      <c r="H657" s="108"/>
      <c r="I657" s="108"/>
      <c r="J657" s="108"/>
      <c r="K657" s="108"/>
      <c r="L657" s="108"/>
      <c r="M657" s="108"/>
      <c r="N657" s="108"/>
      <c r="O657" s="108"/>
      <c r="P657" s="108"/>
      <c r="Q657" s="108"/>
      <c r="R657" s="108"/>
      <c r="S657" s="108"/>
      <c r="T657" s="108"/>
      <c r="U657" s="108"/>
      <c r="V657" s="108"/>
      <c r="W657" s="108"/>
      <c r="X657" s="108"/>
      <c r="Y657" s="108"/>
      <c r="Z657" s="108"/>
    </row>
    <row r="658" spans="1:26" ht="13">
      <c r="B658" s="99" t="s">
        <v>270</v>
      </c>
      <c r="C658" s="99" t="s">
        <v>190</v>
      </c>
      <c r="D658" s="99" t="s">
        <v>514</v>
      </c>
      <c r="E658" s="105">
        <v>56.76</v>
      </c>
      <c r="F658" s="104" t="s">
        <v>315</v>
      </c>
      <c r="G658" s="104" t="s">
        <v>315</v>
      </c>
    </row>
    <row r="659" spans="1:26" ht="13">
      <c r="A659" s="108"/>
      <c r="B659" s="107" t="s">
        <v>270</v>
      </c>
      <c r="C659" s="107" t="s">
        <v>306</v>
      </c>
      <c r="D659" s="108"/>
      <c r="E659" s="109">
        <f>935.5-E658</f>
        <v>878.74</v>
      </c>
      <c r="F659" s="110" t="s">
        <v>315</v>
      </c>
      <c r="G659" s="110" t="s">
        <v>374</v>
      </c>
      <c r="H659" s="108"/>
      <c r="I659" s="108"/>
      <c r="J659" s="108"/>
      <c r="K659" s="108"/>
      <c r="L659" s="108"/>
      <c r="M659" s="108"/>
      <c r="N659" s="108"/>
      <c r="O659" s="108"/>
      <c r="P659" s="108"/>
      <c r="Q659" s="108"/>
      <c r="R659" s="108"/>
      <c r="S659" s="108"/>
      <c r="T659" s="108"/>
      <c r="U659" s="108"/>
      <c r="V659" s="108"/>
      <c r="W659" s="108"/>
      <c r="X659" s="108"/>
      <c r="Y659" s="108"/>
      <c r="Z659" s="108"/>
    </row>
    <row r="660" spans="1:26" ht="13">
      <c r="A660" s="134"/>
      <c r="B660" s="107" t="s">
        <v>270</v>
      </c>
      <c r="C660" s="107" t="s">
        <v>306</v>
      </c>
      <c r="D660" s="108"/>
      <c r="E660" s="109">
        <f>250.26</f>
        <v>250.26</v>
      </c>
      <c r="F660" s="110" t="s">
        <v>315</v>
      </c>
      <c r="G660" s="110" t="s">
        <v>374</v>
      </c>
      <c r="H660" s="108"/>
      <c r="I660" s="108"/>
      <c r="J660" s="108"/>
      <c r="K660" s="108"/>
      <c r="L660" s="108"/>
      <c r="M660" s="108"/>
      <c r="N660" s="108"/>
      <c r="O660" s="108"/>
      <c r="P660" s="108"/>
      <c r="Q660" s="108"/>
      <c r="R660" s="108"/>
      <c r="S660" s="108"/>
      <c r="T660" s="108"/>
      <c r="U660" s="108"/>
      <c r="V660" s="108"/>
      <c r="W660" s="108"/>
      <c r="X660" s="108"/>
      <c r="Y660" s="108"/>
      <c r="Z660" s="108"/>
    </row>
    <row r="661" spans="1:26" ht="13">
      <c r="A661" s="3"/>
      <c r="B661" s="99" t="s">
        <v>435</v>
      </c>
      <c r="C661" s="99" t="s">
        <v>361</v>
      </c>
      <c r="E661" s="126">
        <v>15.79</v>
      </c>
      <c r="F661" s="104" t="s">
        <v>374</v>
      </c>
      <c r="G661" s="104" t="s">
        <v>374</v>
      </c>
    </row>
    <row r="662" spans="1:26" ht="13">
      <c r="B662" s="99" t="s">
        <v>435</v>
      </c>
      <c r="C662" s="99" t="s">
        <v>508</v>
      </c>
      <c r="E662" s="105">
        <v>8.0500000000000007</v>
      </c>
      <c r="F662" s="104" t="s">
        <v>315</v>
      </c>
      <c r="G662" s="104" t="s">
        <v>374</v>
      </c>
    </row>
    <row r="663" spans="1:26" ht="13">
      <c r="B663" s="99" t="s">
        <v>435</v>
      </c>
      <c r="C663" s="99" t="s">
        <v>306</v>
      </c>
      <c r="E663" s="105">
        <v>76.45</v>
      </c>
      <c r="F663" s="104" t="s">
        <v>315</v>
      </c>
      <c r="G663" s="104" t="s">
        <v>374</v>
      </c>
    </row>
    <row r="664" spans="1:26" ht="13">
      <c r="B664" s="99" t="s">
        <v>435</v>
      </c>
      <c r="C664" s="99" t="s">
        <v>508</v>
      </c>
      <c r="E664" s="105">
        <v>12.08</v>
      </c>
      <c r="F664" s="104" t="s">
        <v>315</v>
      </c>
      <c r="G664" s="104" t="s">
        <v>374</v>
      </c>
    </row>
    <row r="665" spans="1:26" ht="13">
      <c r="B665" s="99" t="s">
        <v>435</v>
      </c>
      <c r="C665" s="99" t="s">
        <v>306</v>
      </c>
      <c r="E665" s="105">
        <v>29.52</v>
      </c>
      <c r="F665" s="104" t="s">
        <v>315</v>
      </c>
      <c r="G665" s="104" t="s">
        <v>374</v>
      </c>
    </row>
    <row r="666" spans="1:26" ht="13">
      <c r="B666" s="99" t="s">
        <v>435</v>
      </c>
      <c r="C666" s="99" t="s">
        <v>515</v>
      </c>
      <c r="E666" s="105">
        <v>50.69</v>
      </c>
      <c r="F666" s="104" t="s">
        <v>374</v>
      </c>
      <c r="G666" s="104" t="s">
        <v>374</v>
      </c>
    </row>
    <row r="667" spans="1:26" ht="13">
      <c r="B667" s="99" t="s">
        <v>435</v>
      </c>
      <c r="C667" s="99" t="s">
        <v>306</v>
      </c>
      <c r="E667" s="105">
        <v>30.2</v>
      </c>
      <c r="F667" s="104" t="s">
        <v>315</v>
      </c>
      <c r="G667" s="104" t="s">
        <v>374</v>
      </c>
    </row>
    <row r="668" spans="1:26" ht="13">
      <c r="B668" s="99" t="s">
        <v>435</v>
      </c>
      <c r="C668" s="99" t="s">
        <v>516</v>
      </c>
      <c r="E668" s="105">
        <v>15.62</v>
      </c>
      <c r="F668" s="104" t="s">
        <v>315</v>
      </c>
      <c r="G668" s="104" t="s">
        <v>374</v>
      </c>
    </row>
    <row r="669" spans="1:26" ht="13">
      <c r="B669" s="99" t="s">
        <v>435</v>
      </c>
      <c r="C669" s="99" t="s">
        <v>306</v>
      </c>
      <c r="E669" s="105">
        <v>59.27</v>
      </c>
      <c r="F669" s="104" t="s">
        <v>315</v>
      </c>
      <c r="G669" s="104" t="s">
        <v>374</v>
      </c>
    </row>
    <row r="670" spans="1:26" ht="13">
      <c r="B670" s="99" t="s">
        <v>435</v>
      </c>
      <c r="C670" s="99" t="s">
        <v>365</v>
      </c>
      <c r="E670" s="105">
        <v>16.47</v>
      </c>
      <c r="F670" s="104" t="s">
        <v>315</v>
      </c>
      <c r="G670" s="104" t="s">
        <v>374</v>
      </c>
    </row>
    <row r="671" spans="1:26" ht="13">
      <c r="B671" s="99" t="s">
        <v>435</v>
      </c>
      <c r="C671" s="99" t="s">
        <v>517</v>
      </c>
      <c r="E671" s="114">
        <f>358.07-E672</f>
        <v>336.35</v>
      </c>
      <c r="F671" s="104" t="s">
        <v>374</v>
      </c>
      <c r="G671" s="104" t="s">
        <v>374</v>
      </c>
    </row>
    <row r="672" spans="1:26" ht="13">
      <c r="B672" s="99" t="s">
        <v>435</v>
      </c>
      <c r="C672" s="99" t="s">
        <v>518</v>
      </c>
      <c r="E672" s="105">
        <v>21.72</v>
      </c>
      <c r="F672" s="104" t="s">
        <v>315</v>
      </c>
      <c r="G672" s="104" t="s">
        <v>374</v>
      </c>
    </row>
    <row r="673" spans="2:7" ht="13">
      <c r="B673" s="99" t="s">
        <v>435</v>
      </c>
      <c r="C673" s="99" t="s">
        <v>306</v>
      </c>
      <c r="E673" s="114">
        <f>347.76+41.73</f>
        <v>389.49</v>
      </c>
      <c r="F673" s="104" t="s">
        <v>315</v>
      </c>
      <c r="G673" s="104" t="s">
        <v>374</v>
      </c>
    </row>
    <row r="674" spans="2:7" ht="13">
      <c r="B674" s="99" t="s">
        <v>435</v>
      </c>
      <c r="C674" s="99" t="s">
        <v>306</v>
      </c>
      <c r="E674" s="114">
        <f>1196.57-E673-59.88</f>
        <v>747.19999999999993</v>
      </c>
      <c r="F674" s="104" t="s">
        <v>374</v>
      </c>
      <c r="G674" s="104" t="s">
        <v>374</v>
      </c>
    </row>
    <row r="675" spans="2:7" ht="13">
      <c r="B675" s="99" t="s">
        <v>435</v>
      </c>
      <c r="C675" s="99" t="s">
        <v>306</v>
      </c>
      <c r="E675" s="105">
        <v>136.62</v>
      </c>
      <c r="F675" s="104" t="s">
        <v>315</v>
      </c>
      <c r="G675" s="104" t="s">
        <v>374</v>
      </c>
    </row>
    <row r="676" spans="2:7" ht="13">
      <c r="B676" s="99" t="s">
        <v>435</v>
      </c>
      <c r="C676" s="99" t="s">
        <v>306</v>
      </c>
      <c r="E676" s="114">
        <f>687.96-E675</f>
        <v>551.34</v>
      </c>
      <c r="F676" s="104" t="s">
        <v>374</v>
      </c>
      <c r="G676" s="104" t="s">
        <v>374</v>
      </c>
    </row>
    <row r="677" spans="2:7" ht="13">
      <c r="B677" s="99" t="s">
        <v>435</v>
      </c>
      <c r="C677" s="99" t="s">
        <v>306</v>
      </c>
      <c r="E677" s="114">
        <f>30.69+195.6+21.63</f>
        <v>247.92</v>
      </c>
      <c r="F677" s="104" t="s">
        <v>315</v>
      </c>
      <c r="G677" s="104" t="s">
        <v>374</v>
      </c>
    </row>
    <row r="678" spans="2:7" ht="13">
      <c r="B678" s="99" t="s">
        <v>435</v>
      </c>
      <c r="C678" s="99" t="s">
        <v>306</v>
      </c>
      <c r="E678" s="114">
        <f>298.02+48.95+49.1</f>
        <v>396.07</v>
      </c>
      <c r="F678" s="104" t="s">
        <v>374</v>
      </c>
      <c r="G678" s="104" t="s">
        <v>374</v>
      </c>
    </row>
    <row r="679" spans="2:7" ht="13">
      <c r="B679" s="99" t="s">
        <v>435</v>
      </c>
      <c r="C679" s="99" t="s">
        <v>306</v>
      </c>
      <c r="E679" s="114">
        <f>363.8-E677</f>
        <v>115.88000000000002</v>
      </c>
      <c r="F679" s="104" t="s">
        <v>374</v>
      </c>
      <c r="G679" s="104" t="s">
        <v>374</v>
      </c>
    </row>
    <row r="680" spans="2:7" ht="13">
      <c r="B680" s="99" t="s">
        <v>435</v>
      </c>
      <c r="C680" s="99" t="s">
        <v>153</v>
      </c>
      <c r="E680" s="105">
        <v>81.8</v>
      </c>
      <c r="F680" s="104" t="s">
        <v>315</v>
      </c>
      <c r="G680" s="104" t="s">
        <v>374</v>
      </c>
    </row>
    <row r="681" spans="2:7" ht="13">
      <c r="B681" s="99" t="s">
        <v>435</v>
      </c>
      <c r="C681" s="99" t="s">
        <v>306</v>
      </c>
      <c r="E681" s="114">
        <f>110.02+27.28+15.79</f>
        <v>153.09</v>
      </c>
      <c r="F681" s="104" t="s">
        <v>374</v>
      </c>
      <c r="G681" s="104" t="s">
        <v>374</v>
      </c>
    </row>
    <row r="682" spans="2:7" ht="13">
      <c r="B682" s="99" t="s">
        <v>435</v>
      </c>
      <c r="C682" s="99" t="s">
        <v>306</v>
      </c>
      <c r="E682" s="114">
        <f>74.4+24.8</f>
        <v>99.2</v>
      </c>
      <c r="F682" s="104" t="s">
        <v>315</v>
      </c>
      <c r="G682" s="104" t="s">
        <v>374</v>
      </c>
    </row>
    <row r="683" spans="2:7" ht="13">
      <c r="B683" s="99" t="s">
        <v>435</v>
      </c>
      <c r="C683" s="99" t="s">
        <v>327</v>
      </c>
      <c r="E683" s="105">
        <f>40.46+46.95</f>
        <v>87.41</v>
      </c>
      <c r="F683" s="104" t="s">
        <v>374</v>
      </c>
      <c r="G683" s="104" t="s">
        <v>374</v>
      </c>
    </row>
    <row r="684" spans="2:7" ht="13">
      <c r="B684" s="99" t="s">
        <v>435</v>
      </c>
      <c r="C684" s="99" t="s">
        <v>518</v>
      </c>
      <c r="E684" s="105">
        <v>21.72</v>
      </c>
      <c r="F684" s="104" t="s">
        <v>315</v>
      </c>
      <c r="G684" s="104" t="s">
        <v>374</v>
      </c>
    </row>
    <row r="685" spans="2:7" ht="13">
      <c r="B685" s="99" t="s">
        <v>435</v>
      </c>
      <c r="C685" s="99" t="s">
        <v>306</v>
      </c>
      <c r="E685" s="114">
        <f>44.44</f>
        <v>44.44</v>
      </c>
      <c r="F685" s="104" t="s">
        <v>315</v>
      </c>
      <c r="G685" s="104" t="s">
        <v>374</v>
      </c>
    </row>
    <row r="686" spans="2:7" ht="13">
      <c r="B686" s="99" t="s">
        <v>435</v>
      </c>
      <c r="C686" s="99" t="s">
        <v>306</v>
      </c>
      <c r="E686" s="114">
        <f>130.03+688.76-E685+593.47+186.2</f>
        <v>1554.02</v>
      </c>
      <c r="F686" s="104" t="s">
        <v>374</v>
      </c>
      <c r="G686" s="104" t="s">
        <v>374</v>
      </c>
    </row>
    <row r="687" spans="2:7" ht="13">
      <c r="B687" s="99" t="s">
        <v>435</v>
      </c>
      <c r="C687" s="99" t="s">
        <v>306</v>
      </c>
      <c r="E687" s="114">
        <f>104.42+25.67+65.2+27.82</f>
        <v>223.11</v>
      </c>
      <c r="F687" s="104" t="s">
        <v>315</v>
      </c>
      <c r="G687" s="104" t="s">
        <v>374</v>
      </c>
    </row>
    <row r="688" spans="2:7" ht="13">
      <c r="B688" s="99" t="s">
        <v>435</v>
      </c>
      <c r="C688" s="99" t="s">
        <v>306</v>
      </c>
      <c r="E688" s="114">
        <f>206.59+14.32+21.03+732.42-25.67-65.2-27.82+288.46</f>
        <v>1144.1299999999999</v>
      </c>
      <c r="F688" s="104" t="s">
        <v>374</v>
      </c>
      <c r="G688" s="104" t="s">
        <v>374</v>
      </c>
    </row>
    <row r="689" spans="2:7" ht="13">
      <c r="B689" s="99" t="s">
        <v>435</v>
      </c>
      <c r="C689" s="99" t="s">
        <v>519</v>
      </c>
      <c r="E689" s="105">
        <v>50.49</v>
      </c>
      <c r="F689" s="104" t="s">
        <v>315</v>
      </c>
      <c r="G689" s="104" t="s">
        <v>374</v>
      </c>
    </row>
    <row r="690" spans="2:7" ht="13">
      <c r="B690" s="99" t="s">
        <v>435</v>
      </c>
      <c r="C690" s="99" t="s">
        <v>337</v>
      </c>
      <c r="E690" s="114">
        <f>34.21+87.81+ 170.45</f>
        <v>292.47000000000003</v>
      </c>
      <c r="F690" s="104" t="s">
        <v>374</v>
      </c>
      <c r="G690" s="104" t="s">
        <v>374</v>
      </c>
    </row>
    <row r="691" spans="2:7" ht="13">
      <c r="B691" s="99" t="s">
        <v>435</v>
      </c>
      <c r="C691" s="99" t="s">
        <v>334</v>
      </c>
      <c r="E691" s="105">
        <v>40.72</v>
      </c>
      <c r="F691" s="104" t="s">
        <v>315</v>
      </c>
      <c r="G691" s="104" t="s">
        <v>374</v>
      </c>
    </row>
    <row r="692" spans="2:7" ht="13">
      <c r="B692" s="99" t="s">
        <v>435</v>
      </c>
      <c r="C692" s="99" t="s">
        <v>520</v>
      </c>
      <c r="E692" s="114">
        <f>51.24+177.33</f>
        <v>228.57000000000002</v>
      </c>
      <c r="F692" s="104" t="s">
        <v>374</v>
      </c>
      <c r="G692" s="104" t="s">
        <v>374</v>
      </c>
    </row>
    <row r="693" spans="2:7" ht="13">
      <c r="B693" s="99" t="s">
        <v>435</v>
      </c>
      <c r="C693" s="99" t="s">
        <v>306</v>
      </c>
      <c r="E693" s="114">
        <f>32.06+25.79+74.46+51.2+24.17+104.88+20.44+35.9+42.47+63.14+59.95+24.16+55.52+156.12</f>
        <v>770.26</v>
      </c>
      <c r="F693" s="104" t="s">
        <v>315</v>
      </c>
      <c r="G693" s="104" t="s">
        <v>374</v>
      </c>
    </row>
    <row r="694" spans="2:7" ht="13">
      <c r="B694" s="99" t="s">
        <v>435</v>
      </c>
      <c r="C694" s="99" t="s">
        <v>306</v>
      </c>
      <c r="E694" s="114">
        <f>6337.15-E693-302.1</f>
        <v>5264.7899999999991</v>
      </c>
      <c r="F694" s="104" t="s">
        <v>374</v>
      </c>
      <c r="G694" s="104" t="s">
        <v>374</v>
      </c>
    </row>
    <row r="695" spans="2:7" ht="13">
      <c r="B695" s="99" t="s">
        <v>435</v>
      </c>
      <c r="C695" s="99" t="s">
        <v>306</v>
      </c>
      <c r="E695" s="114">
        <f>51.58+24.16+148.92+25.67+27.96+76.8+24.17+27.02+38.42+229.35+71.8+127.41+114.91+29.52+46.38+104.08</f>
        <v>1168.1499999999999</v>
      </c>
      <c r="F695" s="104" t="s">
        <v>315</v>
      </c>
      <c r="G695" s="104" t="s">
        <v>374</v>
      </c>
    </row>
    <row r="696" spans="2:7" ht="13">
      <c r="B696" s="99" t="s">
        <v>435</v>
      </c>
      <c r="C696" s="99" t="s">
        <v>306</v>
      </c>
      <c r="E696" s="114">
        <f>7819.01-E695-116.28</f>
        <v>6534.5800000000008</v>
      </c>
      <c r="F696" s="104" t="s">
        <v>374</v>
      </c>
      <c r="G696" s="104" t="s">
        <v>374</v>
      </c>
    </row>
    <row r="697" spans="2:7" ht="13">
      <c r="B697" s="99" t="s">
        <v>435</v>
      </c>
      <c r="C697" s="99" t="s">
        <v>521</v>
      </c>
      <c r="E697" s="105">
        <f>156.52+33.47</f>
        <v>189.99</v>
      </c>
      <c r="F697" s="104" t="s">
        <v>374</v>
      </c>
      <c r="G697" s="104" t="s">
        <v>374</v>
      </c>
    </row>
    <row r="698" spans="2:7" ht="13">
      <c r="B698" s="99" t="s">
        <v>435</v>
      </c>
      <c r="C698" s="99" t="s">
        <v>522</v>
      </c>
      <c r="E698" s="114">
        <f>13.91</f>
        <v>13.91</v>
      </c>
      <c r="F698" s="104" t="s">
        <v>315</v>
      </c>
      <c r="G698" s="104" t="s">
        <v>374</v>
      </c>
    </row>
    <row r="699" spans="2:7" ht="13">
      <c r="B699" s="99" t="s">
        <v>435</v>
      </c>
      <c r="C699" s="99" t="s">
        <v>306</v>
      </c>
      <c r="E699" s="114">
        <f>629.88-E698-29.94</f>
        <v>586.03</v>
      </c>
      <c r="F699" s="104" t="s">
        <v>374</v>
      </c>
      <c r="G699" s="104" t="s">
        <v>374</v>
      </c>
    </row>
    <row r="700" spans="2:7" ht="13">
      <c r="B700" s="99" t="s">
        <v>435</v>
      </c>
      <c r="C700" s="99" t="s">
        <v>376</v>
      </c>
      <c r="E700" s="105">
        <v>57.81</v>
      </c>
      <c r="F700" s="104" t="s">
        <v>374</v>
      </c>
      <c r="G700" s="104" t="s">
        <v>374</v>
      </c>
    </row>
    <row r="701" spans="2:7" ht="13">
      <c r="B701" s="99" t="s">
        <v>435</v>
      </c>
      <c r="C701" s="99" t="s">
        <v>523</v>
      </c>
      <c r="E701" s="114">
        <f>391.2</f>
        <v>391.2</v>
      </c>
      <c r="F701" s="104" t="s">
        <v>315</v>
      </c>
      <c r="G701" s="104" t="s">
        <v>374</v>
      </c>
    </row>
    <row r="702" spans="2:7" ht="13">
      <c r="B702" s="99" t="s">
        <v>435</v>
      </c>
      <c r="C702" s="99" t="s">
        <v>306</v>
      </c>
      <c r="E702" s="114">
        <f>1124.37-E701-399.92-215.39</f>
        <v>117.85999999999984</v>
      </c>
      <c r="F702" s="104" t="s">
        <v>374</v>
      </c>
      <c r="G702" s="104" t="s">
        <v>374</v>
      </c>
    </row>
    <row r="703" spans="2:7" ht="13">
      <c r="B703" s="99" t="s">
        <v>435</v>
      </c>
      <c r="C703" s="99" t="s">
        <v>524</v>
      </c>
      <c r="E703" s="114">
        <f>128.38+107.94+59.88</f>
        <v>296.2</v>
      </c>
      <c r="F703" s="104" t="s">
        <v>315</v>
      </c>
      <c r="G703" s="104" t="s">
        <v>374</v>
      </c>
    </row>
    <row r="704" spans="2:7" ht="13">
      <c r="B704" s="99" t="s">
        <v>435</v>
      </c>
      <c r="C704" s="99" t="s">
        <v>341</v>
      </c>
      <c r="E704" s="114">
        <f>515.96-E703</f>
        <v>219.76000000000005</v>
      </c>
      <c r="F704" s="104" t="s">
        <v>374</v>
      </c>
      <c r="G704" s="104" t="s">
        <v>374</v>
      </c>
    </row>
    <row r="705" spans="2:7" ht="13">
      <c r="B705" s="99" t="s">
        <v>435</v>
      </c>
      <c r="C705" s="99" t="s">
        <v>108</v>
      </c>
      <c r="E705" s="114">
        <f>65.2+104.08</f>
        <v>169.28</v>
      </c>
      <c r="F705" s="104" t="s">
        <v>315</v>
      </c>
      <c r="G705" s="104" t="s">
        <v>374</v>
      </c>
    </row>
    <row r="706" spans="2:7" ht="13">
      <c r="B706" s="99" t="s">
        <v>435</v>
      </c>
      <c r="C706" s="99" t="s">
        <v>525</v>
      </c>
      <c r="E706" s="114">
        <f>2864.42-E705</f>
        <v>2695.14</v>
      </c>
      <c r="F706" s="104" t="s">
        <v>374</v>
      </c>
      <c r="G706" s="104" t="s">
        <v>374</v>
      </c>
    </row>
    <row r="707" spans="2:7" ht="13">
      <c r="B707" s="99" t="s">
        <v>89</v>
      </c>
      <c r="C707" s="99" t="s">
        <v>337</v>
      </c>
      <c r="E707" s="114">
        <f>40.21+140.4+250.22+314.32+53.37+578.15+304.91+55.92</f>
        <v>1737.5000000000002</v>
      </c>
      <c r="F707" s="104" t="s">
        <v>374</v>
      </c>
      <c r="G707" s="104" t="s">
        <v>374</v>
      </c>
    </row>
    <row r="708" spans="2:7" ht="13">
      <c r="B708" s="99" t="s">
        <v>526</v>
      </c>
      <c r="C708" s="99" t="s">
        <v>487</v>
      </c>
      <c r="E708" s="114">
        <f>839.86+189.61+313.74</f>
        <v>1343.21</v>
      </c>
      <c r="F708" s="104" t="s">
        <v>374</v>
      </c>
      <c r="G708" s="104" t="s">
        <v>374</v>
      </c>
    </row>
    <row r="709" spans="2:7" ht="13">
      <c r="B709" s="99" t="s">
        <v>527</v>
      </c>
      <c r="C709" s="99" t="s">
        <v>341</v>
      </c>
      <c r="E709" s="114">
        <f>7.95+161.29+132.11</f>
        <v>301.35000000000002</v>
      </c>
      <c r="F709" s="104" t="s">
        <v>374</v>
      </c>
      <c r="G709" s="104" t="s">
        <v>374</v>
      </c>
    </row>
    <row r="710" spans="2:7" ht="13">
      <c r="B710" s="99" t="s">
        <v>528</v>
      </c>
      <c r="C710" s="99" t="s">
        <v>306</v>
      </c>
      <c r="E710" s="114">
        <f>65.01+15.96+24.96+6.92</f>
        <v>112.85000000000001</v>
      </c>
      <c r="F710" s="104" t="s">
        <v>315</v>
      </c>
      <c r="G710" s="104" t="s">
        <v>374</v>
      </c>
    </row>
    <row r="711" spans="2:7" ht="13">
      <c r="B711" s="99" t="s">
        <v>528</v>
      </c>
      <c r="C711" s="99" t="s">
        <v>306</v>
      </c>
      <c r="E711" s="114">
        <f>36.1+63.52+170.41+150.53+112.19+49.81+13.34+136.41+23.76+31.68+87.84+6.56+7.74+28.92+30.84+27.48+78.28+14.2+142.16+26.56+78.05+21.84+33.84+18.42+113.28+397.21+203.55+19.52+25+22.5</f>
        <v>2171.54</v>
      </c>
      <c r="F711" s="104" t="s">
        <v>374</v>
      </c>
      <c r="G711" s="104" t="s">
        <v>374</v>
      </c>
    </row>
    <row r="712" spans="2:7" ht="13">
      <c r="B712" s="99" t="s">
        <v>529</v>
      </c>
      <c r="C712" s="99" t="s">
        <v>487</v>
      </c>
      <c r="E712" s="105">
        <v>220.58</v>
      </c>
      <c r="F712" s="104" t="s">
        <v>374</v>
      </c>
      <c r="G712" s="104" t="s">
        <v>374</v>
      </c>
    </row>
    <row r="713" spans="2:7" ht="13">
      <c r="B713" s="99" t="s">
        <v>455</v>
      </c>
      <c r="C713" s="99" t="s">
        <v>96</v>
      </c>
      <c r="D713" s="99" t="s">
        <v>105</v>
      </c>
      <c r="E713" s="114">
        <f>1501.05+146.52</f>
        <v>1647.57</v>
      </c>
      <c r="F713" s="104" t="s">
        <v>374</v>
      </c>
      <c r="G713" s="104" t="s">
        <v>315</v>
      </c>
    </row>
    <row r="714" spans="2:7" ht="13">
      <c r="B714" s="99" t="s">
        <v>530</v>
      </c>
      <c r="C714" s="99" t="s">
        <v>487</v>
      </c>
      <c r="E714" s="114">
        <f>271.82+227.71+434.96+332.2+367.85</f>
        <v>1634.54</v>
      </c>
      <c r="F714" s="104" t="s">
        <v>374</v>
      </c>
      <c r="G714" s="104" t="s">
        <v>374</v>
      </c>
    </row>
    <row r="715" spans="2:7" ht="13">
      <c r="B715" s="99" t="s">
        <v>531</v>
      </c>
      <c r="C715" s="99" t="s">
        <v>532</v>
      </c>
      <c r="D715" s="99" t="s">
        <v>283</v>
      </c>
      <c r="E715" s="114">
        <f>69.3+36.3+54.9+82.6+88.6+23.4+24.3</f>
        <v>379.4</v>
      </c>
      <c r="F715" s="104" t="s">
        <v>315</v>
      </c>
      <c r="G715" s="104" t="s">
        <v>315</v>
      </c>
    </row>
    <row r="716" spans="2:7" ht="13">
      <c r="B716" s="99" t="s">
        <v>531</v>
      </c>
      <c r="C716" s="99" t="s">
        <v>533</v>
      </c>
      <c r="E716" s="114">
        <f>44.21+44.21-4.8+43.75</f>
        <v>127.37</v>
      </c>
      <c r="F716" s="104" t="s">
        <v>374</v>
      </c>
      <c r="G716" s="104" t="s">
        <v>374</v>
      </c>
    </row>
    <row r="717" spans="2:7" ht="13">
      <c r="B717" s="99" t="s">
        <v>531</v>
      </c>
      <c r="C717" s="99" t="s">
        <v>506</v>
      </c>
      <c r="E717" s="114">
        <f>23.46-3</f>
        <v>20.46</v>
      </c>
      <c r="F717" s="104" t="s">
        <v>315</v>
      </c>
      <c r="G717" s="104" t="s">
        <v>374</v>
      </c>
    </row>
    <row r="718" spans="2:7" ht="13">
      <c r="B718" s="99" t="s">
        <v>534</v>
      </c>
      <c r="C718" s="99" t="s">
        <v>306</v>
      </c>
      <c r="E718" s="105">
        <f>89.53+137.69+25.11+2.28+136.65-E719</f>
        <v>353.09</v>
      </c>
      <c r="F718" s="104" t="s">
        <v>374</v>
      </c>
      <c r="G718" s="104" t="s">
        <v>374</v>
      </c>
    </row>
    <row r="719" spans="2:7" ht="13">
      <c r="B719" s="99" t="s">
        <v>534</v>
      </c>
      <c r="C719" s="99" t="s">
        <v>306</v>
      </c>
      <c r="E719" s="114">
        <f>14.87+23.3</f>
        <v>38.17</v>
      </c>
      <c r="F719" s="104" t="s">
        <v>315</v>
      </c>
      <c r="G719" s="104" t="s">
        <v>374</v>
      </c>
    </row>
    <row r="720" spans="2:7" ht="13">
      <c r="B720" s="99" t="s">
        <v>528</v>
      </c>
      <c r="C720" s="99" t="s">
        <v>306</v>
      </c>
      <c r="E720" s="114">
        <f>20.6+41.15+24.54</f>
        <v>86.289999999999992</v>
      </c>
      <c r="F720" s="104" t="s">
        <v>315</v>
      </c>
      <c r="G720" s="104" t="s">
        <v>374</v>
      </c>
    </row>
    <row r="721" spans="2:7" ht="13">
      <c r="B721" s="99" t="s">
        <v>528</v>
      </c>
      <c r="C721" s="99" t="s">
        <v>306</v>
      </c>
      <c r="E721" s="114">
        <f>-15.92-25.68-42.31+1104.58-E722-E720</f>
        <v>899.56</v>
      </c>
      <c r="F721" s="104" t="s">
        <v>374</v>
      </c>
      <c r="G721" s="104" t="s">
        <v>374</v>
      </c>
    </row>
    <row r="722" spans="2:7" ht="13">
      <c r="B722" s="99" t="s">
        <v>528</v>
      </c>
      <c r="C722" s="99" t="s">
        <v>535</v>
      </c>
      <c r="D722" s="99" t="s">
        <v>283</v>
      </c>
      <c r="E722" s="114">
        <f>34.82</f>
        <v>34.82</v>
      </c>
      <c r="F722" s="104" t="s">
        <v>374</v>
      </c>
      <c r="G722" s="104" t="s">
        <v>315</v>
      </c>
    </row>
    <row r="723" spans="2:7" ht="13">
      <c r="B723" s="99" t="s">
        <v>536</v>
      </c>
      <c r="C723" s="99" t="s">
        <v>306</v>
      </c>
      <c r="E723" s="105">
        <v>1627.79</v>
      </c>
      <c r="F723" s="104" t="s">
        <v>374</v>
      </c>
      <c r="G723" s="104" t="s">
        <v>374</v>
      </c>
    </row>
    <row r="724" spans="2:7" ht="13">
      <c r="B724" s="99" t="s">
        <v>536</v>
      </c>
      <c r="C724" s="99" t="s">
        <v>306</v>
      </c>
      <c r="E724" s="114">
        <f>26.35</f>
        <v>26.35</v>
      </c>
      <c r="F724" s="104" t="s">
        <v>315</v>
      </c>
      <c r="G724" s="104" t="s">
        <v>374</v>
      </c>
    </row>
    <row r="725" spans="2:7" ht="13">
      <c r="B725" s="99" t="s">
        <v>536</v>
      </c>
      <c r="C725" s="99" t="s">
        <v>306</v>
      </c>
      <c r="E725" s="114">
        <f>2899.94-E724</f>
        <v>2873.59</v>
      </c>
      <c r="F725" s="104" t="s">
        <v>374</v>
      </c>
      <c r="G725" s="104" t="s">
        <v>374</v>
      </c>
    </row>
    <row r="726" spans="2:7" ht="13">
      <c r="B726" s="99" t="s">
        <v>536</v>
      </c>
      <c r="C726" s="99" t="s">
        <v>306</v>
      </c>
      <c r="E726" s="114">
        <f>18.46*4</f>
        <v>73.84</v>
      </c>
      <c r="F726" s="104" t="s">
        <v>315</v>
      </c>
      <c r="G726" s="104" t="s">
        <v>374</v>
      </c>
    </row>
    <row r="727" spans="2:7" ht="13">
      <c r="B727" s="99" t="s">
        <v>536</v>
      </c>
      <c r="C727" s="99" t="s">
        <v>306</v>
      </c>
      <c r="E727" s="114">
        <f>708.85-E726</f>
        <v>635.01</v>
      </c>
      <c r="F727" s="104" t="s">
        <v>374</v>
      </c>
      <c r="G727" s="104" t="s">
        <v>374</v>
      </c>
    </row>
    <row r="728" spans="2:7" ht="13">
      <c r="B728" s="99" t="s">
        <v>536</v>
      </c>
      <c r="C728" s="99" t="s">
        <v>341</v>
      </c>
      <c r="E728" s="105">
        <v>136.34</v>
      </c>
      <c r="F728" s="104" t="s">
        <v>374</v>
      </c>
      <c r="G728" s="104" t="s">
        <v>374</v>
      </c>
    </row>
    <row r="729" spans="2:7" ht="13">
      <c r="B729" s="99" t="s">
        <v>71</v>
      </c>
      <c r="C729" s="99" t="s">
        <v>487</v>
      </c>
      <c r="E729" s="114">
        <f>122.4+267.39+645.14</f>
        <v>1034.9299999999998</v>
      </c>
      <c r="F729" s="104" t="s">
        <v>374</v>
      </c>
      <c r="G729" s="104" t="s">
        <v>374</v>
      </c>
    </row>
    <row r="730" spans="2:7" ht="13">
      <c r="B730" s="99" t="s">
        <v>537</v>
      </c>
      <c r="C730" s="99" t="s">
        <v>538</v>
      </c>
      <c r="E730" s="105">
        <v>2853.59</v>
      </c>
      <c r="F730" s="104" t="s">
        <v>374</v>
      </c>
      <c r="G730" s="104" t="s">
        <v>374</v>
      </c>
    </row>
    <row r="731" spans="2:7" ht="13">
      <c r="B731" s="99" t="s">
        <v>539</v>
      </c>
      <c r="C731" s="99" t="s">
        <v>540</v>
      </c>
      <c r="E731" s="105">
        <v>1416.02</v>
      </c>
      <c r="F731" s="104" t="s">
        <v>374</v>
      </c>
      <c r="G731" s="104" t="s">
        <v>374</v>
      </c>
    </row>
    <row r="732" spans="2:7" ht="13">
      <c r="B732" s="99" t="s">
        <v>541</v>
      </c>
      <c r="C732" s="99" t="s">
        <v>76</v>
      </c>
      <c r="D732" s="99" t="s">
        <v>105</v>
      </c>
      <c r="E732" s="105">
        <f>1265+1151.76</f>
        <v>2416.7600000000002</v>
      </c>
      <c r="F732" s="104" t="s">
        <v>315</v>
      </c>
      <c r="G732" s="104" t="s">
        <v>315</v>
      </c>
    </row>
    <row r="733" spans="2:7" ht="13">
      <c r="B733" s="99" t="s">
        <v>542</v>
      </c>
      <c r="C733" s="99" t="s">
        <v>487</v>
      </c>
      <c r="E733" s="105">
        <v>132.6</v>
      </c>
      <c r="F733" s="104" t="s">
        <v>374</v>
      </c>
      <c r="G733" s="104" t="s">
        <v>374</v>
      </c>
    </row>
    <row r="734" spans="2:7" ht="13">
      <c r="B734" s="99" t="s">
        <v>543</v>
      </c>
      <c r="C734" s="99" t="s">
        <v>341</v>
      </c>
      <c r="E734" s="105">
        <f>315.85+100.2</f>
        <v>416.05</v>
      </c>
      <c r="F734" s="104" t="s">
        <v>374</v>
      </c>
      <c r="G734" s="104" t="s">
        <v>374</v>
      </c>
    </row>
    <row r="735" spans="2:7" ht="13">
      <c r="B735" s="99" t="s">
        <v>544</v>
      </c>
      <c r="C735" s="99" t="s">
        <v>487</v>
      </c>
      <c r="E735" s="114">
        <f>201.83+934.95+957.98-225</f>
        <v>1869.7600000000002</v>
      </c>
      <c r="F735" s="104" t="s">
        <v>374</v>
      </c>
      <c r="G735" s="104" t="s">
        <v>374</v>
      </c>
    </row>
    <row r="736" spans="2:7" ht="13">
      <c r="B736" s="99" t="s">
        <v>545</v>
      </c>
      <c r="C736" s="99" t="s">
        <v>341</v>
      </c>
      <c r="E736" s="114">
        <f>177.1+161.1+110.2+94.2+226.95</f>
        <v>769.55</v>
      </c>
      <c r="F736" s="104" t="s">
        <v>374</v>
      </c>
      <c r="G736" s="104" t="s">
        <v>374</v>
      </c>
    </row>
    <row r="737" spans="1:26" ht="13">
      <c r="A737" s="49"/>
      <c r="B737" s="41"/>
      <c r="C737" s="49"/>
      <c r="D737" s="41" t="s">
        <v>503</v>
      </c>
      <c r="E737" s="119">
        <f>SUM(E604:E736)</f>
        <v>63673.58</v>
      </c>
      <c r="F737" s="135"/>
      <c r="G737" s="135"/>
      <c r="H737" s="119">
        <f>SUM(E723:E727)+SUM(E717:E721)+E715+E710+E711+E702+E699+E698+SUM(E693:E696)+SUM(E685:E688)+SUM(E681:E682)+SUM(E673:E679)+E669+E667+E665+E663+SUM(E604:E660)</f>
        <v>40281.71</v>
      </c>
      <c r="I737" s="49"/>
      <c r="J737" s="49"/>
      <c r="K737" s="119">
        <f>E705+E662+E664</f>
        <v>189.41000000000003</v>
      </c>
      <c r="L737" s="119">
        <f>E701</f>
        <v>391.2</v>
      </c>
      <c r="M737" s="119">
        <f>E613+SUM(E623:E625)+SUM(E632:E634)+E641+SUM(E643:E645)</f>
        <v>324.58</v>
      </c>
      <c r="N737" s="119">
        <f>E680</f>
        <v>81.8</v>
      </c>
      <c r="O737" s="119">
        <f>E697</f>
        <v>189.99</v>
      </c>
      <c r="P737" s="49"/>
      <c r="Q737" s="119">
        <f>E668</f>
        <v>15.62</v>
      </c>
      <c r="R737" s="49"/>
      <c r="S737" s="49"/>
      <c r="T737" s="49"/>
      <c r="U737" s="49"/>
      <c r="V737" s="49"/>
      <c r="W737" s="49"/>
      <c r="X737" s="49"/>
      <c r="Y737" s="49"/>
      <c r="Z737" s="49"/>
    </row>
    <row r="738" spans="1:26" ht="13">
      <c r="B738" s="99"/>
      <c r="E738" s="114"/>
      <c r="F738" s="79"/>
      <c r="G738" s="79"/>
    </row>
    <row r="739" spans="1:26" ht="13">
      <c r="B739" s="99"/>
      <c r="E739" s="114"/>
      <c r="F739" s="79"/>
      <c r="G739" s="79"/>
    </row>
    <row r="740" spans="1:26" ht="13">
      <c r="B740" s="99"/>
      <c r="E740" s="114"/>
      <c r="F740" s="79"/>
      <c r="G740" s="79"/>
    </row>
    <row r="741" spans="1:26" ht="13">
      <c r="A741" s="99" t="s">
        <v>546</v>
      </c>
      <c r="B741" s="99" t="s">
        <v>134</v>
      </c>
      <c r="C741" s="99" t="s">
        <v>306</v>
      </c>
      <c r="E741" s="105">
        <v>1172.79</v>
      </c>
      <c r="F741" s="104" t="s">
        <v>315</v>
      </c>
      <c r="G741" s="104" t="s">
        <v>374</v>
      </c>
    </row>
    <row r="742" spans="1:26" ht="13">
      <c r="B742" s="99" t="s">
        <v>134</v>
      </c>
      <c r="C742" s="99" t="s">
        <v>306</v>
      </c>
      <c r="E742" s="105">
        <v>3671.58</v>
      </c>
      <c r="F742" s="104" t="s">
        <v>315</v>
      </c>
      <c r="G742" s="104" t="s">
        <v>374</v>
      </c>
    </row>
    <row r="743" spans="1:26" ht="13">
      <c r="B743" s="99" t="s">
        <v>134</v>
      </c>
      <c r="C743" s="99" t="s">
        <v>431</v>
      </c>
      <c r="E743" s="105">
        <v>18.07</v>
      </c>
      <c r="F743" s="104" t="s">
        <v>315</v>
      </c>
      <c r="G743" s="104" t="s">
        <v>374</v>
      </c>
    </row>
    <row r="744" spans="1:26" ht="13">
      <c r="B744" s="99" t="s">
        <v>134</v>
      </c>
      <c r="C744" s="99" t="s">
        <v>306</v>
      </c>
      <c r="E744" s="105">
        <v>186.59</v>
      </c>
      <c r="F744" s="104" t="s">
        <v>315</v>
      </c>
      <c r="G744" s="104" t="s">
        <v>374</v>
      </c>
    </row>
    <row r="745" spans="1:26" ht="13">
      <c r="B745" s="99" t="s">
        <v>134</v>
      </c>
      <c r="C745" s="99" t="s">
        <v>306</v>
      </c>
      <c r="E745" s="105">
        <v>3019.43</v>
      </c>
      <c r="F745" s="104" t="s">
        <v>315</v>
      </c>
      <c r="G745" s="104" t="s">
        <v>374</v>
      </c>
    </row>
    <row r="746" spans="1:26" ht="13">
      <c r="B746" s="99" t="s">
        <v>134</v>
      </c>
      <c r="C746" s="99" t="s">
        <v>306</v>
      </c>
      <c r="E746" s="105">
        <v>844.38</v>
      </c>
      <c r="F746" s="104" t="s">
        <v>315</v>
      </c>
      <c r="G746" s="104" t="s">
        <v>374</v>
      </c>
    </row>
    <row r="747" spans="1:26" ht="13">
      <c r="B747" s="99" t="s">
        <v>134</v>
      </c>
      <c r="C747" s="99" t="s">
        <v>306</v>
      </c>
      <c r="E747" s="105">
        <f>270.42-30.38</f>
        <v>240.04000000000002</v>
      </c>
      <c r="F747" s="104" t="s">
        <v>315</v>
      </c>
      <c r="G747" s="104" t="s">
        <v>374</v>
      </c>
    </row>
    <row r="748" spans="1:26" ht="13">
      <c r="B748" s="99" t="s">
        <v>134</v>
      </c>
      <c r="C748" s="99" t="s">
        <v>337</v>
      </c>
      <c r="E748" s="105">
        <v>30.38</v>
      </c>
      <c r="F748" s="104" t="s">
        <v>374</v>
      </c>
      <c r="G748" s="104" t="s">
        <v>374</v>
      </c>
    </row>
    <row r="749" spans="1:26" ht="13">
      <c r="B749" s="99" t="s">
        <v>134</v>
      </c>
      <c r="C749" s="99" t="s">
        <v>306</v>
      </c>
      <c r="E749" s="105">
        <v>1059.6300000000001</v>
      </c>
      <c r="F749" s="104" t="s">
        <v>315</v>
      </c>
      <c r="G749" s="104" t="s">
        <v>374</v>
      </c>
    </row>
    <row r="750" spans="1:26" ht="13">
      <c r="B750" s="99" t="s">
        <v>134</v>
      </c>
      <c r="C750" s="99" t="s">
        <v>306</v>
      </c>
      <c r="E750" s="105">
        <f>264.44-E751</f>
        <v>218.74</v>
      </c>
      <c r="F750" s="104" t="s">
        <v>315</v>
      </c>
      <c r="G750" s="104" t="s">
        <v>374</v>
      </c>
    </row>
    <row r="751" spans="1:26" ht="13">
      <c r="B751" s="99" t="s">
        <v>134</v>
      </c>
      <c r="C751" s="99" t="s">
        <v>112</v>
      </c>
      <c r="D751" s="99" t="s">
        <v>547</v>
      </c>
      <c r="E751" s="105">
        <v>45.7</v>
      </c>
      <c r="F751" s="104" t="s">
        <v>315</v>
      </c>
      <c r="G751" s="104" t="s">
        <v>374</v>
      </c>
    </row>
    <row r="752" spans="1:26" ht="13">
      <c r="B752" s="99" t="s">
        <v>134</v>
      </c>
      <c r="C752" s="99" t="s">
        <v>306</v>
      </c>
      <c r="E752" s="105">
        <v>2606.5300000000002</v>
      </c>
      <c r="F752" s="104" t="s">
        <v>315</v>
      </c>
      <c r="G752" s="104" t="s">
        <v>374</v>
      </c>
    </row>
    <row r="753" spans="2:7" ht="13">
      <c r="B753" s="99" t="s">
        <v>82</v>
      </c>
      <c r="C753" s="99" t="s">
        <v>548</v>
      </c>
      <c r="E753" s="105">
        <v>699</v>
      </c>
      <c r="F753" s="104" t="s">
        <v>374</v>
      </c>
      <c r="G753" s="104" t="s">
        <v>374</v>
      </c>
    </row>
    <row r="754" spans="2:7" ht="13">
      <c r="B754" s="99" t="s">
        <v>488</v>
      </c>
      <c r="C754" s="99" t="s">
        <v>57</v>
      </c>
      <c r="D754" s="99" t="s">
        <v>105</v>
      </c>
      <c r="E754" s="105">
        <v>143.28</v>
      </c>
      <c r="F754" s="104" t="s">
        <v>374</v>
      </c>
      <c r="G754" s="104" t="s">
        <v>315</v>
      </c>
    </row>
    <row r="755" spans="2:7" ht="13">
      <c r="B755" s="99" t="s">
        <v>488</v>
      </c>
      <c r="C755" s="99" t="s">
        <v>57</v>
      </c>
      <c r="D755" s="99" t="s">
        <v>105</v>
      </c>
      <c r="E755" s="105">
        <v>365.92</v>
      </c>
      <c r="F755" s="104" t="s">
        <v>374</v>
      </c>
      <c r="G755" s="104" t="s">
        <v>315</v>
      </c>
    </row>
    <row r="756" spans="2:7" ht="13">
      <c r="B756" s="99" t="s">
        <v>488</v>
      </c>
      <c r="C756" s="99" t="s">
        <v>57</v>
      </c>
      <c r="D756" s="99" t="s">
        <v>105</v>
      </c>
      <c r="E756" s="105">
        <v>209.28</v>
      </c>
      <c r="F756" s="104" t="s">
        <v>374</v>
      </c>
      <c r="G756" s="104" t="s">
        <v>315</v>
      </c>
    </row>
    <row r="757" spans="2:7" ht="13">
      <c r="B757" s="99" t="s">
        <v>488</v>
      </c>
      <c r="C757" s="99" t="s">
        <v>57</v>
      </c>
      <c r="D757" s="99" t="s">
        <v>105</v>
      </c>
      <c r="E757" s="105">
        <v>159.68</v>
      </c>
      <c r="F757" s="104" t="s">
        <v>374</v>
      </c>
      <c r="G757" s="104" t="s">
        <v>315</v>
      </c>
    </row>
    <row r="758" spans="2:7" ht="13">
      <c r="B758" s="99" t="s">
        <v>488</v>
      </c>
      <c r="C758" s="99" t="s">
        <v>57</v>
      </c>
      <c r="D758" s="99" t="s">
        <v>105</v>
      </c>
      <c r="E758" s="105">
        <v>523.79</v>
      </c>
      <c r="F758" s="104" t="s">
        <v>374</v>
      </c>
      <c r="G758" s="104" t="s">
        <v>315</v>
      </c>
    </row>
    <row r="759" spans="2:7" ht="13">
      <c r="B759" s="99" t="s">
        <v>488</v>
      </c>
      <c r="C759" s="99" t="s">
        <v>57</v>
      </c>
      <c r="D759" s="99" t="s">
        <v>105</v>
      </c>
      <c r="E759" s="105">
        <v>69.180000000000007</v>
      </c>
      <c r="F759" s="104" t="s">
        <v>374</v>
      </c>
      <c r="G759" s="104" t="s">
        <v>315</v>
      </c>
    </row>
    <row r="760" spans="2:7" ht="13">
      <c r="B760" s="99" t="s">
        <v>488</v>
      </c>
      <c r="C760" s="99" t="s">
        <v>57</v>
      </c>
      <c r="D760" s="99" t="s">
        <v>105</v>
      </c>
      <c r="E760" s="105">
        <v>329.69</v>
      </c>
      <c r="F760" s="104" t="s">
        <v>374</v>
      </c>
      <c r="G760" s="104" t="s">
        <v>315</v>
      </c>
    </row>
    <row r="761" spans="2:7" ht="13">
      <c r="B761" s="99" t="s">
        <v>488</v>
      </c>
      <c r="C761" s="99" t="s">
        <v>57</v>
      </c>
      <c r="D761" s="99" t="s">
        <v>105</v>
      </c>
      <c r="E761" s="105">
        <v>211.88</v>
      </c>
      <c r="F761" s="104" t="s">
        <v>374</v>
      </c>
      <c r="G761" s="104" t="s">
        <v>315</v>
      </c>
    </row>
    <row r="762" spans="2:7" ht="13">
      <c r="B762" s="99" t="s">
        <v>488</v>
      </c>
      <c r="C762" s="99" t="s">
        <v>57</v>
      </c>
      <c r="D762" s="99" t="s">
        <v>105</v>
      </c>
      <c r="E762" s="105">
        <v>506.03</v>
      </c>
      <c r="F762" s="104" t="s">
        <v>374</v>
      </c>
      <c r="G762" s="104" t="s">
        <v>315</v>
      </c>
    </row>
    <row r="763" spans="2:7" ht="13">
      <c r="B763" s="99" t="s">
        <v>549</v>
      </c>
      <c r="C763" s="99" t="s">
        <v>59</v>
      </c>
      <c r="E763" s="105">
        <f>65+225</f>
        <v>290</v>
      </c>
      <c r="F763" s="104" t="s">
        <v>374</v>
      </c>
      <c r="G763" s="104" t="s">
        <v>374</v>
      </c>
    </row>
    <row r="764" spans="2:7" ht="13">
      <c r="B764" s="99" t="s">
        <v>435</v>
      </c>
      <c r="C764" s="99" t="s">
        <v>97</v>
      </c>
      <c r="D764" s="99" t="s">
        <v>306</v>
      </c>
      <c r="E764" s="105">
        <v>150.02000000000001</v>
      </c>
      <c r="F764" s="104" t="s">
        <v>315</v>
      </c>
      <c r="G764" s="104" t="s">
        <v>374</v>
      </c>
    </row>
    <row r="765" spans="2:7" ht="13">
      <c r="B765" s="99" t="s">
        <v>435</v>
      </c>
      <c r="C765" s="99" t="s">
        <v>62</v>
      </c>
      <c r="E765" s="105">
        <v>129.32</v>
      </c>
      <c r="F765" s="104" t="s">
        <v>374</v>
      </c>
      <c r="G765" s="104" t="s">
        <v>374</v>
      </c>
    </row>
    <row r="766" spans="2:7" ht="13">
      <c r="B766" s="99" t="s">
        <v>435</v>
      </c>
      <c r="C766" s="99" t="s">
        <v>59</v>
      </c>
      <c r="E766" s="105">
        <v>44.46</v>
      </c>
      <c r="F766" s="104" t="s">
        <v>374</v>
      </c>
      <c r="G766" s="104" t="s">
        <v>374</v>
      </c>
    </row>
    <row r="767" spans="2:7" ht="13">
      <c r="B767" s="99" t="s">
        <v>435</v>
      </c>
      <c r="C767" s="99" t="s">
        <v>57</v>
      </c>
      <c r="E767" s="105">
        <v>483.34</v>
      </c>
      <c r="F767" s="104" t="s">
        <v>374</v>
      </c>
      <c r="G767" s="104" t="s">
        <v>437</v>
      </c>
    </row>
    <row r="768" spans="2:7" ht="13">
      <c r="B768" s="99" t="s">
        <v>435</v>
      </c>
      <c r="C768" s="99" t="s">
        <v>59</v>
      </c>
      <c r="E768" s="105">
        <v>21.01</v>
      </c>
      <c r="F768" s="104" t="s">
        <v>374</v>
      </c>
      <c r="G768" s="104" t="s">
        <v>374</v>
      </c>
    </row>
    <row r="769" spans="2:7" ht="13">
      <c r="B769" s="99" t="s">
        <v>435</v>
      </c>
      <c r="C769" s="99" t="s">
        <v>66</v>
      </c>
      <c r="E769" s="105">
        <v>502.92</v>
      </c>
      <c r="F769" s="104" t="s">
        <v>374</v>
      </c>
      <c r="G769" s="104" t="s">
        <v>374</v>
      </c>
    </row>
    <row r="770" spans="2:7" ht="13">
      <c r="B770" s="99" t="s">
        <v>435</v>
      </c>
      <c r="C770" s="99" t="s">
        <v>59</v>
      </c>
      <c r="E770" s="105">
        <f>579.34-E771-E772-E773-E774</f>
        <v>85.580000000000013</v>
      </c>
      <c r="F770" s="104" t="s">
        <v>374</v>
      </c>
      <c r="G770" s="104" t="s">
        <v>374</v>
      </c>
    </row>
    <row r="771" spans="2:7" ht="13">
      <c r="B771" s="99" t="s">
        <v>435</v>
      </c>
      <c r="C771" s="99" t="s">
        <v>550</v>
      </c>
      <c r="E771" s="105">
        <f>28.5+137.56+51.29+156.08</f>
        <v>373.43</v>
      </c>
      <c r="F771" s="104" t="s">
        <v>315</v>
      </c>
      <c r="G771" s="104" t="s">
        <v>374</v>
      </c>
    </row>
    <row r="772" spans="2:7" ht="13">
      <c r="B772" s="99" t="s">
        <v>435</v>
      </c>
      <c r="C772" s="99" t="s">
        <v>229</v>
      </c>
      <c r="E772" s="105">
        <v>46.86</v>
      </c>
      <c r="F772" s="104" t="s">
        <v>315</v>
      </c>
      <c r="G772" s="104" t="s">
        <v>374</v>
      </c>
    </row>
    <row r="773" spans="2:7" ht="13">
      <c r="B773" s="99" t="s">
        <v>435</v>
      </c>
      <c r="C773" s="99" t="s">
        <v>442</v>
      </c>
      <c r="E773" s="105">
        <v>15.34</v>
      </c>
      <c r="F773" s="104" t="s">
        <v>315</v>
      </c>
      <c r="G773" s="104" t="s">
        <v>374</v>
      </c>
    </row>
    <row r="774" spans="2:7" ht="13">
      <c r="B774" s="99" t="s">
        <v>435</v>
      </c>
      <c r="C774" s="124" t="s">
        <v>306</v>
      </c>
      <c r="E774" s="105">
        <f>35.91+22.22</f>
        <v>58.129999999999995</v>
      </c>
      <c r="F774" s="104" t="s">
        <v>315</v>
      </c>
      <c r="G774" s="104" t="s">
        <v>374</v>
      </c>
    </row>
    <row r="775" spans="2:7" ht="13">
      <c r="B775" s="99" t="s">
        <v>435</v>
      </c>
      <c r="C775" s="124" t="s">
        <v>441</v>
      </c>
      <c r="E775" s="105">
        <v>38.26</v>
      </c>
      <c r="F775" s="104" t="s">
        <v>315</v>
      </c>
      <c r="G775" s="104" t="s">
        <v>374</v>
      </c>
    </row>
    <row r="776" spans="2:7" ht="13">
      <c r="B776" s="99" t="s">
        <v>435</v>
      </c>
      <c r="C776" s="124" t="s">
        <v>57</v>
      </c>
      <c r="E776" s="105">
        <v>485.27</v>
      </c>
      <c r="F776" s="104" t="s">
        <v>374</v>
      </c>
      <c r="G776" s="104" t="s">
        <v>374</v>
      </c>
    </row>
    <row r="777" spans="2:7" ht="13">
      <c r="B777" s="99" t="s">
        <v>435</v>
      </c>
      <c r="C777" s="124" t="s">
        <v>97</v>
      </c>
      <c r="D777" s="99" t="s">
        <v>306</v>
      </c>
      <c r="E777" s="105">
        <v>92.55</v>
      </c>
      <c r="F777" s="104" t="s">
        <v>315</v>
      </c>
      <c r="G777" s="104" t="s">
        <v>374</v>
      </c>
    </row>
    <row r="778" spans="2:7" ht="13">
      <c r="B778" s="99" t="s">
        <v>435</v>
      </c>
      <c r="C778" s="124" t="s">
        <v>97</v>
      </c>
      <c r="D778" s="99" t="s">
        <v>551</v>
      </c>
      <c r="E778" s="105">
        <f>162.5+72.1</f>
        <v>234.6</v>
      </c>
      <c r="F778" s="104" t="s">
        <v>315</v>
      </c>
      <c r="G778" s="104" t="s">
        <v>374</v>
      </c>
    </row>
    <row r="779" spans="2:7" ht="13">
      <c r="B779" s="99" t="s">
        <v>435</v>
      </c>
      <c r="C779" s="124" t="s">
        <v>63</v>
      </c>
      <c r="E779" s="105">
        <v>99.87</v>
      </c>
      <c r="F779" s="104" t="s">
        <v>374</v>
      </c>
      <c r="G779" s="104" t="s">
        <v>437</v>
      </c>
    </row>
    <row r="780" spans="2:7" ht="13">
      <c r="B780" s="99" t="s">
        <v>435</v>
      </c>
      <c r="C780" s="124" t="s">
        <v>59</v>
      </c>
      <c r="D780" s="99" t="s">
        <v>441</v>
      </c>
      <c r="E780" s="105">
        <v>793.1</v>
      </c>
      <c r="F780" s="104" t="s">
        <v>315</v>
      </c>
      <c r="G780" s="104" t="s">
        <v>374</v>
      </c>
    </row>
    <row r="781" spans="2:7" ht="13">
      <c r="B781" s="99" t="s">
        <v>435</v>
      </c>
      <c r="C781" s="124" t="s">
        <v>63</v>
      </c>
      <c r="E781" s="105">
        <v>141.81</v>
      </c>
      <c r="F781" s="79"/>
      <c r="G781" s="79"/>
    </row>
    <row r="782" spans="2:7" ht="13">
      <c r="B782" s="99" t="s">
        <v>435</v>
      </c>
      <c r="C782" s="124" t="s">
        <v>62</v>
      </c>
      <c r="E782" s="105">
        <v>365.31</v>
      </c>
      <c r="F782" s="79"/>
      <c r="G782" s="79"/>
    </row>
    <row r="783" spans="2:7" ht="13">
      <c r="B783" s="99" t="s">
        <v>435</v>
      </c>
      <c r="C783" s="124" t="s">
        <v>59</v>
      </c>
      <c r="D783" s="99" t="s">
        <v>441</v>
      </c>
      <c r="E783" s="105">
        <f>12.55+37.08+24.84+37.08+26.92</f>
        <v>138.47</v>
      </c>
      <c r="F783" s="104" t="s">
        <v>315</v>
      </c>
      <c r="G783" s="79"/>
    </row>
    <row r="784" spans="2:7" ht="13">
      <c r="B784" s="99" t="s">
        <v>435</v>
      </c>
      <c r="C784" s="124" t="s">
        <v>59</v>
      </c>
      <c r="D784" s="99" t="s">
        <v>552</v>
      </c>
      <c r="E784" s="105">
        <v>27.82</v>
      </c>
      <c r="F784" s="104" t="s">
        <v>315</v>
      </c>
      <c r="G784" s="79"/>
    </row>
    <row r="785" spans="2:7" ht="13">
      <c r="B785" s="99" t="s">
        <v>435</v>
      </c>
      <c r="C785" s="124" t="s">
        <v>59</v>
      </c>
      <c r="E785" s="105">
        <f>447.71-E784-E783</f>
        <v>281.41999999999996</v>
      </c>
      <c r="F785" s="79"/>
      <c r="G785" s="79"/>
    </row>
    <row r="786" spans="2:7" ht="13">
      <c r="B786" s="99" t="s">
        <v>435</v>
      </c>
      <c r="C786" s="124" t="s">
        <v>57</v>
      </c>
      <c r="E786" s="105">
        <v>56.84</v>
      </c>
      <c r="F786" s="79"/>
      <c r="G786" s="79"/>
    </row>
    <row r="787" spans="2:7" ht="13">
      <c r="B787" s="99" t="s">
        <v>435</v>
      </c>
      <c r="C787" s="124" t="s">
        <v>553</v>
      </c>
      <c r="E787" s="105">
        <f>36.48+36.52</f>
        <v>73</v>
      </c>
      <c r="F787" s="104" t="s">
        <v>315</v>
      </c>
      <c r="G787" s="79"/>
    </row>
    <row r="788" spans="2:7" ht="13">
      <c r="B788" s="99" t="s">
        <v>435</v>
      </c>
      <c r="C788" s="124" t="s">
        <v>59</v>
      </c>
      <c r="E788" s="105">
        <v>37.729999999999997</v>
      </c>
      <c r="F788" s="79"/>
      <c r="G788" s="79"/>
    </row>
    <row r="789" spans="2:7" ht="13">
      <c r="B789" s="99" t="s">
        <v>435</v>
      </c>
      <c r="C789" s="124" t="s">
        <v>66</v>
      </c>
      <c r="E789" s="105">
        <v>678.55</v>
      </c>
      <c r="F789" s="79"/>
      <c r="G789" s="79"/>
    </row>
    <row r="790" spans="2:7" ht="13">
      <c r="B790" s="99" t="s">
        <v>435</v>
      </c>
      <c r="C790" s="124" t="s">
        <v>63</v>
      </c>
      <c r="D790" s="99" t="s">
        <v>306</v>
      </c>
      <c r="E790" s="105">
        <v>51.78</v>
      </c>
      <c r="F790" s="79"/>
      <c r="G790" s="79"/>
    </row>
    <row r="791" spans="2:7" ht="13">
      <c r="B791" s="99" t="s">
        <v>435</v>
      </c>
      <c r="C791" s="124" t="s">
        <v>63</v>
      </c>
      <c r="E791" s="105">
        <f>552.78-E790</f>
        <v>501</v>
      </c>
      <c r="F791" s="79"/>
      <c r="G791" s="79"/>
    </row>
    <row r="792" spans="2:7" ht="13">
      <c r="B792" s="99" t="s">
        <v>435</v>
      </c>
      <c r="C792" s="124" t="s">
        <v>62</v>
      </c>
      <c r="E792" s="105">
        <v>7.18</v>
      </c>
      <c r="F792" s="79"/>
      <c r="G792" s="79"/>
    </row>
    <row r="793" spans="2:7" ht="13">
      <c r="B793" s="99" t="s">
        <v>435</v>
      </c>
      <c r="C793" s="124" t="s">
        <v>59</v>
      </c>
      <c r="D793" s="99" t="s">
        <v>444</v>
      </c>
      <c r="E793" s="105">
        <f>34.34+51.29</f>
        <v>85.63</v>
      </c>
      <c r="F793" s="79"/>
      <c r="G793" s="79"/>
    </row>
    <row r="794" spans="2:7" ht="13">
      <c r="B794" s="99" t="s">
        <v>435</v>
      </c>
      <c r="C794" s="124" t="s">
        <v>554</v>
      </c>
      <c r="D794" s="99" t="s">
        <v>306</v>
      </c>
      <c r="E794" s="105">
        <f>87.31+63.14</f>
        <v>150.44999999999999</v>
      </c>
      <c r="F794" s="79"/>
      <c r="G794" s="79"/>
    </row>
    <row r="795" spans="2:7" ht="13">
      <c r="B795" s="99" t="s">
        <v>435</v>
      </c>
      <c r="C795" s="124" t="s">
        <v>59</v>
      </c>
      <c r="D795" s="99" t="s">
        <v>441</v>
      </c>
      <c r="E795" s="105">
        <f>52.9+4.51+(37.57*2)</f>
        <v>132.55000000000001</v>
      </c>
      <c r="F795" s="79"/>
      <c r="G795" s="79"/>
    </row>
    <row r="796" spans="2:7" ht="13">
      <c r="B796" s="99" t="s">
        <v>435</v>
      </c>
      <c r="C796" s="124" t="s">
        <v>59</v>
      </c>
      <c r="E796" s="105">
        <f>475.58-E793-E794-E795</f>
        <v>106.94999999999999</v>
      </c>
      <c r="F796" s="79"/>
      <c r="G796" s="79"/>
    </row>
    <row r="797" spans="2:7" ht="13">
      <c r="B797" s="99" t="s">
        <v>435</v>
      </c>
      <c r="C797" s="124" t="s">
        <v>57</v>
      </c>
      <c r="E797" s="105">
        <v>557.35</v>
      </c>
      <c r="F797" s="79"/>
      <c r="G797" s="79"/>
    </row>
    <row r="798" spans="2:7" ht="13">
      <c r="B798" s="99" t="s">
        <v>435</v>
      </c>
      <c r="C798" s="124" t="s">
        <v>306</v>
      </c>
      <c r="D798" s="99" t="s">
        <v>555</v>
      </c>
      <c r="E798" s="105">
        <v>130.1</v>
      </c>
      <c r="F798" s="79"/>
      <c r="G798" s="79"/>
    </row>
    <row r="799" spans="2:7" ht="13">
      <c r="B799" s="99" t="s">
        <v>435</v>
      </c>
      <c r="C799" s="124" t="s">
        <v>556</v>
      </c>
      <c r="E799" s="105">
        <v>42.88</v>
      </c>
      <c r="F799" s="79"/>
      <c r="G799" s="79"/>
    </row>
    <row r="800" spans="2:7" ht="13">
      <c r="B800" s="99" t="s">
        <v>435</v>
      </c>
      <c r="C800" s="124" t="s">
        <v>59</v>
      </c>
      <c r="D800" s="99" t="s">
        <v>557</v>
      </c>
      <c r="E800" s="105">
        <v>41.73</v>
      </c>
      <c r="F800" s="79"/>
      <c r="G800" s="79"/>
    </row>
    <row r="801" spans="2:7" ht="13">
      <c r="B801" s="99" t="s">
        <v>435</v>
      </c>
      <c r="C801" s="124" t="s">
        <v>66</v>
      </c>
      <c r="E801" s="105">
        <v>511.41</v>
      </c>
      <c r="F801" s="79"/>
      <c r="G801" s="79"/>
    </row>
    <row r="802" spans="2:7" ht="13">
      <c r="B802" s="99" t="s">
        <v>435</v>
      </c>
      <c r="C802" s="124" t="s">
        <v>93</v>
      </c>
      <c r="E802" s="105">
        <v>23.64</v>
      </c>
      <c r="F802" s="79"/>
      <c r="G802" s="79"/>
    </row>
    <row r="803" spans="2:7" ht="13">
      <c r="B803" s="99" t="s">
        <v>435</v>
      </c>
      <c r="C803" s="124" t="s">
        <v>97</v>
      </c>
      <c r="E803" s="105">
        <v>136.87</v>
      </c>
      <c r="F803" s="79"/>
      <c r="G803" s="79"/>
    </row>
    <row r="804" spans="2:7" ht="13">
      <c r="B804" s="99" t="s">
        <v>435</v>
      </c>
      <c r="C804" s="124" t="s">
        <v>62</v>
      </c>
      <c r="E804" s="105">
        <v>34.36</v>
      </c>
      <c r="F804" s="79"/>
      <c r="G804" s="79"/>
    </row>
    <row r="805" spans="2:7" ht="13">
      <c r="B805" s="99" t="s">
        <v>435</v>
      </c>
      <c r="C805" s="124" t="s">
        <v>59</v>
      </c>
      <c r="D805" s="99" t="s">
        <v>442</v>
      </c>
      <c r="E805" s="105">
        <f>24.82</f>
        <v>24.82</v>
      </c>
      <c r="F805" s="79"/>
      <c r="G805" s="79"/>
    </row>
    <row r="806" spans="2:7" ht="13">
      <c r="B806" s="99" t="s">
        <v>435</v>
      </c>
      <c r="C806" s="124" t="s">
        <v>59</v>
      </c>
      <c r="D806" s="99" t="s">
        <v>306</v>
      </c>
      <c r="E806" s="105">
        <f>35.9+42.47</f>
        <v>78.37</v>
      </c>
      <c r="F806" s="79"/>
      <c r="G806" s="79"/>
    </row>
    <row r="807" spans="2:7" ht="13">
      <c r="B807" s="99" t="s">
        <v>435</v>
      </c>
      <c r="C807" s="124" t="s">
        <v>59</v>
      </c>
      <c r="D807" s="99" t="s">
        <v>440</v>
      </c>
      <c r="E807" s="105">
        <f>14.52</f>
        <v>14.52</v>
      </c>
      <c r="F807" s="79"/>
      <c r="G807" s="79"/>
    </row>
    <row r="808" spans="2:7" ht="13">
      <c r="B808" s="99" t="s">
        <v>435</v>
      </c>
      <c r="C808" s="124" t="s">
        <v>59</v>
      </c>
      <c r="E808" s="105">
        <f>283.86-E805-E806-E807</f>
        <v>166.15</v>
      </c>
      <c r="F808" s="79"/>
      <c r="G808" s="79"/>
    </row>
    <row r="809" spans="2:7" ht="13">
      <c r="B809" s="99" t="s">
        <v>435</v>
      </c>
      <c r="C809" s="124" t="s">
        <v>57</v>
      </c>
      <c r="E809" s="105">
        <f>502.66</f>
        <v>502.66</v>
      </c>
      <c r="F809" s="79"/>
      <c r="G809" s="79"/>
    </row>
    <row r="810" spans="2:7" ht="13">
      <c r="B810" s="99" t="s">
        <v>435</v>
      </c>
      <c r="C810" s="124" t="s">
        <v>63</v>
      </c>
      <c r="E810" s="105">
        <f>28.98</f>
        <v>28.98</v>
      </c>
      <c r="F810" s="79"/>
      <c r="G810" s="79"/>
    </row>
    <row r="811" spans="2:7" ht="13">
      <c r="B811" s="99" t="s">
        <v>435</v>
      </c>
      <c r="C811" s="124" t="s">
        <v>62</v>
      </c>
      <c r="E811" s="105">
        <v>106.16</v>
      </c>
      <c r="F811" s="79"/>
      <c r="G811" s="79"/>
    </row>
    <row r="812" spans="2:7" ht="13">
      <c r="B812" s="99" t="s">
        <v>435</v>
      </c>
      <c r="C812" s="124" t="s">
        <v>59</v>
      </c>
      <c r="E812" s="105">
        <v>167.94</v>
      </c>
      <c r="F812" s="79"/>
      <c r="G812" s="79"/>
    </row>
    <row r="813" spans="2:7" ht="13">
      <c r="B813" s="99" t="s">
        <v>435</v>
      </c>
      <c r="C813" s="124" t="s">
        <v>57</v>
      </c>
      <c r="D813" s="99" t="s">
        <v>553</v>
      </c>
      <c r="E813" s="105">
        <f>74.4+49.6</f>
        <v>124</v>
      </c>
      <c r="F813" s="79"/>
      <c r="G813" s="79"/>
    </row>
    <row r="814" spans="2:7" ht="13">
      <c r="B814" s="99" t="s">
        <v>435</v>
      </c>
      <c r="C814" s="124" t="s">
        <v>57</v>
      </c>
      <c r="D814" s="99" t="s">
        <v>558</v>
      </c>
      <c r="E814" s="105">
        <v>15.79</v>
      </c>
      <c r="F814" s="79"/>
      <c r="G814" s="79"/>
    </row>
    <row r="815" spans="2:7" ht="13">
      <c r="B815" s="99" t="s">
        <v>435</v>
      </c>
      <c r="C815" s="124" t="s">
        <v>57</v>
      </c>
      <c r="E815" s="105">
        <f>190.32-E814-E813</f>
        <v>50.53</v>
      </c>
      <c r="F815" s="79"/>
      <c r="G815" s="79"/>
    </row>
    <row r="816" spans="2:7" ht="13">
      <c r="B816" s="99" t="s">
        <v>435</v>
      </c>
      <c r="C816" s="124" t="s">
        <v>62</v>
      </c>
      <c r="E816" s="105">
        <v>22.24</v>
      </c>
      <c r="F816" s="79"/>
      <c r="G816" s="79"/>
    </row>
    <row r="817" spans="2:7" ht="13">
      <c r="B817" s="99" t="s">
        <v>435</v>
      </c>
      <c r="C817" s="124" t="s">
        <v>112</v>
      </c>
      <c r="D817" s="99" t="s">
        <v>559</v>
      </c>
      <c r="E817" s="105">
        <v>156.12</v>
      </c>
      <c r="F817" s="79"/>
      <c r="G817" s="79"/>
    </row>
    <row r="818" spans="2:7" ht="13">
      <c r="B818" s="99" t="s">
        <v>435</v>
      </c>
      <c r="C818" s="124" t="s">
        <v>66</v>
      </c>
      <c r="D818" s="99" t="s">
        <v>560</v>
      </c>
      <c r="E818" s="105">
        <v>257.22000000000003</v>
      </c>
      <c r="F818" s="79"/>
      <c r="G818" s="79"/>
    </row>
    <row r="819" spans="2:7" ht="13">
      <c r="B819" s="99" t="s">
        <v>435</v>
      </c>
      <c r="C819" s="124" t="s">
        <v>66</v>
      </c>
      <c r="E819" s="105">
        <f>1591.27-E818</f>
        <v>1334.05</v>
      </c>
      <c r="F819" s="79"/>
      <c r="G819" s="79"/>
    </row>
    <row r="820" spans="2:7" ht="13">
      <c r="B820" s="99" t="s">
        <v>435</v>
      </c>
      <c r="C820" s="124" t="s">
        <v>70</v>
      </c>
      <c r="E820" s="105">
        <v>162.88</v>
      </c>
      <c r="F820" s="79"/>
      <c r="G820" s="79"/>
    </row>
    <row r="821" spans="2:7" ht="13">
      <c r="B821" s="99" t="s">
        <v>435</v>
      </c>
      <c r="C821" s="124" t="s">
        <v>63</v>
      </c>
      <c r="D821" s="99" t="s">
        <v>306</v>
      </c>
      <c r="E821" s="105">
        <f>96.51+37.7+27+45.24+164.76+73.98+76.86+111.44</f>
        <v>633.49</v>
      </c>
      <c r="F821" s="79"/>
      <c r="G821" s="79"/>
    </row>
    <row r="822" spans="2:7" ht="13">
      <c r="B822" s="99" t="s">
        <v>435</v>
      </c>
      <c r="C822" s="124" t="s">
        <v>63</v>
      </c>
      <c r="E822" s="105">
        <f>1003.4-E821</f>
        <v>369.90999999999997</v>
      </c>
      <c r="F822" s="79"/>
      <c r="G822" s="79"/>
    </row>
    <row r="823" spans="2:7" ht="13">
      <c r="B823" s="99" t="s">
        <v>435</v>
      </c>
      <c r="C823" s="124" t="s">
        <v>59</v>
      </c>
      <c r="D823" s="99" t="s">
        <v>441</v>
      </c>
      <c r="E823" s="105">
        <f>235.58+114.57+44.41</f>
        <v>394.55999999999995</v>
      </c>
      <c r="F823" s="79"/>
      <c r="G823" s="79"/>
    </row>
    <row r="824" spans="2:7" ht="13">
      <c r="B824" s="99" t="s">
        <v>435</v>
      </c>
      <c r="C824" s="124" t="s">
        <v>59</v>
      </c>
      <c r="D824" s="99" t="s">
        <v>306</v>
      </c>
      <c r="E824" s="105">
        <f>39+44.44+73.44+19.47</f>
        <v>176.35</v>
      </c>
      <c r="F824" s="79"/>
      <c r="G824" s="79"/>
    </row>
    <row r="825" spans="2:7" ht="13">
      <c r="B825" s="99" t="s">
        <v>435</v>
      </c>
      <c r="C825" s="124" t="s">
        <v>59</v>
      </c>
      <c r="D825" s="99" t="s">
        <v>446</v>
      </c>
      <c r="E825" s="105">
        <f>30.68+30.34</f>
        <v>61.019999999999996</v>
      </c>
      <c r="F825" s="79"/>
      <c r="G825" s="79"/>
    </row>
    <row r="826" spans="2:7" ht="13">
      <c r="B826" s="99" t="s">
        <v>435</v>
      </c>
      <c r="C826" s="124" t="s">
        <v>59</v>
      </c>
      <c r="D826" s="99" t="s">
        <v>444</v>
      </c>
      <c r="E826" s="105">
        <v>53.74</v>
      </c>
      <c r="F826" s="79"/>
      <c r="G826" s="79"/>
    </row>
    <row r="827" spans="2:7" ht="13">
      <c r="B827" s="99" t="s">
        <v>435</v>
      </c>
      <c r="C827" s="124" t="s">
        <v>59</v>
      </c>
      <c r="E827" s="105">
        <f>E823+E824+E825+E826</f>
        <v>685.67</v>
      </c>
      <c r="F827" s="79"/>
      <c r="G827" s="79"/>
    </row>
    <row r="828" spans="2:7" ht="13">
      <c r="B828" s="99" t="s">
        <v>435</v>
      </c>
      <c r="C828" s="124" t="s">
        <v>57</v>
      </c>
      <c r="E828" s="105">
        <v>1413.22</v>
      </c>
      <c r="F828" s="79"/>
      <c r="G828" s="79"/>
    </row>
    <row r="829" spans="2:7" ht="13">
      <c r="B829" s="99" t="s">
        <v>435</v>
      </c>
      <c r="C829" s="124" t="s">
        <v>66</v>
      </c>
      <c r="E829" s="105">
        <v>147.30000000000001</v>
      </c>
      <c r="F829" s="79"/>
      <c r="G829" s="79"/>
    </row>
    <row r="830" spans="2:7" ht="13">
      <c r="B830" s="99" t="s">
        <v>435</v>
      </c>
      <c r="C830" s="124" t="s">
        <v>93</v>
      </c>
      <c r="E830" s="105">
        <v>72.47</v>
      </c>
      <c r="F830" s="79"/>
      <c r="G830" s="79"/>
    </row>
    <row r="831" spans="2:7" ht="13">
      <c r="B831" s="99" t="s">
        <v>435</v>
      </c>
      <c r="C831" s="124" t="s">
        <v>63</v>
      </c>
      <c r="D831" s="99" t="s">
        <v>306</v>
      </c>
      <c r="E831" s="105">
        <v>178.91</v>
      </c>
      <c r="F831" s="79"/>
      <c r="G831" s="79"/>
    </row>
    <row r="832" spans="2:7" ht="13">
      <c r="B832" s="99" t="s">
        <v>435</v>
      </c>
      <c r="C832" s="124" t="s">
        <v>59</v>
      </c>
      <c r="D832" s="99" t="s">
        <v>441</v>
      </c>
      <c r="E832" s="105">
        <f>457.76-E833</f>
        <v>434.05</v>
      </c>
      <c r="F832" s="79"/>
      <c r="G832" s="79"/>
    </row>
    <row r="833" spans="2:7" ht="13">
      <c r="B833" s="99" t="s">
        <v>435</v>
      </c>
      <c r="C833" s="124" t="s">
        <v>59</v>
      </c>
      <c r="E833" s="105">
        <v>23.71</v>
      </c>
      <c r="F833" s="79"/>
      <c r="G833" s="79"/>
    </row>
    <row r="834" spans="2:7" ht="13">
      <c r="B834" s="99" t="s">
        <v>435</v>
      </c>
      <c r="C834" s="124" t="s">
        <v>59</v>
      </c>
      <c r="D834" s="99" t="s">
        <v>112</v>
      </c>
      <c r="E834" s="105">
        <v>36.76</v>
      </c>
      <c r="F834" s="79"/>
      <c r="G834" s="79"/>
    </row>
    <row r="835" spans="2:7" ht="13">
      <c r="B835" s="99" t="s">
        <v>435</v>
      </c>
      <c r="C835" s="124" t="s">
        <v>59</v>
      </c>
      <c r="E835" s="105">
        <f>166.14-E834</f>
        <v>129.38</v>
      </c>
      <c r="F835" s="79"/>
      <c r="G835" s="79"/>
    </row>
    <row r="836" spans="2:7" ht="13">
      <c r="B836" s="99" t="s">
        <v>435</v>
      </c>
      <c r="C836" s="124" t="s">
        <v>62</v>
      </c>
      <c r="E836" s="105">
        <v>11.12</v>
      </c>
      <c r="F836" s="79"/>
      <c r="G836" s="79"/>
    </row>
    <row r="837" spans="2:7" ht="13">
      <c r="B837" s="99" t="s">
        <v>435</v>
      </c>
      <c r="C837" s="124" t="s">
        <v>66</v>
      </c>
      <c r="E837" s="105">
        <v>1348.74</v>
      </c>
      <c r="F837" s="79"/>
      <c r="G837" s="79"/>
    </row>
    <row r="838" spans="2:7" ht="13">
      <c r="B838" s="99" t="s">
        <v>435</v>
      </c>
      <c r="C838" s="124" t="s">
        <v>63</v>
      </c>
      <c r="D838" s="99" t="s">
        <v>551</v>
      </c>
      <c r="E838" s="105">
        <f>97.74+452.48</f>
        <v>550.22</v>
      </c>
      <c r="F838" s="79"/>
      <c r="G838" s="79"/>
    </row>
    <row r="839" spans="2:7" ht="13">
      <c r="B839" s="99" t="s">
        <v>435</v>
      </c>
      <c r="C839" s="124" t="s">
        <v>63</v>
      </c>
      <c r="D839" s="99" t="s">
        <v>306</v>
      </c>
      <c r="E839" s="105">
        <v>68.66</v>
      </c>
      <c r="F839" s="79"/>
      <c r="G839" s="79"/>
    </row>
    <row r="840" spans="2:7" ht="13">
      <c r="B840" s="99" t="s">
        <v>435</v>
      </c>
      <c r="C840" s="124" t="s">
        <v>63</v>
      </c>
      <c r="E840" s="105">
        <f>720.89-E839-E838</f>
        <v>102.00999999999999</v>
      </c>
      <c r="F840" s="79"/>
      <c r="G840" s="79"/>
    </row>
    <row r="841" spans="2:7" ht="13">
      <c r="B841" s="99" t="s">
        <v>435</v>
      </c>
      <c r="C841" s="124" t="s">
        <v>59</v>
      </c>
      <c r="D841" s="99" t="s">
        <v>442</v>
      </c>
      <c r="E841" s="105">
        <f>25.79</f>
        <v>25.79</v>
      </c>
      <c r="F841" s="79"/>
      <c r="G841" s="79"/>
    </row>
    <row r="842" spans="2:7" ht="13">
      <c r="B842" s="99" t="s">
        <v>435</v>
      </c>
      <c r="C842" s="124" t="s">
        <v>59</v>
      </c>
      <c r="D842" s="99" t="s">
        <v>444</v>
      </c>
      <c r="E842" s="105">
        <f>28.5+58.53</f>
        <v>87.03</v>
      </c>
      <c r="F842" s="79"/>
      <c r="G842" s="79"/>
    </row>
    <row r="843" spans="2:7" ht="13">
      <c r="B843" s="99" t="s">
        <v>435</v>
      </c>
      <c r="C843" s="124" t="s">
        <v>59</v>
      </c>
      <c r="D843" s="99" t="s">
        <v>306</v>
      </c>
      <c r="E843" s="105">
        <f>25.42+43.49+63.14+13.91+35.91+55.52</f>
        <v>237.39000000000001</v>
      </c>
      <c r="F843" s="79"/>
      <c r="G843" s="79"/>
    </row>
    <row r="844" spans="2:7" ht="13">
      <c r="B844" s="99" t="s">
        <v>435</v>
      </c>
      <c r="C844" s="124" t="s">
        <v>59</v>
      </c>
      <c r="D844" s="99" t="s">
        <v>441</v>
      </c>
      <c r="E844">
        <f>36.56+100.8+65.7+65.2</f>
        <v>268.26</v>
      </c>
      <c r="F844" s="79"/>
      <c r="G844" s="79"/>
    </row>
    <row r="845" spans="2:7" ht="13">
      <c r="B845" s="99" t="s">
        <v>435</v>
      </c>
      <c r="C845" s="124" t="s">
        <v>59</v>
      </c>
      <c r="E845" s="105">
        <f>839.89-E844-E843-E842-E841</f>
        <v>221.42000000000002</v>
      </c>
      <c r="F845" s="79"/>
      <c r="G845" s="79"/>
    </row>
    <row r="846" spans="2:7" ht="13">
      <c r="B846" s="99" t="s">
        <v>435</v>
      </c>
      <c r="C846" s="124" t="s">
        <v>57</v>
      </c>
      <c r="E846" s="105">
        <f>579.37</f>
        <v>579.37</v>
      </c>
      <c r="F846" s="79"/>
      <c r="G846" s="79"/>
    </row>
    <row r="847" spans="2:7" ht="13">
      <c r="B847" s="99" t="s">
        <v>435</v>
      </c>
      <c r="C847" s="124" t="s">
        <v>57</v>
      </c>
      <c r="D847" s="99" t="s">
        <v>553</v>
      </c>
      <c r="E847" s="105">
        <f>36.48+18.26</f>
        <v>54.739999999999995</v>
      </c>
      <c r="F847" s="79"/>
      <c r="G847" s="79"/>
    </row>
    <row r="848" spans="2:7" ht="13">
      <c r="B848" s="99" t="s">
        <v>435</v>
      </c>
      <c r="C848" s="124" t="s">
        <v>57</v>
      </c>
      <c r="E848" s="105">
        <f>258.46-E847</f>
        <v>203.71999999999997</v>
      </c>
      <c r="F848" s="79"/>
      <c r="G848" s="79"/>
    </row>
    <row r="849" spans="2:7" ht="13">
      <c r="B849" s="99" t="s">
        <v>435</v>
      </c>
      <c r="C849" s="124" t="s">
        <v>59</v>
      </c>
      <c r="D849" s="99" t="s">
        <v>552</v>
      </c>
      <c r="E849" s="105">
        <f>41.73</f>
        <v>41.73</v>
      </c>
      <c r="F849" s="79"/>
      <c r="G849" s="79"/>
    </row>
    <row r="850" spans="2:7" ht="13">
      <c r="B850" s="99" t="s">
        <v>435</v>
      </c>
      <c r="C850" s="124" t="s">
        <v>561</v>
      </c>
      <c r="D850" s="99" t="s">
        <v>562</v>
      </c>
      <c r="E850" s="105">
        <v>173.88</v>
      </c>
      <c r="F850" s="79"/>
      <c r="G850" s="79"/>
    </row>
    <row r="851" spans="2:7" ht="13">
      <c r="B851" s="99" t="s">
        <v>435</v>
      </c>
      <c r="C851" s="124" t="s">
        <v>563</v>
      </c>
      <c r="E851" s="105">
        <v>157.66</v>
      </c>
      <c r="F851" s="79"/>
      <c r="G851" s="79"/>
    </row>
    <row r="852" spans="2:7" ht="13">
      <c r="B852" s="99" t="s">
        <v>435</v>
      </c>
      <c r="C852" s="124" t="s">
        <v>112</v>
      </c>
      <c r="D852" s="99" t="s">
        <v>564</v>
      </c>
      <c r="E852" s="105">
        <v>260.2</v>
      </c>
      <c r="F852" s="79"/>
      <c r="G852" s="79"/>
    </row>
    <row r="853" spans="2:7" ht="13">
      <c r="B853" s="99" t="s">
        <v>435</v>
      </c>
      <c r="C853" s="124" t="s">
        <v>57</v>
      </c>
      <c r="E853" s="105">
        <v>1198.23</v>
      </c>
      <c r="F853" s="79"/>
      <c r="G853" s="79"/>
    </row>
    <row r="854" spans="2:7" ht="13">
      <c r="B854" s="99" t="s">
        <v>435</v>
      </c>
      <c r="C854" s="124" t="s">
        <v>66</v>
      </c>
      <c r="E854" s="105">
        <f>858.26+102.28</f>
        <v>960.54</v>
      </c>
      <c r="F854" s="79"/>
      <c r="G854" s="79"/>
    </row>
    <row r="855" spans="2:7" ht="13">
      <c r="B855" s="99" t="s">
        <v>435</v>
      </c>
      <c r="C855" s="124" t="s">
        <v>63</v>
      </c>
      <c r="E855" s="105">
        <v>926.03</v>
      </c>
      <c r="F855" s="79"/>
      <c r="G855" s="79"/>
    </row>
    <row r="856" spans="2:7" ht="13">
      <c r="B856" s="99" t="s">
        <v>435</v>
      </c>
      <c r="C856" s="124" t="s">
        <v>59</v>
      </c>
      <c r="D856" s="99" t="s">
        <v>446</v>
      </c>
      <c r="E856" s="114">
        <f>24.16</f>
        <v>24.16</v>
      </c>
      <c r="F856" s="79"/>
      <c r="G856" s="79"/>
    </row>
    <row r="857" spans="2:7" ht="13">
      <c r="B857" s="99" t="s">
        <v>435</v>
      </c>
      <c r="C857" s="124" t="s">
        <v>59</v>
      </c>
      <c r="D857" s="99" t="s">
        <v>444</v>
      </c>
      <c r="E857" s="105">
        <v>28.5</v>
      </c>
      <c r="F857" s="79"/>
      <c r="G857" s="79"/>
    </row>
    <row r="858" spans="2:7" ht="13">
      <c r="B858" s="99" t="s">
        <v>435</v>
      </c>
      <c r="C858" s="124" t="s">
        <v>59</v>
      </c>
      <c r="D858" s="99" t="s">
        <v>112</v>
      </c>
      <c r="E858" s="114">
        <f>51.34+48.34+63.14+13.91+22.22</f>
        <v>198.95</v>
      </c>
      <c r="F858" s="79"/>
      <c r="G858" s="79"/>
    </row>
    <row r="859" spans="2:7" ht="13">
      <c r="B859" s="99" t="s">
        <v>435</v>
      </c>
      <c r="C859" s="124" t="s">
        <v>59</v>
      </c>
      <c r="D859" s="99" t="s">
        <v>440</v>
      </c>
      <c r="E859" s="114">
        <f>18.33+29.31+36.74+37.55+49.98+76.52+77.18</f>
        <v>325.61</v>
      </c>
      <c r="F859" s="79"/>
      <c r="G859" s="79"/>
    </row>
    <row r="860" spans="2:7" ht="13">
      <c r="B860" s="99" t="s">
        <v>435</v>
      </c>
      <c r="C860" s="124" t="s">
        <v>59</v>
      </c>
      <c r="E860" s="114">
        <f>884.98-E856-E857-E858-E859</f>
        <v>307.7600000000001</v>
      </c>
      <c r="F860" s="79"/>
      <c r="G860" s="79"/>
    </row>
    <row r="861" spans="2:7" ht="13">
      <c r="B861" s="99" t="s">
        <v>435</v>
      </c>
      <c r="C861" s="124" t="s">
        <v>57</v>
      </c>
      <c r="E861" s="105">
        <v>48.87</v>
      </c>
      <c r="F861" s="79"/>
      <c r="G861" s="79"/>
    </row>
    <row r="862" spans="2:7" ht="13">
      <c r="B862" s="99" t="s">
        <v>435</v>
      </c>
      <c r="C862" s="124" t="s">
        <v>66</v>
      </c>
      <c r="E862" s="114">
        <f>141.16</f>
        <v>141.16</v>
      </c>
      <c r="F862" s="79"/>
      <c r="G862" s="79"/>
    </row>
    <row r="863" spans="2:7" ht="13">
      <c r="B863" s="99" t="s">
        <v>435</v>
      </c>
      <c r="C863" s="124" t="s">
        <v>63</v>
      </c>
      <c r="D863" s="99" t="s">
        <v>306</v>
      </c>
      <c r="E863" s="114">
        <f>28.71+34.79</f>
        <v>63.5</v>
      </c>
      <c r="F863" s="79"/>
      <c r="G863" s="79"/>
    </row>
    <row r="864" spans="2:7" ht="13">
      <c r="B864" s="99" t="s">
        <v>435</v>
      </c>
      <c r="C864" s="124" t="s">
        <v>63</v>
      </c>
      <c r="E864" s="114">
        <f>432.58-E863</f>
        <v>369.08</v>
      </c>
      <c r="F864" s="79"/>
      <c r="G864" s="79"/>
    </row>
    <row r="865" spans="2:7" ht="13">
      <c r="B865" s="99" t="s">
        <v>435</v>
      </c>
      <c r="C865" s="124" t="s">
        <v>59</v>
      </c>
      <c r="D865" s="99" t="s">
        <v>446</v>
      </c>
      <c r="E865" s="105">
        <v>25.79</v>
      </c>
      <c r="F865" s="79"/>
      <c r="G865" s="79"/>
    </row>
    <row r="866" spans="2:7" ht="13">
      <c r="B866" s="99" t="s">
        <v>435</v>
      </c>
      <c r="C866" s="124" t="s">
        <v>59</v>
      </c>
      <c r="D866" s="99" t="s">
        <v>306</v>
      </c>
      <c r="E866" s="105">
        <v>52.83</v>
      </c>
      <c r="F866" s="79"/>
      <c r="G866" s="79"/>
    </row>
    <row r="867" spans="2:7" ht="13">
      <c r="B867" s="99" t="s">
        <v>435</v>
      </c>
      <c r="C867" s="124" t="s">
        <v>59</v>
      </c>
      <c r="D867" s="99" t="s">
        <v>565</v>
      </c>
      <c r="E867" s="105">
        <v>22.64</v>
      </c>
      <c r="F867" s="79"/>
      <c r="G867" s="79"/>
    </row>
    <row r="868" spans="2:7" ht="13">
      <c r="B868" s="99" t="s">
        <v>435</v>
      </c>
      <c r="C868" s="124" t="s">
        <v>59</v>
      </c>
      <c r="E868" s="105">
        <v>33.82</v>
      </c>
      <c r="F868" s="79"/>
      <c r="G868" s="79"/>
    </row>
    <row r="869" spans="2:7" ht="13">
      <c r="B869" s="99" t="s">
        <v>435</v>
      </c>
      <c r="C869" s="124" t="s">
        <v>66</v>
      </c>
      <c r="E869" s="105">
        <v>198.44</v>
      </c>
      <c r="F869" s="79"/>
      <c r="G869" s="79"/>
    </row>
    <row r="870" spans="2:7" ht="13">
      <c r="B870" s="99" t="s">
        <v>435</v>
      </c>
      <c r="C870" s="124" t="s">
        <v>63</v>
      </c>
      <c r="D870" s="99" t="s">
        <v>566</v>
      </c>
      <c r="E870" s="114">
        <f>56.04+81.45+56.04</f>
        <v>193.53</v>
      </c>
      <c r="F870" s="79"/>
      <c r="G870" s="79"/>
    </row>
    <row r="871" spans="2:7" ht="13">
      <c r="B871" s="99" t="s">
        <v>55</v>
      </c>
      <c r="C871" s="124" t="s">
        <v>63</v>
      </c>
      <c r="E871" s="114">
        <f>291.09-E870</f>
        <v>97.559999999999974</v>
      </c>
      <c r="F871" s="79"/>
      <c r="G871" s="79"/>
    </row>
    <row r="872" spans="2:7" ht="13">
      <c r="B872" s="99" t="s">
        <v>55</v>
      </c>
      <c r="C872" s="124" t="s">
        <v>59</v>
      </c>
      <c r="D872" s="99" t="s">
        <v>441</v>
      </c>
      <c r="E872" s="114">
        <f>42.79+9.4+11.86+68.34+18.79+31.54+130.4</f>
        <v>313.12</v>
      </c>
      <c r="F872" s="79"/>
      <c r="G872" s="79"/>
    </row>
    <row r="873" spans="2:7" ht="13">
      <c r="B873" s="99" t="s">
        <v>55</v>
      </c>
      <c r="C873" s="124" t="s">
        <v>59</v>
      </c>
      <c r="D873" s="99" t="s">
        <v>306</v>
      </c>
      <c r="E873" s="105">
        <v>36.76</v>
      </c>
      <c r="F873" s="79"/>
      <c r="G873" s="79"/>
    </row>
    <row r="874" spans="2:7" ht="13">
      <c r="B874" s="99" t="s">
        <v>64</v>
      </c>
      <c r="C874" s="124" t="s">
        <v>62</v>
      </c>
      <c r="E874" s="105">
        <v>449.08</v>
      </c>
      <c r="F874" s="79"/>
      <c r="G874" s="79"/>
    </row>
    <row r="875" spans="2:7" ht="13">
      <c r="B875" s="99" t="s">
        <v>64</v>
      </c>
      <c r="C875" s="124" t="s">
        <v>62</v>
      </c>
      <c r="E875" s="105">
        <v>668.68</v>
      </c>
      <c r="F875" s="79"/>
      <c r="G875" s="79"/>
    </row>
    <row r="876" spans="2:7" ht="13">
      <c r="B876" s="99" t="s">
        <v>64</v>
      </c>
      <c r="C876" s="124" t="s">
        <v>62</v>
      </c>
      <c r="E876" s="105">
        <v>295.2</v>
      </c>
      <c r="F876" s="79"/>
      <c r="G876" s="79"/>
    </row>
    <row r="877" spans="2:7" ht="13">
      <c r="B877" s="99" t="s">
        <v>125</v>
      </c>
      <c r="C877" s="124" t="s">
        <v>93</v>
      </c>
      <c r="E877" s="105">
        <v>87.47</v>
      </c>
      <c r="F877" s="79"/>
      <c r="G877" s="79"/>
    </row>
    <row r="878" spans="2:7" ht="13">
      <c r="B878" s="99" t="s">
        <v>125</v>
      </c>
      <c r="C878" s="124" t="s">
        <v>93</v>
      </c>
      <c r="E878" s="105">
        <v>74</v>
      </c>
      <c r="F878" s="79"/>
      <c r="G878" s="79"/>
    </row>
    <row r="879" spans="2:7" ht="13">
      <c r="B879" s="99" t="s">
        <v>58</v>
      </c>
      <c r="C879" s="124" t="s">
        <v>59</v>
      </c>
      <c r="D879" s="99" t="s">
        <v>567</v>
      </c>
      <c r="E879" s="105">
        <v>34.82</v>
      </c>
      <c r="F879" s="79"/>
      <c r="G879" s="79"/>
    </row>
    <row r="880" spans="2:7" ht="13">
      <c r="B880" s="99" t="s">
        <v>58</v>
      </c>
      <c r="C880" s="124" t="s">
        <v>553</v>
      </c>
      <c r="E880" s="105">
        <v>19.170000000000002</v>
      </c>
      <c r="F880" s="79"/>
      <c r="G880" s="79"/>
    </row>
    <row r="881" spans="2:7" ht="13">
      <c r="B881" s="99" t="s">
        <v>58</v>
      </c>
      <c r="C881" s="124" t="s">
        <v>59</v>
      </c>
      <c r="E881" s="114">
        <f>1027.64-E879-E880</f>
        <v>973.65000000000009</v>
      </c>
      <c r="F881" s="79"/>
      <c r="G881" s="79"/>
    </row>
    <row r="882" spans="2:7" ht="13">
      <c r="B882" s="99" t="s">
        <v>58</v>
      </c>
      <c r="C882" s="124" t="s">
        <v>59</v>
      </c>
      <c r="E882" s="114">
        <f>3318.78-73.01-18.74-7.92-24.32-9.41-19.68-106.56-20.64-30-27.3-23.47-23.4-27.54-7.08-19.25-16.2</f>
        <v>2864.2600000000007</v>
      </c>
      <c r="F882" s="79"/>
      <c r="G882" s="79"/>
    </row>
    <row r="883" spans="2:7" ht="13">
      <c r="B883" s="99" t="s">
        <v>58</v>
      </c>
      <c r="C883" s="124" t="s">
        <v>59</v>
      </c>
      <c r="D883" s="99" t="s">
        <v>112</v>
      </c>
      <c r="E883" s="114">
        <f>40.24</f>
        <v>40.24</v>
      </c>
      <c r="F883" s="79"/>
      <c r="G883" s="79"/>
    </row>
    <row r="884" spans="2:7" ht="13">
      <c r="B884" s="99" t="s">
        <v>58</v>
      </c>
      <c r="C884" s="124" t="s">
        <v>59</v>
      </c>
      <c r="D884" s="99" t="s">
        <v>440</v>
      </c>
      <c r="E884" s="114">
        <f>54.7-15.24-7.04+20.16+8.16+28.92</f>
        <v>89.66</v>
      </c>
      <c r="F884" s="79"/>
      <c r="G884" s="79"/>
    </row>
    <row r="885" spans="2:7" ht="13">
      <c r="B885" s="99" t="s">
        <v>58</v>
      </c>
      <c r="C885" s="124" t="s">
        <v>59</v>
      </c>
      <c r="D885" s="99" t="s">
        <v>229</v>
      </c>
      <c r="E885" s="105">
        <v>86.04</v>
      </c>
      <c r="F885" s="79"/>
      <c r="G885" s="79"/>
    </row>
    <row r="886" spans="2:7" ht="13">
      <c r="B886" s="99" t="s">
        <v>568</v>
      </c>
      <c r="C886" s="124" t="s">
        <v>96</v>
      </c>
      <c r="D886" s="99" t="s">
        <v>105</v>
      </c>
      <c r="E886" s="105">
        <v>662.1</v>
      </c>
      <c r="F886" s="79"/>
      <c r="G886" s="79"/>
    </row>
    <row r="887" spans="2:7" ht="13">
      <c r="B887" s="99" t="s">
        <v>569</v>
      </c>
      <c r="C887" s="124" t="s">
        <v>62</v>
      </c>
      <c r="E887" s="105">
        <v>511.19</v>
      </c>
      <c r="F887" s="79"/>
      <c r="G887" s="79"/>
    </row>
    <row r="888" spans="2:7" ht="13">
      <c r="B888" s="99" t="s">
        <v>569</v>
      </c>
      <c r="C888" s="124" t="s">
        <v>62</v>
      </c>
      <c r="E888" s="105">
        <v>488.2</v>
      </c>
      <c r="F888" s="79"/>
      <c r="G888" s="79"/>
    </row>
    <row r="889" spans="2:7" ht="13">
      <c r="B889" s="99" t="s">
        <v>569</v>
      </c>
      <c r="C889" s="124" t="s">
        <v>62</v>
      </c>
      <c r="E889" s="105">
        <v>488.2</v>
      </c>
      <c r="F889" s="79"/>
      <c r="G889" s="79"/>
    </row>
    <row r="890" spans="2:7" ht="13">
      <c r="B890" s="99" t="s">
        <v>569</v>
      </c>
      <c r="C890" s="124" t="s">
        <v>62</v>
      </c>
      <c r="E890" s="105">
        <v>551.89</v>
      </c>
      <c r="F890" s="79"/>
      <c r="G890" s="79"/>
    </row>
    <row r="891" spans="2:7" ht="13">
      <c r="B891" s="99" t="s">
        <v>569</v>
      </c>
      <c r="C891" s="124" t="s">
        <v>62</v>
      </c>
      <c r="E891" s="105">
        <v>254.7</v>
      </c>
      <c r="F891" s="79"/>
      <c r="G891" s="79"/>
    </row>
    <row r="892" spans="2:7" ht="13">
      <c r="B892" s="99" t="s">
        <v>86</v>
      </c>
      <c r="C892" s="124" t="s">
        <v>570</v>
      </c>
      <c r="D892" s="99" t="s">
        <v>571</v>
      </c>
      <c r="E892" s="105">
        <v>59.3</v>
      </c>
      <c r="F892" s="79"/>
      <c r="G892" s="79"/>
    </row>
    <row r="893" spans="2:7" ht="13">
      <c r="B893" s="99" t="s">
        <v>86</v>
      </c>
      <c r="C893" s="124" t="s">
        <v>572</v>
      </c>
      <c r="D893" s="99" t="s">
        <v>571</v>
      </c>
      <c r="E893" s="105">
        <v>86.3</v>
      </c>
      <c r="F893" s="79"/>
      <c r="G893" s="79"/>
    </row>
    <row r="894" spans="2:7" ht="13">
      <c r="B894" s="99" t="s">
        <v>86</v>
      </c>
      <c r="C894" s="124" t="s">
        <v>290</v>
      </c>
      <c r="D894" s="99" t="s">
        <v>571</v>
      </c>
      <c r="E894" s="105">
        <v>36.299999999999997</v>
      </c>
      <c r="F894" s="79"/>
      <c r="G894" s="79"/>
    </row>
    <row r="895" spans="2:7" ht="13">
      <c r="B895" s="99" t="s">
        <v>86</v>
      </c>
      <c r="C895" s="124" t="s">
        <v>573</v>
      </c>
      <c r="D895" s="99" t="s">
        <v>571</v>
      </c>
      <c r="E895" s="114">
        <f>53.3+165.2</f>
        <v>218.5</v>
      </c>
      <c r="F895" s="79"/>
      <c r="G895" s="79"/>
    </row>
    <row r="896" spans="2:7" ht="13">
      <c r="B896" s="99" t="s">
        <v>86</v>
      </c>
      <c r="C896" s="124" t="s">
        <v>574</v>
      </c>
      <c r="D896" s="99" t="s">
        <v>571</v>
      </c>
      <c r="E896" s="105">
        <v>44.3</v>
      </c>
      <c r="F896" s="79"/>
      <c r="G896" s="79"/>
    </row>
    <row r="897" spans="2:7" ht="13">
      <c r="B897" s="99" t="s">
        <v>575</v>
      </c>
      <c r="C897" s="124" t="s">
        <v>576</v>
      </c>
      <c r="E897" s="105">
        <v>23.4</v>
      </c>
      <c r="F897" s="79"/>
      <c r="G897" s="79"/>
    </row>
    <row r="898" spans="2:7" ht="13">
      <c r="B898" s="99" t="s">
        <v>577</v>
      </c>
      <c r="C898" s="124" t="s">
        <v>578</v>
      </c>
      <c r="E898" s="105">
        <v>36.89</v>
      </c>
      <c r="F898" s="79"/>
      <c r="G898" s="79"/>
    </row>
    <row r="899" spans="2:7" ht="13">
      <c r="B899" s="99" t="s">
        <v>86</v>
      </c>
      <c r="C899" s="124" t="s">
        <v>57</v>
      </c>
      <c r="E899" s="114">
        <f>44.21+37.21+23.46</f>
        <v>104.88</v>
      </c>
      <c r="F899" s="79"/>
      <c r="G899" s="79"/>
    </row>
    <row r="900" spans="2:7" ht="13">
      <c r="B900" s="99" t="s">
        <v>173</v>
      </c>
      <c r="C900" s="124" t="s">
        <v>579</v>
      </c>
      <c r="D900" s="99" t="s">
        <v>580</v>
      </c>
      <c r="E900" s="105">
        <v>24.83</v>
      </c>
      <c r="F900" s="79"/>
      <c r="G900" s="79"/>
    </row>
    <row r="901" spans="2:7" ht="13">
      <c r="B901" s="99" t="s">
        <v>581</v>
      </c>
      <c r="C901" s="124" t="s">
        <v>59</v>
      </c>
      <c r="E901" s="105">
        <f>119.4-E900</f>
        <v>94.570000000000007</v>
      </c>
      <c r="F901" s="79"/>
      <c r="G901" s="79"/>
    </row>
    <row r="902" spans="2:7" ht="13">
      <c r="B902" s="99" t="s">
        <v>581</v>
      </c>
      <c r="C902" s="124" t="s">
        <v>59</v>
      </c>
      <c r="E902" s="105">
        <f>818.34-SUM(E903:E912)</f>
        <v>456.6</v>
      </c>
      <c r="F902" s="79"/>
      <c r="G902" s="79"/>
    </row>
    <row r="903" spans="2:7" ht="13">
      <c r="B903" s="99" t="s">
        <v>581</v>
      </c>
      <c r="C903" s="124" t="s">
        <v>553</v>
      </c>
      <c r="E903" s="114">
        <f>43.44</f>
        <v>43.44</v>
      </c>
      <c r="F903" s="79"/>
      <c r="G903" s="79"/>
    </row>
    <row r="904" spans="2:7" ht="13">
      <c r="B904" s="99" t="s">
        <v>222</v>
      </c>
      <c r="C904" s="124" t="s">
        <v>582</v>
      </c>
      <c r="D904" s="99" t="s">
        <v>580</v>
      </c>
      <c r="E904" s="105">
        <v>17.09</v>
      </c>
      <c r="F904" s="79"/>
      <c r="G904" s="79"/>
    </row>
    <row r="905" spans="2:7" ht="13">
      <c r="B905" s="99" t="s">
        <v>123</v>
      </c>
      <c r="C905" s="124" t="s">
        <v>583</v>
      </c>
      <c r="D905" s="99" t="s">
        <v>580</v>
      </c>
      <c r="E905" s="114">
        <f>23.36*2</f>
        <v>46.72</v>
      </c>
      <c r="F905" s="79"/>
      <c r="G905" s="79"/>
    </row>
    <row r="906" spans="2:7" ht="13">
      <c r="B906" s="99" t="s">
        <v>150</v>
      </c>
      <c r="C906" s="124" t="s">
        <v>584</v>
      </c>
      <c r="D906" s="99" t="s">
        <v>580</v>
      </c>
      <c r="E906" s="105">
        <v>31.28</v>
      </c>
      <c r="F906" s="79"/>
      <c r="G906" s="79"/>
    </row>
    <row r="907" spans="2:7" ht="13">
      <c r="B907" s="99" t="s">
        <v>585</v>
      </c>
      <c r="C907" s="124" t="s">
        <v>139</v>
      </c>
      <c r="D907" s="99" t="s">
        <v>580</v>
      </c>
      <c r="E907" s="114">
        <f>16.71*2</f>
        <v>33.42</v>
      </c>
      <c r="F907" s="79"/>
      <c r="G907" s="79"/>
    </row>
    <row r="908" spans="2:7" ht="13">
      <c r="B908" s="99" t="s">
        <v>586</v>
      </c>
      <c r="C908" s="124" t="s">
        <v>167</v>
      </c>
      <c r="D908" s="99" t="s">
        <v>580</v>
      </c>
      <c r="E908" s="114">
        <f>14.08*3</f>
        <v>42.24</v>
      </c>
      <c r="F908" s="79"/>
      <c r="G908" s="79"/>
    </row>
    <row r="909" spans="2:7" ht="13">
      <c r="B909" s="99" t="s">
        <v>587</v>
      </c>
      <c r="C909" s="124" t="s">
        <v>141</v>
      </c>
      <c r="D909" s="99" t="s">
        <v>580</v>
      </c>
      <c r="E909" s="105">
        <v>28.09</v>
      </c>
      <c r="F909" s="104" t="s">
        <v>315</v>
      </c>
      <c r="G909" s="79"/>
    </row>
    <row r="910" spans="2:7" ht="13">
      <c r="B910" s="99" t="s">
        <v>184</v>
      </c>
      <c r="C910" s="124" t="s">
        <v>588</v>
      </c>
      <c r="D910" s="99" t="s">
        <v>580</v>
      </c>
      <c r="E910" s="105">
        <v>21.72</v>
      </c>
      <c r="F910" s="79"/>
      <c r="G910" s="79"/>
    </row>
    <row r="911" spans="2:7" ht="13">
      <c r="B911" s="99" t="s">
        <v>128</v>
      </c>
      <c r="C911" s="124" t="s">
        <v>552</v>
      </c>
      <c r="D911" s="99" t="s">
        <v>580</v>
      </c>
      <c r="E911" s="105">
        <v>77.040000000000006</v>
      </c>
      <c r="F911" s="79"/>
      <c r="G911" s="79"/>
    </row>
    <row r="912" spans="2:7" ht="13">
      <c r="B912" s="99" t="s">
        <v>220</v>
      </c>
      <c r="C912" s="124" t="s">
        <v>589</v>
      </c>
      <c r="D912" s="99" t="s">
        <v>580</v>
      </c>
      <c r="E912" s="105">
        <v>20.7</v>
      </c>
      <c r="F912" s="79"/>
      <c r="G912" s="79"/>
    </row>
    <row r="913" spans="2:7" ht="13">
      <c r="B913" s="99" t="s">
        <v>60</v>
      </c>
      <c r="C913" s="124" t="s">
        <v>59</v>
      </c>
      <c r="E913" s="114">
        <f>992.82-E914-E915-E916-E917-E918</f>
        <v>488.02000000000021</v>
      </c>
      <c r="F913" s="79"/>
      <c r="G913" s="79"/>
    </row>
    <row r="914" spans="2:7" ht="13">
      <c r="B914" s="99" t="s">
        <v>581</v>
      </c>
      <c r="C914" s="124" t="s">
        <v>590</v>
      </c>
      <c r="E914" s="114">
        <f>18.46*8</f>
        <v>147.68</v>
      </c>
      <c r="F914" s="79"/>
      <c r="G914" s="79"/>
    </row>
    <row r="915" spans="2:7" ht="13">
      <c r="B915" s="99" t="s">
        <v>226</v>
      </c>
      <c r="C915" s="124" t="s">
        <v>591</v>
      </c>
      <c r="D915" s="99" t="s">
        <v>580</v>
      </c>
      <c r="E915" s="105">
        <v>13.03</v>
      </c>
      <c r="F915" s="79"/>
      <c r="G915" s="79"/>
    </row>
    <row r="916" spans="2:7" ht="13">
      <c r="B916" s="99" t="s">
        <v>123</v>
      </c>
      <c r="C916" s="124" t="s">
        <v>62</v>
      </c>
      <c r="D916" s="99" t="s">
        <v>580</v>
      </c>
      <c r="E916" s="114">
        <f>28.31+25.58*9</f>
        <v>258.52999999999997</v>
      </c>
      <c r="F916" s="79"/>
      <c r="G916" s="79"/>
    </row>
    <row r="917" spans="2:7" ht="13">
      <c r="B917" s="99" t="s">
        <v>592</v>
      </c>
      <c r="C917" s="124" t="s">
        <v>561</v>
      </c>
      <c r="D917" s="99" t="s">
        <v>580</v>
      </c>
      <c r="E917" s="105">
        <v>15.18</v>
      </c>
      <c r="F917" s="79"/>
      <c r="G917" s="79"/>
    </row>
    <row r="918" spans="2:7" ht="13">
      <c r="B918" s="99" t="s">
        <v>587</v>
      </c>
      <c r="C918" s="124" t="s">
        <v>141</v>
      </c>
      <c r="D918" s="99" t="s">
        <v>580</v>
      </c>
      <c r="E918" s="114">
        <f>35.19*2</f>
        <v>70.38</v>
      </c>
      <c r="F918" s="79"/>
      <c r="G918" s="79"/>
    </row>
    <row r="919" spans="2:7" ht="13">
      <c r="B919" s="99" t="s">
        <v>581</v>
      </c>
      <c r="C919" s="124" t="s">
        <v>59</v>
      </c>
      <c r="E919" s="114">
        <f>365.33</f>
        <v>365.33</v>
      </c>
      <c r="F919" s="79"/>
      <c r="G919" s="79"/>
    </row>
    <row r="920" spans="2:7" ht="13">
      <c r="B920" s="99" t="s">
        <v>581</v>
      </c>
      <c r="C920" s="124" t="s">
        <v>59</v>
      </c>
      <c r="E920" s="114">
        <f>2273.51-E921-E922-E923-E924-E925-E926</f>
        <v>1875.6900000000005</v>
      </c>
      <c r="F920" s="79"/>
      <c r="G920" s="79"/>
    </row>
    <row r="921" spans="2:7" ht="13">
      <c r="B921" s="99" t="s">
        <v>130</v>
      </c>
      <c r="C921" s="124" t="s">
        <v>137</v>
      </c>
      <c r="D921" s="99" t="s">
        <v>580</v>
      </c>
      <c r="E921" s="114">
        <f>(54.78*2)+27.39</f>
        <v>136.94999999999999</v>
      </c>
      <c r="F921" s="79"/>
      <c r="G921" s="79"/>
    </row>
    <row r="922" spans="2:7" ht="13">
      <c r="B922" s="99" t="s">
        <v>593</v>
      </c>
      <c r="C922" s="124" t="s">
        <v>139</v>
      </c>
      <c r="D922" s="99" t="s">
        <v>580</v>
      </c>
      <c r="E922" s="105">
        <v>35.200000000000003</v>
      </c>
      <c r="F922" s="79"/>
      <c r="G922" s="79"/>
    </row>
    <row r="923" spans="2:7" ht="13">
      <c r="B923" s="99" t="s">
        <v>123</v>
      </c>
      <c r="C923" s="124" t="s">
        <v>583</v>
      </c>
      <c r="D923" s="99" t="s">
        <v>580</v>
      </c>
      <c r="E923" s="114">
        <f>23.36+(46.72*2)</f>
        <v>116.8</v>
      </c>
      <c r="F923" s="79"/>
      <c r="G923" s="79"/>
    </row>
    <row r="924" spans="2:7" ht="13">
      <c r="B924" s="99" t="s">
        <v>594</v>
      </c>
      <c r="C924" s="125"/>
      <c r="D924" s="99" t="s">
        <v>580</v>
      </c>
      <c r="E924" s="114">
        <f>15.9+31.8</f>
        <v>47.7</v>
      </c>
      <c r="F924" s="79"/>
      <c r="G924" s="79"/>
    </row>
    <row r="925" spans="2:7" ht="13">
      <c r="B925" s="99" t="s">
        <v>163</v>
      </c>
      <c r="C925" s="124" t="s">
        <v>595</v>
      </c>
      <c r="D925" s="99" t="s">
        <v>580</v>
      </c>
      <c r="E925" s="105">
        <v>29.89</v>
      </c>
      <c r="F925" s="79"/>
      <c r="G925" s="79"/>
    </row>
    <row r="926" spans="2:7" ht="13">
      <c r="B926" s="99" t="s">
        <v>150</v>
      </c>
      <c r="C926" s="124" t="s">
        <v>596</v>
      </c>
      <c r="D926" s="99" t="s">
        <v>580</v>
      </c>
      <c r="E926" s="105">
        <v>31.28</v>
      </c>
      <c r="F926" s="79"/>
      <c r="G926" s="79"/>
    </row>
    <row r="927" spans="2:7" ht="13">
      <c r="B927" s="99" t="s">
        <v>60</v>
      </c>
      <c r="C927" s="124" t="s">
        <v>59</v>
      </c>
      <c r="E927" s="114">
        <f>4324.44-SUM(E928:E947)</f>
        <v>3082.1899999999996</v>
      </c>
      <c r="F927" s="79"/>
      <c r="G927" s="79"/>
    </row>
    <row r="928" spans="2:7" ht="13">
      <c r="B928" s="99" t="s">
        <v>597</v>
      </c>
      <c r="C928" s="124" t="s">
        <v>93</v>
      </c>
      <c r="D928" s="99" t="s">
        <v>598</v>
      </c>
      <c r="E928" s="105">
        <v>19.309999999999999</v>
      </c>
      <c r="F928" s="79"/>
      <c r="G928" s="79"/>
    </row>
    <row r="929" spans="2:7" ht="13">
      <c r="B929" s="99" t="s">
        <v>581</v>
      </c>
      <c r="C929" s="124" t="s">
        <v>59</v>
      </c>
      <c r="D929" s="99" t="s">
        <v>599</v>
      </c>
      <c r="E929" s="105">
        <v>43.34</v>
      </c>
      <c r="F929" s="79"/>
      <c r="G929" s="79"/>
    </row>
    <row r="930" spans="2:7" ht="13">
      <c r="B930" s="99" t="s">
        <v>130</v>
      </c>
      <c r="C930" s="124" t="s">
        <v>137</v>
      </c>
      <c r="D930" s="99" t="s">
        <v>580</v>
      </c>
      <c r="E930" s="114">
        <f>27.39*4</f>
        <v>109.56</v>
      </c>
      <c r="F930" s="79"/>
      <c r="G930" s="79"/>
    </row>
    <row r="931" spans="2:7" ht="13">
      <c r="B931" s="99" t="s">
        <v>600</v>
      </c>
      <c r="C931" s="124" t="s">
        <v>127</v>
      </c>
      <c r="D931" s="99" t="s">
        <v>580</v>
      </c>
      <c r="E931" s="105">
        <v>49.06</v>
      </c>
      <c r="F931" s="79"/>
      <c r="G931" s="79"/>
    </row>
    <row r="932" spans="2:7" ht="13">
      <c r="B932" s="99" t="s">
        <v>581</v>
      </c>
      <c r="C932" s="124" t="s">
        <v>59</v>
      </c>
      <c r="D932" s="99" t="s">
        <v>553</v>
      </c>
      <c r="E932" s="114">
        <f>21.23</f>
        <v>21.23</v>
      </c>
      <c r="F932" s="104" t="s">
        <v>315</v>
      </c>
      <c r="G932" s="79"/>
    </row>
    <row r="933" spans="2:7" ht="13">
      <c r="B933" s="99" t="s">
        <v>113</v>
      </c>
      <c r="C933" s="124" t="s">
        <v>601</v>
      </c>
      <c r="D933" s="99" t="s">
        <v>580</v>
      </c>
      <c r="E933" s="114">
        <f>39.3+49.39+98.78+40.23+40.23+32.84+54.14+29.42</f>
        <v>384.33</v>
      </c>
      <c r="F933" s="104" t="s">
        <v>374</v>
      </c>
      <c r="G933" s="79"/>
    </row>
    <row r="934" spans="2:7" ht="13">
      <c r="B934" s="99" t="s">
        <v>602</v>
      </c>
      <c r="C934" s="124" t="s">
        <v>183</v>
      </c>
      <c r="D934" s="99" t="s">
        <v>580</v>
      </c>
      <c r="E934" s="105">
        <v>33.159999999999997</v>
      </c>
      <c r="F934" s="104" t="s">
        <v>315</v>
      </c>
      <c r="G934" s="79"/>
    </row>
    <row r="935" spans="2:7" ht="13">
      <c r="B935" s="99" t="s">
        <v>603</v>
      </c>
      <c r="C935" s="124" t="s">
        <v>194</v>
      </c>
      <c r="D935" s="99" t="s">
        <v>580</v>
      </c>
      <c r="E935" s="105">
        <v>47.82</v>
      </c>
      <c r="F935" s="104" t="s">
        <v>315</v>
      </c>
      <c r="G935" s="79"/>
    </row>
    <row r="936" spans="2:7" ht="13">
      <c r="B936" s="99" t="s">
        <v>604</v>
      </c>
      <c r="C936" s="124" t="s">
        <v>85</v>
      </c>
      <c r="D936" s="99" t="s">
        <v>580</v>
      </c>
      <c r="E936" s="105">
        <v>24.6</v>
      </c>
      <c r="F936" s="104" t="s">
        <v>315</v>
      </c>
      <c r="G936" s="79"/>
    </row>
    <row r="937" spans="2:7" ht="13">
      <c r="B937" s="99" t="s">
        <v>188</v>
      </c>
      <c r="C937" s="124" t="s">
        <v>605</v>
      </c>
      <c r="D937" s="99" t="s">
        <v>580</v>
      </c>
      <c r="E937" s="114">
        <f>14.87*2</f>
        <v>29.74</v>
      </c>
      <c r="F937" s="104" t="s">
        <v>315</v>
      </c>
      <c r="G937" s="79"/>
    </row>
    <row r="938" spans="2:7" ht="13">
      <c r="B938" s="99" t="s">
        <v>171</v>
      </c>
      <c r="C938" s="124" t="s">
        <v>606</v>
      </c>
      <c r="D938" s="99" t="s">
        <v>580</v>
      </c>
      <c r="E938" s="105">
        <v>37.409999999999997</v>
      </c>
      <c r="F938" s="104" t="s">
        <v>315</v>
      </c>
      <c r="G938" s="79"/>
    </row>
    <row r="939" spans="2:7" ht="13">
      <c r="B939" s="99" t="s">
        <v>123</v>
      </c>
      <c r="C939" s="124" t="s">
        <v>607</v>
      </c>
      <c r="D939" s="99" t="s">
        <v>580</v>
      </c>
      <c r="E939" s="114">
        <f>25.58*4</f>
        <v>102.32</v>
      </c>
      <c r="F939" s="104" t="s">
        <v>315</v>
      </c>
      <c r="G939" s="79"/>
    </row>
    <row r="940" spans="2:7" ht="13">
      <c r="B940" s="99" t="s">
        <v>585</v>
      </c>
      <c r="C940" s="124" t="s">
        <v>608</v>
      </c>
      <c r="D940" s="99" t="s">
        <v>580</v>
      </c>
      <c r="E940" s="105">
        <v>33.42</v>
      </c>
      <c r="F940" s="104" t="s">
        <v>315</v>
      </c>
      <c r="G940" s="79"/>
    </row>
    <row r="941" spans="2:7" ht="13">
      <c r="B941" s="99" t="s">
        <v>158</v>
      </c>
      <c r="C941" s="124" t="s">
        <v>159</v>
      </c>
      <c r="D941" s="99" t="s">
        <v>580</v>
      </c>
      <c r="E941" s="114">
        <f>18.79*2</f>
        <v>37.58</v>
      </c>
      <c r="F941" s="104" t="s">
        <v>315</v>
      </c>
      <c r="G941" s="79"/>
    </row>
    <row r="942" spans="2:7" ht="13">
      <c r="B942" s="99" t="s">
        <v>609</v>
      </c>
      <c r="C942" s="124" t="s">
        <v>144</v>
      </c>
      <c r="D942" s="99" t="s">
        <v>580</v>
      </c>
      <c r="E942" s="105">
        <f>25.64*2</f>
        <v>51.28</v>
      </c>
      <c r="F942" s="104" t="s">
        <v>315</v>
      </c>
      <c r="G942" s="79"/>
    </row>
    <row r="943" spans="2:7" ht="13">
      <c r="B943" s="99" t="s">
        <v>197</v>
      </c>
      <c r="C943" s="124" t="s">
        <v>198</v>
      </c>
      <c r="D943" s="99" t="s">
        <v>580</v>
      </c>
      <c r="E943" s="114">
        <f>10.12*2</f>
        <v>20.239999999999998</v>
      </c>
      <c r="F943" s="104" t="s">
        <v>315</v>
      </c>
      <c r="G943" s="79"/>
    </row>
    <row r="944" spans="2:7" ht="13">
      <c r="B944" s="99" t="s">
        <v>610</v>
      </c>
      <c r="C944" s="124" t="s">
        <v>180</v>
      </c>
      <c r="D944" s="99" t="s">
        <v>580</v>
      </c>
      <c r="E944" s="105">
        <v>69.510000000000005</v>
      </c>
      <c r="F944" s="104" t="s">
        <v>315</v>
      </c>
      <c r="G944" s="79"/>
    </row>
    <row r="945" spans="2:7" ht="13">
      <c r="B945" s="99" t="s">
        <v>60</v>
      </c>
      <c r="C945" s="124" t="s">
        <v>59</v>
      </c>
      <c r="D945" s="99" t="s">
        <v>553</v>
      </c>
      <c r="E945" s="114">
        <f>(13.95*2)*2</f>
        <v>55.8</v>
      </c>
      <c r="F945" s="104" t="s">
        <v>315</v>
      </c>
      <c r="G945" s="79"/>
    </row>
    <row r="946" spans="2:7" ht="13">
      <c r="B946" s="99" t="s">
        <v>611</v>
      </c>
      <c r="C946" s="124" t="s">
        <v>556</v>
      </c>
      <c r="D946" s="99" t="s">
        <v>580</v>
      </c>
      <c r="E946" s="114">
        <f>8.81*4</f>
        <v>35.24</v>
      </c>
      <c r="F946" s="104" t="s">
        <v>315</v>
      </c>
      <c r="G946" s="104" t="s">
        <v>315</v>
      </c>
    </row>
    <row r="947" spans="2:7" ht="13">
      <c r="B947" s="99" t="s">
        <v>612</v>
      </c>
      <c r="C947" s="124" t="s">
        <v>561</v>
      </c>
      <c r="D947" s="99" t="s">
        <v>580</v>
      </c>
      <c r="E947" s="114">
        <f>18.65*2</f>
        <v>37.299999999999997</v>
      </c>
      <c r="F947" s="104" t="s">
        <v>315</v>
      </c>
      <c r="G947" s="104" t="s">
        <v>315</v>
      </c>
    </row>
    <row r="948" spans="2:7" ht="13">
      <c r="B948" s="99" t="s">
        <v>60</v>
      </c>
      <c r="C948" s="124" t="s">
        <v>59</v>
      </c>
      <c r="D948" s="99" t="s">
        <v>553</v>
      </c>
      <c r="E948" s="114">
        <f>28.65+127.38</f>
        <v>156.03</v>
      </c>
      <c r="F948" s="104" t="s">
        <v>315</v>
      </c>
      <c r="G948" s="104" t="s">
        <v>374</v>
      </c>
    </row>
    <row r="949" spans="2:7" ht="13">
      <c r="B949" s="99" t="s">
        <v>60</v>
      </c>
      <c r="C949" s="124" t="s">
        <v>59</v>
      </c>
      <c r="D949" s="99" t="s">
        <v>613</v>
      </c>
      <c r="E949" s="114">
        <f>152.09+33.78</f>
        <v>185.87</v>
      </c>
      <c r="F949" s="104" t="s">
        <v>315</v>
      </c>
      <c r="G949" s="104" t="s">
        <v>374</v>
      </c>
    </row>
    <row r="950" spans="2:7" ht="13">
      <c r="B950" s="99" t="s">
        <v>581</v>
      </c>
      <c r="C950" s="124" t="s">
        <v>59</v>
      </c>
      <c r="D950" s="99" t="s">
        <v>440</v>
      </c>
      <c r="E950" s="105">
        <v>9.02</v>
      </c>
      <c r="F950" s="104" t="s">
        <v>315</v>
      </c>
      <c r="G950" s="104" t="s">
        <v>374</v>
      </c>
    </row>
    <row r="951" spans="2:7" ht="13">
      <c r="B951" s="99" t="s">
        <v>581</v>
      </c>
      <c r="C951" s="124" t="s">
        <v>59</v>
      </c>
      <c r="E951" s="114">
        <f>482.54</f>
        <v>482.54</v>
      </c>
      <c r="F951" s="104" t="s">
        <v>374</v>
      </c>
      <c r="G951" s="104" t="s">
        <v>374</v>
      </c>
    </row>
    <row r="952" spans="2:7" ht="13">
      <c r="B952" s="99" t="s">
        <v>614</v>
      </c>
      <c r="C952" s="124" t="s">
        <v>62</v>
      </c>
      <c r="E952" s="105">
        <v>425.46</v>
      </c>
      <c r="F952" s="104" t="s">
        <v>374</v>
      </c>
      <c r="G952" s="104" t="s">
        <v>374</v>
      </c>
    </row>
    <row r="953" spans="2:7" ht="13">
      <c r="B953" s="99" t="s">
        <v>614</v>
      </c>
      <c r="C953" s="124" t="s">
        <v>62</v>
      </c>
      <c r="E953" s="105">
        <v>97.92</v>
      </c>
      <c r="F953" s="104" t="s">
        <v>374</v>
      </c>
      <c r="G953" s="104" t="s">
        <v>374</v>
      </c>
    </row>
    <row r="954" spans="2:7" ht="13">
      <c r="B954" s="99" t="s">
        <v>462</v>
      </c>
      <c r="C954" s="124" t="s">
        <v>440</v>
      </c>
      <c r="E954" s="105">
        <v>63.78</v>
      </c>
      <c r="F954" s="104" t="s">
        <v>315</v>
      </c>
      <c r="G954" s="104" t="s">
        <v>374</v>
      </c>
    </row>
    <row r="955" spans="2:7" ht="13">
      <c r="B955" s="99" t="s">
        <v>462</v>
      </c>
      <c r="C955" s="124" t="s">
        <v>615</v>
      </c>
      <c r="E955" s="114">
        <f>648.23-E954</f>
        <v>584.45000000000005</v>
      </c>
      <c r="F955" s="104" t="s">
        <v>374</v>
      </c>
      <c r="G955" s="104" t="s">
        <v>374</v>
      </c>
    </row>
    <row r="956" spans="2:7" ht="13">
      <c r="B956" s="99" t="s">
        <v>106</v>
      </c>
      <c r="C956" s="124" t="s">
        <v>93</v>
      </c>
      <c r="D956" s="99" t="s">
        <v>616</v>
      </c>
      <c r="E956" s="105">
        <v>241.2</v>
      </c>
      <c r="F956" s="104" t="s">
        <v>374</v>
      </c>
      <c r="G956" s="104" t="s">
        <v>315</v>
      </c>
    </row>
    <row r="957" spans="2:7" ht="13">
      <c r="B957" s="99" t="s">
        <v>106</v>
      </c>
      <c r="C957" s="124" t="s">
        <v>93</v>
      </c>
      <c r="D957" s="99" t="s">
        <v>616</v>
      </c>
      <c r="E957" s="105">
        <v>140.97999999999999</v>
      </c>
      <c r="F957" s="104" t="s">
        <v>374</v>
      </c>
      <c r="G957" s="104" t="s">
        <v>315</v>
      </c>
    </row>
    <row r="958" spans="2:7" ht="13">
      <c r="B958" s="99" t="s">
        <v>617</v>
      </c>
      <c r="C958" s="124" t="s">
        <v>62</v>
      </c>
      <c r="E958" s="105">
        <v>328.73</v>
      </c>
      <c r="F958" s="104" t="s">
        <v>374</v>
      </c>
      <c r="G958" s="104" t="s">
        <v>374</v>
      </c>
    </row>
    <row r="959" spans="2:7" ht="13">
      <c r="B959" s="99" t="s">
        <v>617</v>
      </c>
      <c r="C959" s="124" t="s">
        <v>62</v>
      </c>
      <c r="E959" s="105">
        <v>574.95000000000005</v>
      </c>
      <c r="F959" s="104" t="s">
        <v>374</v>
      </c>
      <c r="G959" s="104" t="s">
        <v>374</v>
      </c>
    </row>
    <row r="960" spans="2:7" ht="13">
      <c r="B960" s="99" t="s">
        <v>617</v>
      </c>
      <c r="C960" s="124" t="s">
        <v>62</v>
      </c>
      <c r="E960" s="105">
        <v>187</v>
      </c>
      <c r="F960" s="104" t="s">
        <v>374</v>
      </c>
      <c r="G960" s="104" t="s">
        <v>374</v>
      </c>
    </row>
    <row r="961" spans="1:26" ht="13">
      <c r="B961" s="99" t="s">
        <v>618</v>
      </c>
      <c r="C961" s="124" t="s">
        <v>93</v>
      </c>
      <c r="D961" s="99" t="s">
        <v>616</v>
      </c>
      <c r="E961" s="105">
        <v>146.4</v>
      </c>
      <c r="F961" s="104" t="s">
        <v>374</v>
      </c>
      <c r="G961" s="104" t="s">
        <v>315</v>
      </c>
    </row>
    <row r="962" spans="1:26" ht="13">
      <c r="B962" s="99" t="s">
        <v>618</v>
      </c>
      <c r="C962" s="124" t="s">
        <v>93</v>
      </c>
      <c r="D962" s="99" t="s">
        <v>616</v>
      </c>
      <c r="E962" s="105">
        <v>177.1</v>
      </c>
      <c r="F962" s="104" t="s">
        <v>374</v>
      </c>
      <c r="G962" s="104" t="s">
        <v>315</v>
      </c>
    </row>
    <row r="963" spans="1:26" ht="13">
      <c r="B963" s="99" t="s">
        <v>618</v>
      </c>
      <c r="C963" s="124" t="s">
        <v>93</v>
      </c>
      <c r="D963" s="99" t="s">
        <v>616</v>
      </c>
      <c r="E963" s="105">
        <v>244.55</v>
      </c>
      <c r="F963" s="104" t="s">
        <v>374</v>
      </c>
      <c r="G963" s="104" t="s">
        <v>315</v>
      </c>
    </row>
    <row r="964" spans="1:26" ht="13">
      <c r="B964" s="99" t="s">
        <v>618</v>
      </c>
      <c r="C964" s="124" t="s">
        <v>93</v>
      </c>
      <c r="D964" s="99" t="s">
        <v>616</v>
      </c>
      <c r="E964" s="105">
        <v>139.30000000000001</v>
      </c>
      <c r="F964" s="104" t="s">
        <v>374</v>
      </c>
      <c r="G964" s="104" t="s">
        <v>315</v>
      </c>
    </row>
    <row r="965" spans="1:26" ht="13">
      <c r="A965" s="3"/>
      <c r="B965" s="99" t="s">
        <v>618</v>
      </c>
      <c r="C965" s="124" t="s">
        <v>93</v>
      </c>
      <c r="D965" s="99" t="s">
        <v>616</v>
      </c>
      <c r="E965" s="105">
        <v>183.25</v>
      </c>
      <c r="F965" s="104" t="s">
        <v>374</v>
      </c>
      <c r="G965" s="104" t="s">
        <v>315</v>
      </c>
    </row>
    <row r="966" spans="1:26" ht="13">
      <c r="A966" s="3"/>
      <c r="B966" s="99" t="s">
        <v>618</v>
      </c>
      <c r="C966" s="124" t="s">
        <v>93</v>
      </c>
      <c r="D966" s="99" t="s">
        <v>616</v>
      </c>
      <c r="E966" s="105">
        <v>65</v>
      </c>
      <c r="F966" s="104" t="s">
        <v>374</v>
      </c>
      <c r="G966" s="104" t="s">
        <v>315</v>
      </c>
    </row>
    <row r="967" spans="1:26" ht="13">
      <c r="A967" s="3"/>
      <c r="B967" s="99" t="s">
        <v>90</v>
      </c>
      <c r="C967" s="124" t="s">
        <v>619</v>
      </c>
      <c r="E967" s="105">
        <v>275.39999999999998</v>
      </c>
      <c r="F967" s="104" t="s">
        <v>374</v>
      </c>
      <c r="G967" s="104" t="s">
        <v>374</v>
      </c>
    </row>
    <row r="968" spans="1:26" ht="13">
      <c r="A968" s="3"/>
      <c r="B968" s="99" t="s">
        <v>620</v>
      </c>
      <c r="C968" s="99" t="s">
        <v>619</v>
      </c>
      <c r="E968" s="105">
        <v>196.96</v>
      </c>
      <c r="F968" s="104" t="s">
        <v>374</v>
      </c>
      <c r="G968" s="104" t="s">
        <v>374</v>
      </c>
    </row>
    <row r="969" spans="1:26" ht="13">
      <c r="A969" s="3"/>
      <c r="B969" s="99" t="s">
        <v>621</v>
      </c>
      <c r="C969" s="99" t="s">
        <v>619</v>
      </c>
      <c r="E969" s="105">
        <v>262.10000000000002</v>
      </c>
      <c r="F969" s="104" t="s">
        <v>374</v>
      </c>
      <c r="G969" s="104" t="s">
        <v>374</v>
      </c>
    </row>
    <row r="970" spans="1:26" ht="13">
      <c r="A970" s="3"/>
      <c r="B970" s="99" t="s">
        <v>55</v>
      </c>
      <c r="C970" s="99" t="s">
        <v>59</v>
      </c>
      <c r="D970" s="99" t="s">
        <v>440</v>
      </c>
      <c r="E970" s="105">
        <v>56.61</v>
      </c>
      <c r="F970" s="104" t="s">
        <v>315</v>
      </c>
      <c r="G970" s="104" t="s">
        <v>374</v>
      </c>
    </row>
    <row r="971" spans="1:26" ht="13">
      <c r="A971" s="3"/>
      <c r="B971" s="99" t="s">
        <v>55</v>
      </c>
      <c r="C971" s="99" t="s">
        <v>59</v>
      </c>
      <c r="E971" s="105">
        <v>257.54000000000002</v>
      </c>
      <c r="F971" s="104" t="s">
        <v>374</v>
      </c>
      <c r="G971" s="104" t="s">
        <v>374</v>
      </c>
    </row>
    <row r="972" spans="1:26" ht="13">
      <c r="A972" s="94"/>
      <c r="B972" s="49"/>
      <c r="C972" s="49"/>
      <c r="D972" s="41" t="s">
        <v>268</v>
      </c>
      <c r="E972" s="119">
        <f>SUM(E741:E941)</f>
        <v>60445.160000000011</v>
      </c>
      <c r="F972" s="135"/>
      <c r="G972" s="135"/>
      <c r="H972" s="119">
        <f>SUM(E741:E747)+SUM(E749:E752)+E764+E777+E790+E794+E806+E821+E824+E831+E834+E839+E843+E858+E863+E866+E873+E883</f>
        <v>15330.490000000002</v>
      </c>
      <c r="I972" s="119">
        <f>E885+E857+E842+E826+E793</f>
        <v>340.94</v>
      </c>
      <c r="J972" s="119">
        <f>E949+E929</f>
        <v>229.21</v>
      </c>
      <c r="K972" s="119">
        <f>E865+E856+E852+E841+E825+E817+E805+E798</f>
        <v>708</v>
      </c>
      <c r="L972" s="49"/>
      <c r="M972" s="119">
        <f>E946+E867</f>
        <v>57.88</v>
      </c>
      <c r="N972" s="119">
        <f>E917+E850</f>
        <v>189.06</v>
      </c>
      <c r="O972" s="119">
        <f>E970+E954+E950+E884+E872+E859+E844+E832+E823+E807+E800+E795+E783+E780</f>
        <v>3075.0399999999995</v>
      </c>
      <c r="P972" s="49"/>
      <c r="Q972" s="119">
        <f>E948+E945+E932+E909+E847+E838+E813</f>
        <v>990.11</v>
      </c>
      <c r="R972" s="49"/>
      <c r="S972" s="49"/>
      <c r="T972" s="49"/>
      <c r="U972" s="49"/>
      <c r="V972" s="49"/>
      <c r="W972" s="49"/>
      <c r="X972" s="49"/>
      <c r="Y972" s="49"/>
      <c r="Z972" s="49"/>
    </row>
    <row r="973" spans="1:26" ht="13">
      <c r="A973" s="3"/>
      <c r="E973" s="114"/>
      <c r="F973" s="79"/>
      <c r="G973" s="79"/>
    </row>
    <row r="974" spans="1:26" ht="13">
      <c r="A974" s="3"/>
      <c r="E974" s="114"/>
      <c r="F974" s="79"/>
      <c r="G974" s="79"/>
    </row>
    <row r="975" spans="1:26" ht="13">
      <c r="A975" s="3"/>
      <c r="E975" s="114"/>
      <c r="F975" s="79"/>
      <c r="G975" s="79"/>
    </row>
    <row r="976" spans="1:26" ht="13">
      <c r="A976" s="3"/>
      <c r="E976" s="114"/>
      <c r="F976" s="79"/>
      <c r="G976" s="79"/>
    </row>
    <row r="977" spans="1:7" ht="13">
      <c r="A977" s="3"/>
      <c r="E977" s="114"/>
      <c r="F977" s="79"/>
      <c r="G977" s="79"/>
    </row>
    <row r="978" spans="1:7" ht="13">
      <c r="A978" s="3"/>
      <c r="E978" s="114"/>
      <c r="F978" s="79"/>
      <c r="G978" s="79"/>
    </row>
    <row r="979" spans="1:7" ht="13">
      <c r="A979" s="3" t="s">
        <v>622</v>
      </c>
      <c r="E979" s="114"/>
      <c r="F979" s="79"/>
      <c r="G979" s="79"/>
    </row>
    <row r="980" spans="1:7" ht="13">
      <c r="A980" s="3" t="s">
        <v>623</v>
      </c>
      <c r="B980" s="99" t="s">
        <v>134</v>
      </c>
      <c r="C980" s="99" t="s">
        <v>306</v>
      </c>
      <c r="E980" s="105">
        <v>6290.41</v>
      </c>
      <c r="F980" s="104" t="s">
        <v>315</v>
      </c>
      <c r="G980" s="104" t="s">
        <v>374</v>
      </c>
    </row>
    <row r="981" spans="1:7" ht="13">
      <c r="B981" s="99" t="s">
        <v>134</v>
      </c>
      <c r="C981" s="99" t="s">
        <v>306</v>
      </c>
      <c r="E981" s="105">
        <v>711.42</v>
      </c>
      <c r="F981" s="104" t="s">
        <v>315</v>
      </c>
      <c r="G981" s="104" t="s">
        <v>374</v>
      </c>
    </row>
    <row r="982" spans="1:7" ht="13">
      <c r="B982" s="99" t="s">
        <v>134</v>
      </c>
      <c r="C982" s="99" t="s">
        <v>306</v>
      </c>
      <c r="E982" s="105">
        <v>1049.4100000000001</v>
      </c>
      <c r="F982" s="104" t="s">
        <v>315</v>
      </c>
      <c r="G982" s="104" t="s">
        <v>374</v>
      </c>
    </row>
    <row r="983" spans="1:7" ht="13">
      <c r="B983" s="99" t="s">
        <v>134</v>
      </c>
      <c r="C983" s="99" t="s">
        <v>306</v>
      </c>
      <c r="E983" s="105">
        <f>4678.25-E984</f>
        <v>4606.8100000000004</v>
      </c>
      <c r="F983" s="104" t="s">
        <v>315</v>
      </c>
      <c r="G983" s="104" t="s">
        <v>374</v>
      </c>
    </row>
    <row r="984" spans="1:7" ht="13">
      <c r="B984" s="99" t="s">
        <v>134</v>
      </c>
      <c r="C984" s="99" t="s">
        <v>306</v>
      </c>
      <c r="D984" s="99" t="s">
        <v>624</v>
      </c>
      <c r="E984" s="105">
        <f>71.44</f>
        <v>71.44</v>
      </c>
      <c r="F984" s="104" t="s">
        <v>315</v>
      </c>
      <c r="G984" s="104" t="s">
        <v>315</v>
      </c>
    </row>
    <row r="985" spans="1:7" ht="13">
      <c r="B985" s="99" t="s">
        <v>134</v>
      </c>
      <c r="C985" s="99" t="s">
        <v>306</v>
      </c>
      <c r="E985" s="105">
        <v>104.66</v>
      </c>
      <c r="F985" s="104" t="s">
        <v>315</v>
      </c>
      <c r="G985" s="104" t="s">
        <v>374</v>
      </c>
    </row>
    <row r="986" spans="1:7" ht="13">
      <c r="B986" s="99" t="s">
        <v>134</v>
      </c>
      <c r="C986" s="99" t="s">
        <v>306</v>
      </c>
      <c r="E986" s="105">
        <v>71.599999999999994</v>
      </c>
      <c r="F986" s="104" t="s">
        <v>315</v>
      </c>
      <c r="G986" s="104" t="s">
        <v>374</v>
      </c>
    </row>
    <row r="987" spans="1:7" ht="13">
      <c r="B987" s="99" t="s">
        <v>134</v>
      </c>
      <c r="C987" s="99" t="s">
        <v>306</v>
      </c>
      <c r="E987" s="105">
        <v>300.60000000000002</v>
      </c>
      <c r="F987" s="104" t="s">
        <v>315</v>
      </c>
      <c r="G987" s="104" t="s">
        <v>374</v>
      </c>
    </row>
    <row r="988" spans="1:7" ht="13">
      <c r="B988" s="99" t="s">
        <v>134</v>
      </c>
      <c r="C988" s="99" t="s">
        <v>306</v>
      </c>
      <c r="E988" s="105">
        <v>30.54</v>
      </c>
      <c r="F988" s="104" t="s">
        <v>315</v>
      </c>
      <c r="G988" s="104" t="s">
        <v>374</v>
      </c>
    </row>
    <row r="989" spans="1:7" ht="13">
      <c r="B989" s="99" t="s">
        <v>134</v>
      </c>
      <c r="C989" s="99" t="s">
        <v>306</v>
      </c>
      <c r="E989" s="105">
        <v>5928.66</v>
      </c>
      <c r="F989" s="104" t="s">
        <v>315</v>
      </c>
      <c r="G989" s="104" t="s">
        <v>374</v>
      </c>
    </row>
    <row r="990" spans="1:7" ht="13">
      <c r="B990" s="99" t="s">
        <v>134</v>
      </c>
      <c r="C990" s="99" t="s">
        <v>306</v>
      </c>
      <c r="E990" s="105">
        <v>534.94000000000005</v>
      </c>
      <c r="F990" s="104" t="s">
        <v>315</v>
      </c>
      <c r="G990" s="104" t="s">
        <v>374</v>
      </c>
    </row>
    <row r="991" spans="1:7" ht="13">
      <c r="B991" s="99" t="s">
        <v>134</v>
      </c>
      <c r="C991" s="99" t="s">
        <v>306</v>
      </c>
      <c r="E991" s="105">
        <v>55.44</v>
      </c>
      <c r="F991" s="104" t="s">
        <v>315</v>
      </c>
      <c r="G991" s="104" t="s">
        <v>374</v>
      </c>
    </row>
    <row r="992" spans="1:7" ht="13">
      <c r="B992" s="99" t="s">
        <v>134</v>
      </c>
      <c r="C992" s="99" t="s">
        <v>306</v>
      </c>
      <c r="E992" s="105">
        <v>47.7</v>
      </c>
      <c r="F992" s="104" t="s">
        <v>315</v>
      </c>
      <c r="G992" s="104" t="s">
        <v>374</v>
      </c>
    </row>
    <row r="993" spans="2:7" ht="13">
      <c r="B993" s="99" t="s">
        <v>134</v>
      </c>
      <c r="C993" s="99" t="s">
        <v>306</v>
      </c>
      <c r="E993" s="105">
        <v>14.8</v>
      </c>
      <c r="F993" s="104" t="s">
        <v>315</v>
      </c>
      <c r="G993" s="104" t="s">
        <v>374</v>
      </c>
    </row>
    <row r="994" spans="2:7" ht="13">
      <c r="B994" s="99" t="s">
        <v>134</v>
      </c>
      <c r="C994" s="99" t="s">
        <v>306</v>
      </c>
      <c r="E994" s="105">
        <v>426.31</v>
      </c>
      <c r="F994" s="104" t="s">
        <v>315</v>
      </c>
      <c r="G994" s="104" t="s">
        <v>374</v>
      </c>
    </row>
    <row r="995" spans="2:7" ht="13">
      <c r="B995" s="99" t="s">
        <v>89</v>
      </c>
      <c r="C995" s="99" t="s">
        <v>57</v>
      </c>
      <c r="D995" s="99" t="s">
        <v>616</v>
      </c>
      <c r="E995" s="105">
        <v>593.36</v>
      </c>
      <c r="F995" s="104" t="s">
        <v>374</v>
      </c>
      <c r="G995" s="104" t="s">
        <v>315</v>
      </c>
    </row>
    <row r="996" spans="2:7" ht="13">
      <c r="B996" s="99" t="s">
        <v>89</v>
      </c>
      <c r="C996" s="99" t="s">
        <v>57</v>
      </c>
      <c r="D996" s="99" t="s">
        <v>616</v>
      </c>
      <c r="E996" s="105">
        <v>123.07</v>
      </c>
      <c r="F996" s="104" t="s">
        <v>374</v>
      </c>
      <c r="G996" s="104" t="s">
        <v>315</v>
      </c>
    </row>
    <row r="997" spans="2:7" ht="13">
      <c r="B997" s="99" t="s">
        <v>89</v>
      </c>
      <c r="C997" s="99" t="s">
        <v>57</v>
      </c>
      <c r="D997" s="99" t="s">
        <v>616</v>
      </c>
      <c r="E997" s="105">
        <v>55.92</v>
      </c>
      <c r="F997" s="104" t="s">
        <v>374</v>
      </c>
      <c r="G997" s="104" t="s">
        <v>315</v>
      </c>
    </row>
    <row r="998" spans="2:7" ht="13">
      <c r="B998" s="99" t="s">
        <v>89</v>
      </c>
      <c r="C998" s="99" t="s">
        <v>57</v>
      </c>
      <c r="D998" s="99" t="s">
        <v>616</v>
      </c>
      <c r="E998" s="105">
        <v>614.44000000000005</v>
      </c>
      <c r="F998" s="104" t="s">
        <v>374</v>
      </c>
      <c r="G998" s="104" t="s">
        <v>315</v>
      </c>
    </row>
    <row r="999" spans="2:7" ht="13">
      <c r="B999" s="99" t="s">
        <v>89</v>
      </c>
      <c r="C999" s="99" t="s">
        <v>57</v>
      </c>
      <c r="D999" s="99" t="s">
        <v>616</v>
      </c>
      <c r="E999" s="105">
        <v>92.48</v>
      </c>
      <c r="F999" s="104" t="s">
        <v>374</v>
      </c>
      <c r="G999" s="104" t="s">
        <v>315</v>
      </c>
    </row>
    <row r="1000" spans="2:7" ht="13">
      <c r="B1000" s="99" t="s">
        <v>89</v>
      </c>
      <c r="C1000" s="99" t="s">
        <v>57</v>
      </c>
      <c r="D1000" s="99" t="s">
        <v>616</v>
      </c>
      <c r="E1000" s="105">
        <v>194.46</v>
      </c>
      <c r="F1000" s="104" t="s">
        <v>374</v>
      </c>
      <c r="G1000" s="104" t="s">
        <v>315</v>
      </c>
    </row>
    <row r="1001" spans="2:7" ht="13">
      <c r="B1001" s="99" t="s">
        <v>89</v>
      </c>
      <c r="C1001" s="99" t="s">
        <v>57</v>
      </c>
      <c r="D1001" s="99" t="s">
        <v>616</v>
      </c>
      <c r="E1001" s="105">
        <v>739.62</v>
      </c>
      <c r="F1001" s="104" t="s">
        <v>374</v>
      </c>
      <c r="G1001" s="104" t="s">
        <v>315</v>
      </c>
    </row>
    <row r="1002" spans="2:7" ht="13">
      <c r="B1002" s="99" t="s">
        <v>89</v>
      </c>
      <c r="C1002" s="99" t="s">
        <v>57</v>
      </c>
      <c r="D1002" s="99" t="s">
        <v>616</v>
      </c>
      <c r="E1002" s="105">
        <v>55.92</v>
      </c>
      <c r="F1002" s="104" t="s">
        <v>374</v>
      </c>
      <c r="G1002" s="104" t="s">
        <v>315</v>
      </c>
    </row>
    <row r="1003" spans="2:7" ht="13">
      <c r="B1003" s="99" t="s">
        <v>89</v>
      </c>
      <c r="C1003" s="99" t="s">
        <v>57</v>
      </c>
      <c r="D1003" s="99" t="s">
        <v>616</v>
      </c>
      <c r="E1003" s="105">
        <v>230.08</v>
      </c>
      <c r="F1003" s="104" t="s">
        <v>374</v>
      </c>
      <c r="G1003" s="104" t="s">
        <v>315</v>
      </c>
    </row>
    <row r="1004" spans="2:7" ht="13">
      <c r="B1004" s="99" t="s">
        <v>89</v>
      </c>
      <c r="C1004" s="99" t="s">
        <v>57</v>
      </c>
      <c r="D1004" s="99" t="s">
        <v>616</v>
      </c>
      <c r="E1004" s="105">
        <v>85.08</v>
      </c>
      <c r="F1004" s="104" t="s">
        <v>374</v>
      </c>
      <c r="G1004" s="104" t="s">
        <v>315</v>
      </c>
    </row>
    <row r="1005" spans="2:7" ht="13">
      <c r="B1005" s="99" t="s">
        <v>89</v>
      </c>
      <c r="C1005" s="99" t="s">
        <v>57</v>
      </c>
      <c r="D1005" s="99" t="s">
        <v>616</v>
      </c>
      <c r="E1005" s="105">
        <v>239.16</v>
      </c>
      <c r="F1005" s="104" t="s">
        <v>374</v>
      </c>
      <c r="G1005" s="104" t="s">
        <v>315</v>
      </c>
    </row>
    <row r="1006" spans="2:7" ht="13">
      <c r="B1006" s="99" t="s">
        <v>89</v>
      </c>
      <c r="C1006" s="99" t="s">
        <v>57</v>
      </c>
      <c r="D1006" s="99" t="s">
        <v>616</v>
      </c>
      <c r="E1006" s="105">
        <v>102.4</v>
      </c>
      <c r="F1006" s="104" t="s">
        <v>374</v>
      </c>
      <c r="G1006" s="104" t="s">
        <v>315</v>
      </c>
    </row>
    <row r="1007" spans="2:7" ht="13">
      <c r="B1007" s="99" t="s">
        <v>89</v>
      </c>
      <c r="C1007" s="99" t="s">
        <v>57</v>
      </c>
      <c r="D1007" s="99" t="s">
        <v>616</v>
      </c>
      <c r="E1007" s="105">
        <v>272.18</v>
      </c>
      <c r="F1007" s="104" t="s">
        <v>374</v>
      </c>
      <c r="G1007" s="104" t="s">
        <v>315</v>
      </c>
    </row>
    <row r="1008" spans="2:7" ht="13">
      <c r="B1008" s="99" t="s">
        <v>89</v>
      </c>
      <c r="C1008" s="99" t="s">
        <v>57</v>
      </c>
      <c r="D1008" s="99" t="s">
        <v>616</v>
      </c>
      <c r="E1008" s="105">
        <v>51.64</v>
      </c>
      <c r="F1008" s="104" t="s">
        <v>374</v>
      </c>
      <c r="G1008" s="104" t="s">
        <v>315</v>
      </c>
    </row>
    <row r="1009" spans="2:7" ht="13">
      <c r="B1009" s="99" t="s">
        <v>55</v>
      </c>
      <c r="C1009" s="99" t="s">
        <v>59</v>
      </c>
      <c r="E1009" s="105">
        <v>124.45</v>
      </c>
      <c r="F1009" s="104" t="s">
        <v>374</v>
      </c>
      <c r="G1009" s="104" t="s">
        <v>374</v>
      </c>
    </row>
    <row r="1010" spans="2:7" ht="13">
      <c r="B1010" s="99" t="s">
        <v>55</v>
      </c>
      <c r="C1010" s="99" t="s">
        <v>57</v>
      </c>
      <c r="D1010" s="99" t="s">
        <v>553</v>
      </c>
      <c r="E1010" s="114">
        <f>89.2+62</f>
        <v>151.19999999999999</v>
      </c>
      <c r="F1010" s="104" t="s">
        <v>315</v>
      </c>
      <c r="G1010" s="104" t="s">
        <v>374</v>
      </c>
    </row>
    <row r="1011" spans="2:7" ht="13">
      <c r="B1011" s="99" t="s">
        <v>55</v>
      </c>
      <c r="C1011" s="99" t="s">
        <v>57</v>
      </c>
      <c r="E1011" s="105">
        <v>300.99</v>
      </c>
      <c r="F1011" s="104" t="s">
        <v>374</v>
      </c>
      <c r="G1011" s="104" t="s">
        <v>374</v>
      </c>
    </row>
    <row r="1012" spans="2:7" ht="13">
      <c r="B1012" s="99" t="s">
        <v>55</v>
      </c>
      <c r="C1012" s="99" t="s">
        <v>306</v>
      </c>
      <c r="D1012" s="99" t="s">
        <v>625</v>
      </c>
      <c r="E1012" s="105">
        <v>130.1</v>
      </c>
      <c r="F1012" s="104" t="s">
        <v>315</v>
      </c>
      <c r="G1012" s="104" t="s">
        <v>315</v>
      </c>
    </row>
    <row r="1013" spans="2:7" ht="13">
      <c r="B1013" s="99" t="s">
        <v>55</v>
      </c>
      <c r="C1013" s="99" t="s">
        <v>66</v>
      </c>
      <c r="E1013" s="105">
        <v>843.74</v>
      </c>
      <c r="F1013" s="104" t="s">
        <v>374</v>
      </c>
      <c r="G1013" s="104" t="s">
        <v>374</v>
      </c>
    </row>
    <row r="1014" spans="2:7" ht="13">
      <c r="B1014" s="99" t="s">
        <v>55</v>
      </c>
      <c r="C1014" s="99" t="s">
        <v>626</v>
      </c>
      <c r="E1014" s="105">
        <v>317.3</v>
      </c>
      <c r="F1014" s="104" t="s">
        <v>374</v>
      </c>
      <c r="G1014" s="104" t="s">
        <v>374</v>
      </c>
    </row>
    <row r="1015" spans="2:7" ht="13">
      <c r="B1015" s="99" t="s">
        <v>55</v>
      </c>
      <c r="C1015" s="99" t="s">
        <v>97</v>
      </c>
      <c r="D1015" s="99" t="s">
        <v>306</v>
      </c>
      <c r="E1015" s="114">
        <f>24.66+57.48</f>
        <v>82.14</v>
      </c>
      <c r="F1015" s="104" t="s">
        <v>315</v>
      </c>
      <c r="G1015" s="104" t="s">
        <v>374</v>
      </c>
    </row>
    <row r="1016" spans="2:7" ht="13">
      <c r="B1016" s="99" t="s">
        <v>55</v>
      </c>
      <c r="C1016" s="99" t="s">
        <v>97</v>
      </c>
      <c r="E1016" s="114">
        <f>282.42-E1015</f>
        <v>200.28000000000003</v>
      </c>
      <c r="F1016" s="104" t="s">
        <v>374</v>
      </c>
      <c r="G1016" s="104" t="s">
        <v>374</v>
      </c>
    </row>
    <row r="1017" spans="2:7" ht="13">
      <c r="B1017" s="99" t="s">
        <v>55</v>
      </c>
      <c r="C1017" s="99" t="s">
        <v>62</v>
      </c>
      <c r="E1017" s="105">
        <v>67.2</v>
      </c>
      <c r="F1017" s="104" t="s">
        <v>374</v>
      </c>
      <c r="G1017" s="104" t="s">
        <v>374</v>
      </c>
    </row>
    <row r="1018" spans="2:7" ht="13">
      <c r="B1018" s="99" t="s">
        <v>55</v>
      </c>
      <c r="C1018" s="99" t="s">
        <v>59</v>
      </c>
      <c r="D1018" s="99" t="s">
        <v>446</v>
      </c>
      <c r="E1018" s="114">
        <f>12.93+72.35</f>
        <v>85.28</v>
      </c>
      <c r="F1018" s="104" t="s">
        <v>315</v>
      </c>
      <c r="G1018" s="104" t="s">
        <v>374</v>
      </c>
    </row>
    <row r="1019" spans="2:7" ht="13">
      <c r="B1019" s="99" t="s">
        <v>55</v>
      </c>
      <c r="C1019" s="99" t="s">
        <v>59</v>
      </c>
      <c r="D1019" s="99" t="s">
        <v>306</v>
      </c>
      <c r="E1019" s="114">
        <f>63.14+13.91</f>
        <v>77.05</v>
      </c>
      <c r="F1019" s="104" t="s">
        <v>315</v>
      </c>
      <c r="G1019" s="104" t="s">
        <v>374</v>
      </c>
    </row>
    <row r="1020" spans="2:7" ht="13">
      <c r="B1020" s="99" t="s">
        <v>55</v>
      </c>
      <c r="C1020" s="99" t="s">
        <v>59</v>
      </c>
      <c r="D1020" s="99" t="s">
        <v>441</v>
      </c>
      <c r="E1020" s="114">
        <f>19.46+4.51+65.62+74.56</f>
        <v>164.15</v>
      </c>
      <c r="F1020" s="104" t="s">
        <v>315</v>
      </c>
      <c r="G1020" s="104" t="s">
        <v>374</v>
      </c>
    </row>
    <row r="1021" spans="2:7" ht="13">
      <c r="B1021" s="99" t="s">
        <v>55</v>
      </c>
      <c r="C1021" s="99" t="s">
        <v>59</v>
      </c>
      <c r="E1021" s="114">
        <f>438.15-E1020-E1019-E1018</f>
        <v>111.66999999999999</v>
      </c>
      <c r="F1021" s="104" t="s">
        <v>374</v>
      </c>
      <c r="G1021" s="104" t="s">
        <v>374</v>
      </c>
    </row>
    <row r="1022" spans="2:7" ht="13">
      <c r="B1022" s="99" t="s">
        <v>55</v>
      </c>
      <c r="C1022" s="99" t="s">
        <v>57</v>
      </c>
      <c r="D1022" s="99" t="s">
        <v>553</v>
      </c>
      <c r="E1022" s="114">
        <f>35.98+17.99</f>
        <v>53.97</v>
      </c>
      <c r="F1022" s="104" t="s">
        <v>315</v>
      </c>
      <c r="G1022" s="104" t="s">
        <v>374</v>
      </c>
    </row>
    <row r="1023" spans="2:7" ht="13">
      <c r="B1023" s="99" t="s">
        <v>55</v>
      </c>
      <c r="C1023" s="99" t="s">
        <v>57</v>
      </c>
      <c r="D1023" s="99" t="s">
        <v>627</v>
      </c>
      <c r="E1023" s="105">
        <v>16.03</v>
      </c>
      <c r="F1023" s="104" t="s">
        <v>315</v>
      </c>
      <c r="G1023" s="104" t="s">
        <v>315</v>
      </c>
    </row>
    <row r="1024" spans="2:7" ht="13">
      <c r="B1024" s="99" t="s">
        <v>55</v>
      </c>
      <c r="C1024" s="99" t="s">
        <v>57</v>
      </c>
      <c r="E1024" s="114">
        <f>878.38-E1023-E1022</f>
        <v>808.38</v>
      </c>
      <c r="F1024" s="104" t="s">
        <v>374</v>
      </c>
      <c r="G1024" s="104" t="s">
        <v>374</v>
      </c>
    </row>
    <row r="1025" spans="2:7" ht="13">
      <c r="B1025" s="99" t="s">
        <v>55</v>
      </c>
      <c r="C1025" s="99" t="s">
        <v>97</v>
      </c>
      <c r="D1025" s="99" t="s">
        <v>306</v>
      </c>
      <c r="E1025" s="114">
        <f>377.88</f>
        <v>377.88</v>
      </c>
      <c r="F1025" s="104" t="s">
        <v>315</v>
      </c>
      <c r="G1025" s="104" t="s">
        <v>374</v>
      </c>
    </row>
    <row r="1026" spans="2:7" ht="13">
      <c r="B1026" s="99" t="s">
        <v>55</v>
      </c>
      <c r="C1026" s="99" t="s">
        <v>62</v>
      </c>
      <c r="E1026" s="114">
        <f>278.11</f>
        <v>278.11</v>
      </c>
      <c r="F1026" s="104" t="s">
        <v>374</v>
      </c>
      <c r="G1026" s="104" t="s">
        <v>374</v>
      </c>
    </row>
    <row r="1027" spans="2:7" ht="13">
      <c r="B1027" s="99" t="s">
        <v>55</v>
      </c>
      <c r="C1027" s="99" t="s">
        <v>59</v>
      </c>
      <c r="E1027" s="105">
        <v>72.209999999999994</v>
      </c>
      <c r="F1027" s="104" t="s">
        <v>374</v>
      </c>
      <c r="G1027" s="104" t="s">
        <v>374</v>
      </c>
    </row>
    <row r="1028" spans="2:7" ht="13">
      <c r="B1028" s="99" t="s">
        <v>55</v>
      </c>
      <c r="C1028" s="99" t="s">
        <v>57</v>
      </c>
      <c r="E1028" s="105">
        <v>85.95</v>
      </c>
      <c r="F1028" s="104" t="s">
        <v>374</v>
      </c>
      <c r="G1028" s="104" t="s">
        <v>374</v>
      </c>
    </row>
    <row r="1029" spans="2:7" ht="13">
      <c r="B1029" s="99" t="s">
        <v>55</v>
      </c>
      <c r="C1029" s="99" t="s">
        <v>97</v>
      </c>
      <c r="E1029" s="105">
        <v>77.38</v>
      </c>
      <c r="F1029" s="104" t="s">
        <v>374</v>
      </c>
      <c r="G1029" s="104" t="s">
        <v>374</v>
      </c>
    </row>
    <row r="1030" spans="2:7" ht="13">
      <c r="B1030" s="99" t="s">
        <v>55</v>
      </c>
      <c r="C1030" s="99" t="s">
        <v>62</v>
      </c>
      <c r="E1030" s="105">
        <v>237.14</v>
      </c>
      <c r="F1030" s="104" t="s">
        <v>374</v>
      </c>
      <c r="G1030" s="104" t="s">
        <v>374</v>
      </c>
    </row>
    <row r="1031" spans="2:7" ht="13">
      <c r="B1031" s="99" t="s">
        <v>55</v>
      </c>
      <c r="C1031" s="99" t="s">
        <v>59</v>
      </c>
      <c r="D1031" s="99" t="s">
        <v>441</v>
      </c>
      <c r="E1031" s="114">
        <f>20.01+25.1+24.84</f>
        <v>69.95</v>
      </c>
      <c r="F1031" s="104" t="s">
        <v>315</v>
      </c>
      <c r="G1031" s="104" t="s">
        <v>374</v>
      </c>
    </row>
    <row r="1032" spans="2:7" ht="13">
      <c r="B1032" s="99" t="s">
        <v>55</v>
      </c>
      <c r="D1032" s="99" t="s">
        <v>306</v>
      </c>
      <c r="E1032" s="114">
        <f>16.22</f>
        <v>16.22</v>
      </c>
      <c r="F1032" s="104" t="s">
        <v>315</v>
      </c>
      <c r="G1032" s="104" t="s">
        <v>374</v>
      </c>
    </row>
    <row r="1033" spans="2:7" ht="13">
      <c r="B1033" s="99" t="s">
        <v>55</v>
      </c>
      <c r="C1033" s="99" t="s">
        <v>57</v>
      </c>
      <c r="E1033" s="105">
        <v>54.59</v>
      </c>
      <c r="F1033" s="104" t="s">
        <v>374</v>
      </c>
      <c r="G1033" s="104" t="s">
        <v>374</v>
      </c>
    </row>
    <row r="1034" spans="2:7" ht="13">
      <c r="B1034" s="99" t="s">
        <v>55</v>
      </c>
      <c r="C1034" s="99" t="s">
        <v>112</v>
      </c>
      <c r="D1034" s="99" t="s">
        <v>628</v>
      </c>
      <c r="E1034" s="105">
        <v>208.16</v>
      </c>
      <c r="F1034" s="104" t="s">
        <v>315</v>
      </c>
      <c r="G1034" s="104" t="s">
        <v>315</v>
      </c>
    </row>
    <row r="1035" spans="2:7" ht="13">
      <c r="B1035" s="99" t="s">
        <v>55</v>
      </c>
      <c r="C1035" s="99" t="s">
        <v>66</v>
      </c>
      <c r="E1035" s="114">
        <f>1436.01-E1036</f>
        <v>1352.75</v>
      </c>
      <c r="F1035" s="104" t="s">
        <v>374</v>
      </c>
      <c r="G1035" s="104" t="s">
        <v>374</v>
      </c>
    </row>
    <row r="1036" spans="2:7" ht="13">
      <c r="B1036" s="99" t="s">
        <v>55</v>
      </c>
      <c r="C1036" s="99" t="s">
        <v>66</v>
      </c>
      <c r="D1036" s="99" t="s">
        <v>629</v>
      </c>
      <c r="E1036" s="105">
        <v>83.26</v>
      </c>
      <c r="F1036" s="104" t="s">
        <v>374</v>
      </c>
      <c r="G1036" s="104" t="s">
        <v>315</v>
      </c>
    </row>
    <row r="1037" spans="2:7" ht="13">
      <c r="B1037" s="99" t="s">
        <v>55</v>
      </c>
      <c r="C1037" s="99" t="s">
        <v>97</v>
      </c>
      <c r="D1037" s="99" t="s">
        <v>112</v>
      </c>
      <c r="E1037" s="114">
        <f>27+119.42+24.66+57.48+31.67+18.89+27.26+83.58</f>
        <v>389.96</v>
      </c>
      <c r="F1037" s="104" t="s">
        <v>315</v>
      </c>
      <c r="G1037" s="104" t="s">
        <v>374</v>
      </c>
    </row>
    <row r="1038" spans="2:7" ht="13">
      <c r="B1038" s="99" t="s">
        <v>55</v>
      </c>
      <c r="C1038" s="99" t="s">
        <v>97</v>
      </c>
      <c r="E1038" s="114">
        <f>655.08-E1037</f>
        <v>265.12000000000006</v>
      </c>
      <c r="F1038" s="104" t="s">
        <v>374</v>
      </c>
      <c r="G1038" s="104" t="s">
        <v>374</v>
      </c>
    </row>
    <row r="1039" spans="2:7" ht="13">
      <c r="B1039" s="99" t="s">
        <v>55</v>
      </c>
      <c r="C1039" s="99" t="s">
        <v>59</v>
      </c>
      <c r="D1039" s="99" t="s">
        <v>440</v>
      </c>
      <c r="E1039" s="114">
        <f>117.77+18.67+30.8+74.96+112.26+59.77+16.38+23.02+33.45+67.84+262.48+17.92</f>
        <v>835.31999999999994</v>
      </c>
      <c r="F1039" s="104" t="s">
        <v>315</v>
      </c>
      <c r="G1039" s="104" t="s">
        <v>374</v>
      </c>
    </row>
    <row r="1040" spans="2:7" ht="13">
      <c r="B1040" s="99" t="s">
        <v>55</v>
      </c>
      <c r="C1040" s="99" t="s">
        <v>59</v>
      </c>
      <c r="D1040" s="99" t="s">
        <v>112</v>
      </c>
      <c r="E1040" s="114">
        <f>44.44+51.34+48.34</f>
        <v>144.12</v>
      </c>
      <c r="F1040" s="104" t="s">
        <v>315</v>
      </c>
      <c r="G1040" s="104" t="s">
        <v>374</v>
      </c>
    </row>
    <row r="1041" spans="2:7" ht="13">
      <c r="B1041" s="99" t="s">
        <v>55</v>
      </c>
      <c r="C1041" s="99" t="s">
        <v>59</v>
      </c>
      <c r="D1041" s="99" t="s">
        <v>442</v>
      </c>
      <c r="E1041" s="114">
        <f>50.24+38.79</f>
        <v>89.03</v>
      </c>
      <c r="F1041" s="104" t="s">
        <v>315</v>
      </c>
      <c r="G1041" s="104" t="s">
        <v>374</v>
      </c>
    </row>
    <row r="1042" spans="2:7" ht="13">
      <c r="B1042" s="99" t="s">
        <v>55</v>
      </c>
      <c r="C1042" s="99" t="s">
        <v>59</v>
      </c>
      <c r="D1042" s="99" t="s">
        <v>444</v>
      </c>
      <c r="E1042" s="114">
        <f>42.75</f>
        <v>42.75</v>
      </c>
      <c r="F1042" s="104" t="s">
        <v>315</v>
      </c>
      <c r="G1042" s="104" t="s">
        <v>374</v>
      </c>
    </row>
    <row r="1043" spans="2:7" ht="13">
      <c r="B1043" s="99" t="s">
        <v>55</v>
      </c>
      <c r="C1043" s="99" t="s">
        <v>59</v>
      </c>
      <c r="D1043" s="99" t="s">
        <v>449</v>
      </c>
      <c r="E1043" s="114">
        <f>47.06</f>
        <v>47.06</v>
      </c>
      <c r="F1043" s="104" t="s">
        <v>315</v>
      </c>
      <c r="G1043" s="104" t="s">
        <v>374</v>
      </c>
    </row>
    <row r="1044" spans="2:7" ht="13">
      <c r="B1044" s="99" t="s">
        <v>55</v>
      </c>
      <c r="C1044" s="99" t="s">
        <v>59</v>
      </c>
      <c r="E1044" s="114">
        <f>1499.48-SUM(E1039:E1043)</f>
        <v>341.20000000000005</v>
      </c>
      <c r="F1044" s="104" t="s">
        <v>374</v>
      </c>
      <c r="G1044" s="104" t="s">
        <v>374</v>
      </c>
    </row>
    <row r="1045" spans="2:7" ht="13">
      <c r="B1045" s="99" t="s">
        <v>55</v>
      </c>
      <c r="C1045" s="99" t="s">
        <v>57</v>
      </c>
      <c r="E1045" s="105">
        <v>1036.43</v>
      </c>
      <c r="F1045" s="104" t="s">
        <v>374</v>
      </c>
      <c r="G1045" s="104" t="s">
        <v>374</v>
      </c>
    </row>
    <row r="1046" spans="2:7" ht="13">
      <c r="B1046" s="99" t="s">
        <v>55</v>
      </c>
      <c r="C1046" s="99" t="s">
        <v>59</v>
      </c>
      <c r="E1046" s="105">
        <v>21.01</v>
      </c>
      <c r="F1046" s="104" t="s">
        <v>374</v>
      </c>
      <c r="G1046" s="104" t="s">
        <v>374</v>
      </c>
    </row>
    <row r="1047" spans="2:7" ht="13">
      <c r="B1047" s="99" t="s">
        <v>55</v>
      </c>
      <c r="C1047" s="99" t="s">
        <v>97</v>
      </c>
      <c r="E1047" s="105">
        <v>57.96</v>
      </c>
      <c r="F1047" s="104" t="s">
        <v>374</v>
      </c>
      <c r="G1047" s="104" t="s">
        <v>374</v>
      </c>
    </row>
    <row r="1048" spans="2:7" ht="13">
      <c r="B1048" s="99" t="s">
        <v>55</v>
      </c>
      <c r="C1048" s="99" t="s">
        <v>62</v>
      </c>
      <c r="D1048" s="99" t="s">
        <v>561</v>
      </c>
      <c r="E1048" s="105">
        <v>50.52</v>
      </c>
      <c r="F1048" s="104" t="s">
        <v>315</v>
      </c>
      <c r="G1048" s="104" t="s">
        <v>374</v>
      </c>
    </row>
    <row r="1049" spans="2:7" ht="13">
      <c r="B1049" s="99" t="s">
        <v>55</v>
      </c>
      <c r="C1049" s="99" t="s">
        <v>59</v>
      </c>
      <c r="E1049" s="105">
        <v>247.98</v>
      </c>
      <c r="F1049" s="104" t="s">
        <v>374</v>
      </c>
      <c r="G1049" s="104" t="s">
        <v>374</v>
      </c>
    </row>
    <row r="1050" spans="2:7" ht="13">
      <c r="B1050" s="99" t="s">
        <v>55</v>
      </c>
      <c r="C1050" s="99" t="s">
        <v>57</v>
      </c>
      <c r="D1050" s="99" t="s">
        <v>553</v>
      </c>
      <c r="E1050" s="114">
        <f>24.8*2</f>
        <v>49.6</v>
      </c>
      <c r="F1050" s="104" t="s">
        <v>315</v>
      </c>
      <c r="G1050" s="104" t="s">
        <v>374</v>
      </c>
    </row>
    <row r="1051" spans="2:7" ht="13">
      <c r="B1051" s="99" t="s">
        <v>55</v>
      </c>
      <c r="C1051" s="99" t="s">
        <v>57</v>
      </c>
      <c r="D1051" s="99" t="s">
        <v>630</v>
      </c>
      <c r="E1051" s="105">
        <v>16.03</v>
      </c>
      <c r="F1051" s="104" t="s">
        <v>374</v>
      </c>
      <c r="G1051" s="104" t="s">
        <v>315</v>
      </c>
    </row>
    <row r="1052" spans="2:7" ht="13">
      <c r="B1052" s="99" t="s">
        <v>55</v>
      </c>
      <c r="C1052" s="99" t="s">
        <v>57</v>
      </c>
      <c r="E1052" s="114">
        <f>155.08-E1051-E1050</f>
        <v>89.450000000000017</v>
      </c>
      <c r="F1052" s="104" t="s">
        <v>374</v>
      </c>
      <c r="G1052" s="104" t="s">
        <v>374</v>
      </c>
    </row>
    <row r="1053" spans="2:7" ht="13">
      <c r="B1053" s="99" t="s">
        <v>55</v>
      </c>
      <c r="C1053" s="99" t="s">
        <v>66</v>
      </c>
      <c r="E1053" s="114">
        <f>709.22-E1054</f>
        <v>592.66000000000008</v>
      </c>
      <c r="F1053" s="104" t="s">
        <v>374</v>
      </c>
      <c r="G1053" s="104" t="s">
        <v>374</v>
      </c>
    </row>
    <row r="1054" spans="2:7" ht="13">
      <c r="B1054" s="99" t="s">
        <v>55</v>
      </c>
      <c r="C1054" s="99" t="s">
        <v>66</v>
      </c>
      <c r="D1054" s="99" t="s">
        <v>631</v>
      </c>
      <c r="E1054" s="105">
        <v>116.56</v>
      </c>
      <c r="F1054" s="104" t="s">
        <v>374</v>
      </c>
      <c r="G1054" s="104" t="s">
        <v>315</v>
      </c>
    </row>
    <row r="1055" spans="2:7" ht="13">
      <c r="B1055" s="99" t="s">
        <v>55</v>
      </c>
      <c r="C1055" s="99" t="s">
        <v>97</v>
      </c>
      <c r="D1055" s="99" t="s">
        <v>306</v>
      </c>
      <c r="E1055" s="114">
        <f>55.12+28.81</f>
        <v>83.929999999999993</v>
      </c>
      <c r="F1055" s="104" t="s">
        <v>315</v>
      </c>
      <c r="G1055" s="104" t="s">
        <v>374</v>
      </c>
    </row>
    <row r="1056" spans="2:7" ht="13">
      <c r="B1056" s="99" t="s">
        <v>55</v>
      </c>
      <c r="C1056" s="99" t="s">
        <v>97</v>
      </c>
      <c r="E1056" s="105">
        <v>35.4</v>
      </c>
      <c r="F1056" s="104" t="s">
        <v>374</v>
      </c>
      <c r="G1056" s="104" t="s">
        <v>374</v>
      </c>
    </row>
    <row r="1057" spans="2:7" ht="13">
      <c r="B1057" s="99" t="s">
        <v>55</v>
      </c>
      <c r="C1057" s="99" t="s">
        <v>62</v>
      </c>
      <c r="D1057" s="99" t="s">
        <v>561</v>
      </c>
      <c r="E1057" s="105">
        <v>104.42</v>
      </c>
      <c r="F1057" s="104" t="s">
        <v>315</v>
      </c>
      <c r="G1057" s="104" t="s">
        <v>374</v>
      </c>
    </row>
    <row r="1058" spans="2:7" ht="13">
      <c r="B1058" s="99" t="s">
        <v>55</v>
      </c>
      <c r="C1058" s="99" t="s">
        <v>59</v>
      </c>
      <c r="D1058" s="99" t="s">
        <v>306</v>
      </c>
      <c r="E1058" s="114">
        <f>51.34+55.52</f>
        <v>106.86000000000001</v>
      </c>
      <c r="F1058" s="104" t="s">
        <v>315</v>
      </c>
      <c r="G1058" s="104" t="s">
        <v>374</v>
      </c>
    </row>
    <row r="1059" spans="2:7" ht="13">
      <c r="B1059" s="99" t="s">
        <v>55</v>
      </c>
      <c r="C1059" s="99" t="s">
        <v>59</v>
      </c>
      <c r="D1059" s="99" t="s">
        <v>446</v>
      </c>
      <c r="E1059" s="114">
        <f>25.28+18.67+15.34</f>
        <v>59.290000000000006</v>
      </c>
      <c r="F1059" s="104" t="s">
        <v>315</v>
      </c>
      <c r="G1059" s="104" t="s">
        <v>374</v>
      </c>
    </row>
    <row r="1060" spans="2:7" ht="13">
      <c r="B1060" s="99" t="s">
        <v>55</v>
      </c>
      <c r="C1060" s="99" t="s">
        <v>59</v>
      </c>
      <c r="D1060" s="99" t="s">
        <v>440</v>
      </c>
      <c r="E1060" s="114">
        <f>37.52+17.92+34.21</f>
        <v>89.65</v>
      </c>
      <c r="F1060" s="104" t="s">
        <v>315</v>
      </c>
      <c r="G1060" s="104" t="s">
        <v>374</v>
      </c>
    </row>
    <row r="1061" spans="2:7" ht="13">
      <c r="B1061" s="99" t="s">
        <v>55</v>
      </c>
      <c r="C1061" s="99" t="s">
        <v>59</v>
      </c>
      <c r="E1061" s="114">
        <f>433.76-SUM(E1058:E1060)</f>
        <v>177.95999999999995</v>
      </c>
      <c r="F1061" s="104" t="s">
        <v>374</v>
      </c>
      <c r="G1061" s="104" t="s">
        <v>374</v>
      </c>
    </row>
    <row r="1062" spans="2:7" ht="13">
      <c r="B1062" s="99" t="s">
        <v>55</v>
      </c>
      <c r="C1062" s="99" t="s">
        <v>66</v>
      </c>
      <c r="D1062" s="99" t="s">
        <v>632</v>
      </c>
      <c r="E1062" s="105">
        <v>333.04</v>
      </c>
      <c r="F1062" s="104" t="s">
        <v>374</v>
      </c>
      <c r="G1062" s="104" t="s">
        <v>315</v>
      </c>
    </row>
    <row r="1063" spans="2:7" ht="13">
      <c r="B1063" s="99" t="s">
        <v>55</v>
      </c>
      <c r="C1063" s="99" t="s">
        <v>66</v>
      </c>
      <c r="E1063" s="114">
        <f>3199.76-E1062</f>
        <v>2866.7200000000003</v>
      </c>
      <c r="F1063" s="104" t="s">
        <v>374</v>
      </c>
      <c r="G1063" s="104" t="s">
        <v>374</v>
      </c>
    </row>
    <row r="1064" spans="2:7" ht="13">
      <c r="B1064" s="99" t="s">
        <v>55</v>
      </c>
      <c r="C1064" s="99" t="s">
        <v>626</v>
      </c>
      <c r="E1064" s="105">
        <v>686.88</v>
      </c>
      <c r="F1064" s="104" t="s">
        <v>374</v>
      </c>
      <c r="G1064" s="104" t="s">
        <v>374</v>
      </c>
    </row>
    <row r="1065" spans="2:7" ht="13">
      <c r="B1065" s="99" t="s">
        <v>55</v>
      </c>
      <c r="C1065" s="99" t="s">
        <v>97</v>
      </c>
      <c r="D1065" s="99" t="s">
        <v>306</v>
      </c>
      <c r="E1065" s="114">
        <f>92.34+34.12+57.48+51.18+100.6</f>
        <v>335.72</v>
      </c>
      <c r="F1065" s="104" t="s">
        <v>315</v>
      </c>
      <c r="G1065" s="104" t="s">
        <v>374</v>
      </c>
    </row>
    <row r="1066" spans="2:7" ht="13">
      <c r="B1066" s="99" t="s">
        <v>55</v>
      </c>
      <c r="C1066" s="99" t="s">
        <v>63</v>
      </c>
      <c r="D1066" s="99" t="s">
        <v>551</v>
      </c>
      <c r="E1066" s="114">
        <f>56.04+216.3</f>
        <v>272.34000000000003</v>
      </c>
      <c r="F1066" s="104" t="s">
        <v>315</v>
      </c>
      <c r="G1066" s="104" t="s">
        <v>374</v>
      </c>
    </row>
    <row r="1067" spans="2:7" ht="13">
      <c r="B1067" s="99" t="s">
        <v>55</v>
      </c>
      <c r="C1067" s="99" t="s">
        <v>63</v>
      </c>
      <c r="E1067" s="114">
        <f>842.54-E1065-E1066</f>
        <v>234.4799999999999</v>
      </c>
      <c r="F1067" s="104" t="s">
        <v>374</v>
      </c>
      <c r="G1067" s="104" t="s">
        <v>374</v>
      </c>
    </row>
    <row r="1068" spans="2:7" ht="13">
      <c r="B1068" s="99" t="s">
        <v>55</v>
      </c>
      <c r="C1068" s="99" t="s">
        <v>59</v>
      </c>
      <c r="D1068" s="99" t="s">
        <v>306</v>
      </c>
      <c r="E1068" s="114">
        <f>38.98+73.52+108.92+59.95</f>
        <v>281.37</v>
      </c>
      <c r="F1068" s="104" t="s">
        <v>315</v>
      </c>
      <c r="G1068" s="104" t="s">
        <v>374</v>
      </c>
    </row>
    <row r="1069" spans="2:7" ht="13">
      <c r="B1069" s="99" t="s">
        <v>55</v>
      </c>
      <c r="C1069" s="99" t="s">
        <v>59</v>
      </c>
      <c r="D1069" s="99" t="s">
        <v>444</v>
      </c>
      <c r="E1069" s="114">
        <f>161.28+42.75+31.32</f>
        <v>235.35</v>
      </c>
      <c r="F1069" s="104" t="s">
        <v>315</v>
      </c>
      <c r="G1069" s="104" t="s">
        <v>374</v>
      </c>
    </row>
    <row r="1070" spans="2:7" ht="13">
      <c r="B1070" s="99" t="s">
        <v>55</v>
      </c>
      <c r="C1070" s="99" t="s">
        <v>59</v>
      </c>
      <c r="D1070" s="99" t="s">
        <v>446</v>
      </c>
      <c r="E1070" s="114">
        <f>46.02+39.8</f>
        <v>85.82</v>
      </c>
      <c r="F1070" s="104" t="s">
        <v>315</v>
      </c>
      <c r="G1070" s="104" t="s">
        <v>374</v>
      </c>
    </row>
    <row r="1071" spans="2:7" ht="13">
      <c r="B1071" s="99" t="s">
        <v>55</v>
      </c>
      <c r="C1071" s="99" t="s">
        <v>59</v>
      </c>
      <c r="D1071" s="99" t="s">
        <v>633</v>
      </c>
      <c r="E1071" s="114">
        <f>196.86+23.02+30.69+75.87+41.99+44.34+9.4+22.64+68.34+37.52+27.45+52.9+86.54+23.6+30.26</f>
        <v>771.42000000000007</v>
      </c>
      <c r="F1071" s="104" t="s">
        <v>315</v>
      </c>
      <c r="G1071" s="104" t="s">
        <v>374</v>
      </c>
    </row>
    <row r="1072" spans="2:7" ht="13">
      <c r="B1072" s="99" t="s">
        <v>55</v>
      </c>
      <c r="C1072" s="99" t="s">
        <v>59</v>
      </c>
      <c r="D1072" s="99" t="s">
        <v>553</v>
      </c>
      <c r="E1072" s="114">
        <f>46.83</f>
        <v>46.83</v>
      </c>
      <c r="F1072" s="104" t="s">
        <v>315</v>
      </c>
      <c r="G1072" s="104" t="s">
        <v>374</v>
      </c>
    </row>
    <row r="1073" spans="2:7" ht="13">
      <c r="B1073" s="99" t="s">
        <v>55</v>
      </c>
      <c r="C1073" s="99" t="s">
        <v>57</v>
      </c>
      <c r="E1073" s="105">
        <v>1457.37</v>
      </c>
      <c r="F1073" s="104" t="s">
        <v>374</v>
      </c>
      <c r="G1073" s="104" t="s">
        <v>374</v>
      </c>
    </row>
    <row r="1074" spans="2:7" ht="13">
      <c r="B1074" s="99" t="s">
        <v>55</v>
      </c>
      <c r="C1074" s="99" t="s">
        <v>112</v>
      </c>
      <c r="D1074" s="99" t="s">
        <v>634</v>
      </c>
      <c r="E1074" s="105">
        <v>34.840000000000003</v>
      </c>
      <c r="F1074" s="104" t="s">
        <v>315</v>
      </c>
      <c r="G1074" s="104" t="s">
        <v>315</v>
      </c>
    </row>
    <row r="1075" spans="2:7" ht="13">
      <c r="B1075" s="99" t="s">
        <v>55</v>
      </c>
      <c r="C1075" s="99" t="s">
        <v>112</v>
      </c>
      <c r="D1075" s="99" t="s">
        <v>635</v>
      </c>
      <c r="E1075" s="105">
        <v>208.16</v>
      </c>
      <c r="F1075" s="104" t="s">
        <v>315</v>
      </c>
      <c r="G1075" s="104" t="s">
        <v>315</v>
      </c>
    </row>
    <row r="1076" spans="2:7" ht="13">
      <c r="B1076" s="99" t="s">
        <v>55</v>
      </c>
      <c r="C1076" s="99" t="s">
        <v>57</v>
      </c>
      <c r="D1076" s="99" t="s">
        <v>553</v>
      </c>
      <c r="E1076" s="105">
        <v>36.479999999999997</v>
      </c>
      <c r="F1076" s="104" t="s">
        <v>315</v>
      </c>
      <c r="G1076" s="104" t="s">
        <v>374</v>
      </c>
    </row>
    <row r="1077" spans="2:7" ht="13">
      <c r="B1077" s="99" t="s">
        <v>55</v>
      </c>
      <c r="C1077" s="99" t="s">
        <v>63</v>
      </c>
      <c r="E1077" s="105">
        <v>237.84</v>
      </c>
      <c r="F1077" s="104" t="s">
        <v>374</v>
      </c>
      <c r="G1077" s="104" t="s">
        <v>374</v>
      </c>
    </row>
    <row r="1078" spans="2:7" ht="13">
      <c r="B1078" s="99" t="s">
        <v>55</v>
      </c>
      <c r="C1078" s="99" t="s">
        <v>66</v>
      </c>
      <c r="D1078" s="99" t="s">
        <v>636</v>
      </c>
      <c r="E1078" s="105">
        <v>116.56</v>
      </c>
      <c r="F1078" s="104" t="s">
        <v>374</v>
      </c>
      <c r="G1078" s="104" t="s">
        <v>315</v>
      </c>
    </row>
    <row r="1079" spans="2:7" ht="13">
      <c r="B1079" s="99" t="s">
        <v>55</v>
      </c>
      <c r="C1079" s="99" t="s">
        <v>66</v>
      </c>
      <c r="E1079" s="114">
        <f>661.13-E1078</f>
        <v>544.56999999999994</v>
      </c>
      <c r="F1079" s="104" t="s">
        <v>374</v>
      </c>
      <c r="G1079" s="104" t="s">
        <v>374</v>
      </c>
    </row>
    <row r="1080" spans="2:7" ht="13">
      <c r="B1080" s="99" t="s">
        <v>55</v>
      </c>
      <c r="C1080" s="99" t="s">
        <v>63</v>
      </c>
      <c r="E1080" s="105">
        <v>43.16</v>
      </c>
      <c r="F1080" s="104" t="s">
        <v>374</v>
      </c>
      <c r="G1080" s="104" t="s">
        <v>374</v>
      </c>
    </row>
    <row r="1081" spans="2:7" ht="13">
      <c r="B1081" s="99" t="s">
        <v>55</v>
      </c>
      <c r="C1081" s="99" t="s">
        <v>59</v>
      </c>
      <c r="D1081" s="99" t="s">
        <v>441</v>
      </c>
      <c r="E1081" s="114">
        <f>99.88+20.26+23.02</f>
        <v>143.16</v>
      </c>
      <c r="F1081" s="104" t="s">
        <v>315</v>
      </c>
      <c r="G1081" s="104" t="s">
        <v>374</v>
      </c>
    </row>
    <row r="1082" spans="2:7" ht="13">
      <c r="B1082" s="99" t="s">
        <v>55</v>
      </c>
      <c r="C1082" s="99" t="s">
        <v>59</v>
      </c>
      <c r="D1082" s="99" t="s">
        <v>444</v>
      </c>
      <c r="E1082" s="105">
        <v>16.739999999999998</v>
      </c>
      <c r="F1082" s="104" t="s">
        <v>315</v>
      </c>
      <c r="G1082" s="104" t="s">
        <v>374</v>
      </c>
    </row>
    <row r="1083" spans="2:7" ht="13">
      <c r="B1083" s="99" t="s">
        <v>55</v>
      </c>
      <c r="C1083" s="99" t="s">
        <v>59</v>
      </c>
      <c r="D1083" s="99" t="s">
        <v>306</v>
      </c>
      <c r="E1083" s="105">
        <v>55.52</v>
      </c>
      <c r="F1083" s="104" t="s">
        <v>315</v>
      </c>
      <c r="G1083" s="104" t="s">
        <v>374</v>
      </c>
    </row>
    <row r="1084" spans="2:7" ht="13">
      <c r="B1084" s="99" t="s">
        <v>55</v>
      </c>
      <c r="C1084" s="99" t="s">
        <v>57</v>
      </c>
      <c r="E1084" s="105">
        <v>323.62</v>
      </c>
      <c r="F1084" s="104" t="s">
        <v>374</v>
      </c>
      <c r="G1084" s="104" t="s">
        <v>374</v>
      </c>
    </row>
    <row r="1085" spans="2:7" ht="13">
      <c r="B1085" s="99" t="s">
        <v>55</v>
      </c>
      <c r="C1085" s="99" t="s">
        <v>112</v>
      </c>
      <c r="D1085" s="99" t="s">
        <v>637</v>
      </c>
      <c r="E1085" s="105">
        <v>195.15</v>
      </c>
      <c r="F1085" s="104" t="s">
        <v>315</v>
      </c>
      <c r="G1085" s="104" t="s">
        <v>315</v>
      </c>
    </row>
    <row r="1086" spans="2:7" ht="13">
      <c r="B1086" s="99" t="s">
        <v>55</v>
      </c>
      <c r="C1086" s="99" t="s">
        <v>59</v>
      </c>
      <c r="E1086" s="105">
        <v>59.75</v>
      </c>
      <c r="F1086" s="104" t="s">
        <v>374</v>
      </c>
      <c r="G1086" s="104" t="s">
        <v>374</v>
      </c>
    </row>
    <row r="1087" spans="2:7" ht="13">
      <c r="B1087" s="99" t="s">
        <v>55</v>
      </c>
      <c r="C1087" s="99" t="s">
        <v>62</v>
      </c>
      <c r="D1087" s="99" t="s">
        <v>561</v>
      </c>
      <c r="E1087" s="105">
        <v>67.36</v>
      </c>
      <c r="F1087" s="104" t="s">
        <v>315</v>
      </c>
      <c r="G1087" s="104" t="s">
        <v>374</v>
      </c>
    </row>
    <row r="1088" spans="2:7" ht="13">
      <c r="B1088" s="99" t="s">
        <v>55</v>
      </c>
      <c r="C1088" s="99" t="s">
        <v>59</v>
      </c>
      <c r="D1088" s="99" t="s">
        <v>441</v>
      </c>
      <c r="E1088" s="105">
        <v>14.42</v>
      </c>
      <c r="F1088" s="104" t="s">
        <v>315</v>
      </c>
      <c r="G1088" s="104" t="s">
        <v>374</v>
      </c>
    </row>
    <row r="1089" spans="2:7" ht="13">
      <c r="B1089" s="99" t="s">
        <v>55</v>
      </c>
      <c r="C1089" s="99" t="s">
        <v>59</v>
      </c>
      <c r="E1089" s="114">
        <f>142.85-E1088</f>
        <v>128.43</v>
      </c>
      <c r="F1089" s="104" t="s">
        <v>374</v>
      </c>
      <c r="G1089" s="104" t="s">
        <v>374</v>
      </c>
    </row>
    <row r="1090" spans="2:7" ht="13">
      <c r="B1090" s="99" t="s">
        <v>55</v>
      </c>
      <c r="C1090" s="99" t="s">
        <v>57</v>
      </c>
      <c r="D1090" s="99" t="s">
        <v>449</v>
      </c>
      <c r="E1090" s="114">
        <f>49.6+24.8</f>
        <v>74.400000000000006</v>
      </c>
      <c r="F1090" s="104" t="s">
        <v>315</v>
      </c>
      <c r="G1090" s="104" t="s">
        <v>374</v>
      </c>
    </row>
    <row r="1091" spans="2:7" ht="13">
      <c r="B1091" s="99" t="s">
        <v>55</v>
      </c>
      <c r="C1091" s="99" t="s">
        <v>57</v>
      </c>
      <c r="E1091" s="114">
        <f>224.8-E1090</f>
        <v>150.4</v>
      </c>
      <c r="F1091" s="104" t="s">
        <v>374</v>
      </c>
      <c r="G1091" s="104" t="s">
        <v>374</v>
      </c>
    </row>
    <row r="1092" spans="2:7" ht="13">
      <c r="B1092" s="99" t="s">
        <v>55</v>
      </c>
      <c r="C1092" s="99" t="s">
        <v>112</v>
      </c>
      <c r="D1092" s="99" t="s">
        <v>634</v>
      </c>
      <c r="E1092" s="105">
        <v>104.52</v>
      </c>
      <c r="F1092" s="104" t="s">
        <v>315</v>
      </c>
      <c r="G1092" s="104" t="s">
        <v>315</v>
      </c>
    </row>
    <row r="1093" spans="2:7" ht="13">
      <c r="B1093" s="99" t="s">
        <v>55</v>
      </c>
      <c r="C1093" s="99" t="s">
        <v>112</v>
      </c>
      <c r="D1093" s="99" t="s">
        <v>637</v>
      </c>
      <c r="E1093" s="105">
        <v>260.2</v>
      </c>
      <c r="F1093" s="104" t="s">
        <v>315</v>
      </c>
      <c r="G1093" s="104" t="s">
        <v>315</v>
      </c>
    </row>
    <row r="1094" spans="2:7" ht="13">
      <c r="B1094" s="99" t="s">
        <v>55</v>
      </c>
      <c r="C1094" s="99" t="s">
        <v>66</v>
      </c>
      <c r="D1094" s="99" t="s">
        <v>636</v>
      </c>
      <c r="E1094" s="105">
        <v>124.89</v>
      </c>
      <c r="F1094" s="104" t="s">
        <v>374</v>
      </c>
      <c r="G1094" s="104" t="s">
        <v>315</v>
      </c>
    </row>
    <row r="1095" spans="2:7" ht="13">
      <c r="B1095" s="99" t="s">
        <v>55</v>
      </c>
      <c r="C1095" s="99" t="s">
        <v>66</v>
      </c>
      <c r="E1095" s="114">
        <f>1800.8-E1094</f>
        <v>1675.9099999999999</v>
      </c>
      <c r="F1095" s="104" t="s">
        <v>374</v>
      </c>
      <c r="G1095" s="104" t="s">
        <v>374</v>
      </c>
    </row>
    <row r="1096" spans="2:7" ht="13">
      <c r="B1096" s="99" t="s">
        <v>55</v>
      </c>
      <c r="C1096" s="99" t="s">
        <v>63</v>
      </c>
      <c r="D1096" s="99" t="s">
        <v>306</v>
      </c>
      <c r="E1096" s="114">
        <f>61.56+119.42+22.05+57.48+102.36+50.3+57.62+155.16</f>
        <v>625.95000000000005</v>
      </c>
      <c r="F1096" s="104" t="s">
        <v>315</v>
      </c>
      <c r="G1096" s="104" t="s">
        <v>374</v>
      </c>
    </row>
    <row r="1097" spans="2:7" ht="13">
      <c r="B1097" s="99" t="s">
        <v>55</v>
      </c>
      <c r="C1097" s="99" t="s">
        <v>97</v>
      </c>
      <c r="E1097" s="114">
        <f>1459.6-E1096</f>
        <v>833.64999999999986</v>
      </c>
      <c r="F1097" s="104" t="s">
        <v>374</v>
      </c>
      <c r="G1097" s="104" t="s">
        <v>374</v>
      </c>
    </row>
    <row r="1098" spans="2:7" ht="13">
      <c r="B1098" s="99" t="s">
        <v>55</v>
      </c>
      <c r="C1098" s="99" t="s">
        <v>59</v>
      </c>
      <c r="D1098" s="99" t="s">
        <v>444</v>
      </c>
      <c r="E1098" s="114">
        <f>28.5+16.74+39.02+85.85</f>
        <v>170.10999999999999</v>
      </c>
      <c r="F1098" s="104" t="s">
        <v>315</v>
      </c>
      <c r="G1098" s="104" t="s">
        <v>374</v>
      </c>
    </row>
    <row r="1099" spans="2:7" ht="13">
      <c r="B1099" s="99" t="s">
        <v>55</v>
      </c>
      <c r="C1099" s="99" t="s">
        <v>59</v>
      </c>
      <c r="D1099" s="99" t="s">
        <v>306</v>
      </c>
      <c r="E1099" s="114">
        <f>108.92+36.76+25.42</f>
        <v>171.10000000000002</v>
      </c>
      <c r="F1099" s="104" t="s">
        <v>315</v>
      </c>
      <c r="G1099" s="104" t="s">
        <v>374</v>
      </c>
    </row>
    <row r="1100" spans="2:7" ht="13">
      <c r="B1100" s="99" t="s">
        <v>55</v>
      </c>
      <c r="C1100" s="99" t="s">
        <v>59</v>
      </c>
      <c r="D1100" s="99" t="s">
        <v>442</v>
      </c>
      <c r="E1100" s="114">
        <f>29.8+32.8</f>
        <v>62.599999999999994</v>
      </c>
      <c r="F1100" s="104" t="s">
        <v>315</v>
      </c>
      <c r="G1100" s="104" t="s">
        <v>374</v>
      </c>
    </row>
    <row r="1101" spans="2:7" ht="13">
      <c r="B1101" s="99" t="s">
        <v>55</v>
      </c>
      <c r="C1101" s="99" t="s">
        <v>59</v>
      </c>
      <c r="D1101" s="99" t="s">
        <v>440</v>
      </c>
      <c r="E1101" s="114">
        <f>37.34+63.6+149.68+44.34+17.92+202.32+43.77+16.3+59.77+24.57+68.34+10.75+380.23+81.04+67.01+52.9+23.02+196.86+28.95+14.52</f>
        <v>1583.2300000000002</v>
      </c>
      <c r="F1101" s="104" t="s">
        <v>315</v>
      </c>
      <c r="G1101" s="104" t="s">
        <v>374</v>
      </c>
    </row>
    <row r="1102" spans="2:7" ht="13">
      <c r="B1102" s="99" t="s">
        <v>55</v>
      </c>
      <c r="C1102" s="99" t="s">
        <v>59</v>
      </c>
      <c r="E1102" s="114">
        <f>2509.66-E1101-E1100-E1099-E1098</f>
        <v>522.61999999999955</v>
      </c>
      <c r="F1102" s="104" t="s">
        <v>374</v>
      </c>
      <c r="G1102" s="104" t="s">
        <v>374</v>
      </c>
    </row>
    <row r="1103" spans="2:7" ht="13">
      <c r="B1103" s="99" t="s">
        <v>55</v>
      </c>
      <c r="C1103" s="99" t="s">
        <v>57</v>
      </c>
      <c r="E1103" s="105">
        <v>974.52</v>
      </c>
      <c r="F1103" s="104" t="s">
        <v>374</v>
      </c>
      <c r="G1103" s="104" t="s">
        <v>374</v>
      </c>
    </row>
    <row r="1104" spans="2:7" ht="13">
      <c r="B1104" s="99" t="s">
        <v>55</v>
      </c>
      <c r="C1104" s="99" t="s">
        <v>62</v>
      </c>
      <c r="E1104" s="114">
        <f>65.88+16.47</f>
        <v>82.35</v>
      </c>
      <c r="F1104" s="104" t="s">
        <v>374</v>
      </c>
      <c r="G1104" s="104" t="s">
        <v>374</v>
      </c>
    </row>
    <row r="1105" spans="2:17" ht="13">
      <c r="B1105" s="99" t="s">
        <v>55</v>
      </c>
      <c r="C1105" s="99" t="s">
        <v>63</v>
      </c>
      <c r="E1105" s="105">
        <v>77.38</v>
      </c>
      <c r="F1105" s="104" t="s">
        <v>374</v>
      </c>
      <c r="G1105" s="104" t="s">
        <v>374</v>
      </c>
    </row>
    <row r="1106" spans="2:17" ht="13">
      <c r="B1106" s="99" t="s">
        <v>55</v>
      </c>
      <c r="C1106" s="99" t="s">
        <v>62</v>
      </c>
      <c r="D1106" s="99" t="s">
        <v>561</v>
      </c>
      <c r="E1106" s="105">
        <v>347.76</v>
      </c>
      <c r="F1106" s="104" t="s">
        <v>315</v>
      </c>
      <c r="G1106" s="104" t="s">
        <v>374</v>
      </c>
    </row>
    <row r="1107" spans="2:17" ht="13">
      <c r="B1107" s="99" t="s">
        <v>55</v>
      </c>
      <c r="C1107" s="99" t="s">
        <v>62</v>
      </c>
      <c r="E1107" s="114">
        <f>539.41</f>
        <v>539.41</v>
      </c>
      <c r="F1107" s="104" t="s">
        <v>374</v>
      </c>
      <c r="G1107" s="104" t="s">
        <v>374</v>
      </c>
    </row>
    <row r="1108" spans="2:17" ht="13">
      <c r="B1108" s="99" t="s">
        <v>55</v>
      </c>
      <c r="C1108" s="99" t="s">
        <v>59</v>
      </c>
      <c r="D1108" s="99" t="s">
        <v>552</v>
      </c>
      <c r="E1108" s="105">
        <v>13.91</v>
      </c>
      <c r="F1108" s="104" t="s">
        <v>315</v>
      </c>
      <c r="G1108" s="104" t="s">
        <v>374</v>
      </c>
    </row>
    <row r="1109" spans="2:17" ht="13">
      <c r="B1109" s="99" t="s">
        <v>55</v>
      </c>
      <c r="C1109" s="99" t="s">
        <v>59</v>
      </c>
      <c r="E1109" s="114">
        <f>600.1-E1108</f>
        <v>586.19000000000005</v>
      </c>
      <c r="F1109" s="104" t="s">
        <v>374</v>
      </c>
      <c r="G1109" s="104" t="s">
        <v>374</v>
      </c>
    </row>
    <row r="1110" spans="2:17" ht="13">
      <c r="B1110" s="99" t="s">
        <v>55</v>
      </c>
      <c r="C1110" s="99" t="s">
        <v>57</v>
      </c>
      <c r="D1110" s="99" t="s">
        <v>553</v>
      </c>
      <c r="E1110" s="105">
        <v>73.040000000000006</v>
      </c>
      <c r="F1110" s="104" t="s">
        <v>315</v>
      </c>
      <c r="G1110" s="104" t="s">
        <v>374</v>
      </c>
    </row>
    <row r="1111" spans="2:17" ht="13">
      <c r="B1111" s="99" t="s">
        <v>55</v>
      </c>
      <c r="C1111" s="99" t="s">
        <v>57</v>
      </c>
      <c r="E1111" s="114">
        <f>127.63-E1110</f>
        <v>54.589999999999989</v>
      </c>
      <c r="F1111" s="104" t="s">
        <v>374</v>
      </c>
      <c r="G1111" s="104" t="s">
        <v>374</v>
      </c>
    </row>
    <row r="1112" spans="2:17" ht="13">
      <c r="B1112" s="99" t="s">
        <v>638</v>
      </c>
      <c r="C1112" s="99" t="s">
        <v>62</v>
      </c>
      <c r="E1112" s="105">
        <v>330.8</v>
      </c>
      <c r="F1112" s="104" t="s">
        <v>374</v>
      </c>
      <c r="G1112" s="104" t="s">
        <v>374</v>
      </c>
    </row>
    <row r="1113" spans="2:17" ht="13">
      <c r="B1113" s="99" t="s">
        <v>638</v>
      </c>
      <c r="C1113" s="99" t="s">
        <v>62</v>
      </c>
      <c r="E1113" s="105">
        <v>267.08</v>
      </c>
      <c r="F1113" s="104" t="s">
        <v>374</v>
      </c>
      <c r="G1113" s="104" t="s">
        <v>374</v>
      </c>
    </row>
    <row r="1114" spans="2:17" ht="13">
      <c r="B1114" s="99" t="s">
        <v>638</v>
      </c>
      <c r="C1114" s="99" t="s">
        <v>62</v>
      </c>
      <c r="E1114" s="105">
        <v>996.69</v>
      </c>
      <c r="F1114" s="104" t="s">
        <v>374</v>
      </c>
      <c r="G1114" s="104" t="s">
        <v>374</v>
      </c>
    </row>
    <row r="1115" spans="2:17" ht="13">
      <c r="B1115" s="99" t="s">
        <v>638</v>
      </c>
      <c r="C1115" s="99" t="s">
        <v>62</v>
      </c>
      <c r="E1115" s="105">
        <v>717.89</v>
      </c>
      <c r="F1115" s="104" t="s">
        <v>374</v>
      </c>
      <c r="G1115" s="104" t="s">
        <v>374</v>
      </c>
    </row>
    <row r="1116" spans="2:17" ht="13">
      <c r="B1116" s="99" t="s">
        <v>638</v>
      </c>
      <c r="C1116" s="99" t="s">
        <v>62</v>
      </c>
      <c r="E1116" s="105">
        <v>226.85</v>
      </c>
      <c r="F1116" s="104" t="s">
        <v>374</v>
      </c>
      <c r="G1116" s="104" t="s">
        <v>374</v>
      </c>
    </row>
    <row r="1117" spans="2:17" ht="13">
      <c r="B1117" s="99" t="s">
        <v>638</v>
      </c>
      <c r="C1117" s="99" t="s">
        <v>62</v>
      </c>
      <c r="E1117" s="105">
        <v>406.83</v>
      </c>
      <c r="F1117" s="104" t="s">
        <v>374</v>
      </c>
      <c r="G1117" s="104" t="s">
        <v>374</v>
      </c>
    </row>
    <row r="1118" spans="2:17" ht="13">
      <c r="B1118" s="99" t="s">
        <v>638</v>
      </c>
      <c r="C1118" s="99" t="s">
        <v>62</v>
      </c>
      <c r="E1118" s="105">
        <v>251.44</v>
      </c>
      <c r="F1118" s="104" t="s">
        <v>374</v>
      </c>
      <c r="G1118" s="104" t="s">
        <v>374</v>
      </c>
    </row>
    <row r="1119" spans="2:17" ht="13">
      <c r="B1119" s="99" t="s">
        <v>121</v>
      </c>
      <c r="C1119" s="99" t="s">
        <v>639</v>
      </c>
      <c r="D1119" s="99" t="s">
        <v>640</v>
      </c>
      <c r="E1119" s="105">
        <v>17.41</v>
      </c>
      <c r="F1119" s="104" t="s">
        <v>374</v>
      </c>
      <c r="G1119" s="104" t="s">
        <v>315</v>
      </c>
    </row>
    <row r="1120" spans="2:17" ht="13">
      <c r="B1120" s="99" t="s">
        <v>58</v>
      </c>
      <c r="C1120" s="99" t="s">
        <v>59</v>
      </c>
      <c r="E1120" s="114">
        <f>2042.5-26.64</f>
        <v>2015.86</v>
      </c>
      <c r="F1120" s="104" t="s">
        <v>374</v>
      </c>
      <c r="G1120" s="104" t="s">
        <v>374</v>
      </c>
      <c r="H1120" s="114">
        <f>SUM(E980:E994)+E1015+E1019+E1025+E1032+E1037+E1040+E1055+E1058+E1065+E1068+E1083+E1096+E1099</f>
        <v>22992.560000000001</v>
      </c>
      <c r="I1120" s="114">
        <f>E1098+E1082+E1069+E1042</f>
        <v>464.95</v>
      </c>
      <c r="J1120" s="114">
        <f>E1108</f>
        <v>13.91</v>
      </c>
      <c r="K1120" s="114">
        <f>E1100+E1093+E1092+E1085+E1075+E1074+E1070+E1059+E1041+E1034+E1018+E1012</f>
        <v>1523.1499999999999</v>
      </c>
      <c r="N1120" s="114">
        <f>E1106+E1087+E1057+E1048</f>
        <v>570.05999999999995</v>
      </c>
      <c r="O1120" s="114">
        <f>E1101+E1088+E1081+E1071+E1060+E1039+E1031+E1020</f>
        <v>3671.3000000000006</v>
      </c>
      <c r="Q1120" s="114">
        <f>E1110+E1090+E1076+E1072+E1066+E1050+E1043+E1022+E1010</f>
        <v>804.92000000000007</v>
      </c>
    </row>
    <row r="1121" spans="5:7" ht="13">
      <c r="E1121" s="114"/>
      <c r="F1121" s="79"/>
      <c r="G1121" s="79"/>
    </row>
    <row r="1122" spans="5:7" ht="13">
      <c r="E1122" s="114"/>
      <c r="F1122" s="79"/>
      <c r="G1122" s="79"/>
    </row>
    <row r="1123" spans="5:7" ht="13">
      <c r="E1123" s="114"/>
      <c r="F1123" s="79"/>
      <c r="G1123" s="79"/>
    </row>
    <row r="1124" spans="5:7" ht="13">
      <c r="E1124" s="114"/>
      <c r="F1124" s="79"/>
      <c r="G1124" s="79"/>
    </row>
    <row r="1125" spans="5:7" ht="13">
      <c r="E1125" s="114"/>
      <c r="F1125" s="79"/>
      <c r="G1125" s="79"/>
    </row>
    <row r="1126" spans="5:7" ht="13">
      <c r="E1126" s="114"/>
      <c r="F1126" s="79"/>
      <c r="G1126" s="79"/>
    </row>
    <row r="1127" spans="5:7" ht="13">
      <c r="E1127" s="114"/>
      <c r="F1127" s="79"/>
      <c r="G1127" s="79"/>
    </row>
    <row r="1128" spans="5:7" ht="13">
      <c r="E1128" s="114"/>
      <c r="F1128" s="79"/>
      <c r="G1128" s="79"/>
    </row>
    <row r="1129" spans="5:7" ht="13">
      <c r="E1129" s="114"/>
      <c r="F1129" s="79"/>
      <c r="G1129" s="79"/>
    </row>
    <row r="1130" spans="5:7" ht="13">
      <c r="E1130" s="114"/>
      <c r="F1130" s="79"/>
      <c r="G1130" s="79"/>
    </row>
    <row r="1131" spans="5:7" ht="13">
      <c r="E1131" s="114"/>
      <c r="F1131" s="79"/>
      <c r="G1131" s="79"/>
    </row>
    <row r="1132" spans="5:7" ht="13">
      <c r="E1132" s="114"/>
      <c r="F1132" s="79"/>
      <c r="G1132" s="79"/>
    </row>
    <row r="1133" spans="5:7" ht="13">
      <c r="E1133" s="114"/>
      <c r="F1133" s="79"/>
      <c r="G1133" s="79"/>
    </row>
    <row r="1134" spans="5:7" ht="13">
      <c r="E1134" s="114"/>
      <c r="F1134" s="79"/>
      <c r="G1134" s="79"/>
    </row>
    <row r="1135" spans="5:7" ht="13">
      <c r="E1135" s="114"/>
      <c r="F1135" s="79"/>
      <c r="G1135" s="79"/>
    </row>
    <row r="1136" spans="5:7" ht="13">
      <c r="E1136" s="114"/>
      <c r="F1136" s="79"/>
      <c r="G1136" s="79"/>
    </row>
    <row r="1137" spans="5:7" ht="13">
      <c r="E1137" s="114"/>
      <c r="F1137" s="79"/>
      <c r="G1137" s="79"/>
    </row>
    <row r="1138" spans="5:7" ht="13">
      <c r="E1138" s="114"/>
      <c r="F1138" s="79"/>
      <c r="G1138" s="79"/>
    </row>
    <row r="1139" spans="5:7" ht="13">
      <c r="E1139" s="114"/>
      <c r="F1139" s="79"/>
      <c r="G1139" s="79"/>
    </row>
    <row r="1140" spans="5:7" ht="13">
      <c r="E1140" s="114"/>
      <c r="F1140" s="79"/>
      <c r="G1140" s="79"/>
    </row>
    <row r="1141" spans="5:7" ht="13">
      <c r="E1141" s="114"/>
      <c r="F1141" s="79"/>
      <c r="G1141" s="79"/>
    </row>
    <row r="1142" spans="5:7" ht="13">
      <c r="E1142" s="114"/>
      <c r="F1142" s="79"/>
      <c r="G1142" s="79"/>
    </row>
    <row r="1143" spans="5:7" ht="13">
      <c r="E1143" s="114"/>
      <c r="F1143" s="79"/>
      <c r="G1143" s="79"/>
    </row>
    <row r="1144" spans="5:7" ht="13">
      <c r="E1144" s="114"/>
      <c r="F1144" s="79"/>
      <c r="G1144" s="79"/>
    </row>
    <row r="1145" spans="5:7" ht="13">
      <c r="E1145" s="114"/>
      <c r="F1145" s="79"/>
      <c r="G1145" s="79"/>
    </row>
    <row r="1146" spans="5:7" ht="13">
      <c r="E1146" s="114"/>
      <c r="F1146" s="79"/>
      <c r="G1146" s="79"/>
    </row>
    <row r="1147" spans="5:7" ht="13">
      <c r="E1147" s="114"/>
      <c r="F1147" s="79"/>
      <c r="G1147" s="79"/>
    </row>
    <row r="1148" spans="5:7" ht="13">
      <c r="E1148" s="114"/>
      <c r="F1148" s="79"/>
      <c r="G1148" s="79"/>
    </row>
    <row r="1149" spans="5:7" ht="13">
      <c r="E1149" s="114"/>
      <c r="F1149" s="79"/>
      <c r="G1149" s="79"/>
    </row>
    <row r="1150" spans="5:7" ht="13">
      <c r="E1150" s="114"/>
      <c r="F1150" s="79"/>
      <c r="G1150" s="79"/>
    </row>
    <row r="1151" spans="5:7" ht="13">
      <c r="E1151" s="114"/>
      <c r="F1151" s="79"/>
      <c r="G1151" s="79"/>
    </row>
    <row r="1152" spans="5:7" ht="13">
      <c r="E1152" s="114"/>
      <c r="F1152" s="79"/>
      <c r="G1152" s="79"/>
    </row>
    <row r="1153" spans="5:7" ht="13">
      <c r="E1153" s="114"/>
      <c r="F1153" s="79"/>
      <c r="G1153" s="79"/>
    </row>
    <row r="1154" spans="5:7" ht="13">
      <c r="E1154" s="114"/>
      <c r="F1154" s="79"/>
      <c r="G1154" s="79"/>
    </row>
    <row r="1155" spans="5:7" ht="13">
      <c r="E1155" s="114"/>
      <c r="F1155" s="79"/>
      <c r="G1155" s="79"/>
    </row>
    <row r="1156" spans="5:7" ht="13">
      <c r="E1156" s="114"/>
      <c r="F1156" s="79"/>
      <c r="G1156" s="79"/>
    </row>
    <row r="1157" spans="5:7" ht="13">
      <c r="E1157" s="114"/>
      <c r="F1157" s="79"/>
      <c r="G1157" s="79"/>
    </row>
    <row r="1158" spans="5:7" ht="13">
      <c r="E1158" s="114"/>
      <c r="F1158" s="79"/>
      <c r="G1158" s="79"/>
    </row>
    <row r="1159" spans="5:7" ht="13">
      <c r="E1159" s="114"/>
      <c r="F1159" s="79"/>
      <c r="G1159" s="79"/>
    </row>
    <row r="1160" spans="5:7" ht="13">
      <c r="E1160" s="114"/>
      <c r="F1160" s="79"/>
      <c r="G1160" s="79"/>
    </row>
    <row r="1161" spans="5:7" ht="13">
      <c r="E1161" s="114"/>
      <c r="F1161" s="79"/>
      <c r="G1161" s="79"/>
    </row>
    <row r="1162" spans="5:7" ht="13">
      <c r="E1162" s="114"/>
      <c r="F1162" s="79"/>
      <c r="G1162" s="79"/>
    </row>
    <row r="1163" spans="5:7" ht="13">
      <c r="E1163" s="114"/>
      <c r="F1163" s="79"/>
      <c r="G1163" s="79"/>
    </row>
    <row r="1164" spans="5:7" ht="13">
      <c r="E1164" s="114"/>
      <c r="F1164" s="79"/>
      <c r="G1164" s="79"/>
    </row>
    <row r="1165" spans="5:7" ht="13">
      <c r="E1165" s="114"/>
      <c r="F1165" s="79"/>
      <c r="G1165" s="79"/>
    </row>
    <row r="1166" spans="5:7" ht="13">
      <c r="E1166" s="114"/>
      <c r="F1166" s="79"/>
      <c r="G1166" s="79"/>
    </row>
    <row r="1167" spans="5:7" ht="13">
      <c r="E1167" s="114"/>
      <c r="F1167" s="79"/>
      <c r="G1167" s="79"/>
    </row>
    <row r="1168" spans="5:7" ht="13">
      <c r="E1168" s="114"/>
      <c r="F1168" s="79"/>
      <c r="G1168" s="79"/>
    </row>
    <row r="1169" spans="1:7" ht="13">
      <c r="A1169" s="99" t="s">
        <v>641</v>
      </c>
      <c r="B1169" s="99" t="s">
        <v>134</v>
      </c>
      <c r="C1169" s="99" t="s">
        <v>112</v>
      </c>
      <c r="E1169" s="105">
        <v>548.80999999999995</v>
      </c>
      <c r="F1169" s="104" t="s">
        <v>315</v>
      </c>
      <c r="G1169" s="104" t="s">
        <v>374</v>
      </c>
    </row>
    <row r="1170" spans="1:7" ht="13">
      <c r="B1170" s="99" t="s">
        <v>134</v>
      </c>
      <c r="C1170" s="99" t="s">
        <v>112</v>
      </c>
      <c r="E1170" s="105">
        <f>3627.28-114.25</f>
        <v>3513.03</v>
      </c>
      <c r="F1170" s="104" t="s">
        <v>315</v>
      </c>
      <c r="G1170" s="104" t="s">
        <v>374</v>
      </c>
    </row>
    <row r="1171" spans="1:7" ht="13">
      <c r="B1171" s="99" t="s">
        <v>134</v>
      </c>
      <c r="C1171" s="99" t="s">
        <v>112</v>
      </c>
      <c r="D1171" s="99" t="s">
        <v>642</v>
      </c>
      <c r="E1171" s="105">
        <v>114.25</v>
      </c>
      <c r="F1171" s="104" t="s">
        <v>315</v>
      </c>
      <c r="G1171" s="104" t="s">
        <v>315</v>
      </c>
    </row>
    <row r="1172" spans="1:7" ht="13">
      <c r="B1172" s="99" t="s">
        <v>134</v>
      </c>
      <c r="C1172" s="99" t="s">
        <v>112</v>
      </c>
      <c r="E1172" s="105">
        <v>636.76</v>
      </c>
      <c r="F1172" s="104" t="s">
        <v>315</v>
      </c>
      <c r="G1172" s="104" t="s">
        <v>374</v>
      </c>
    </row>
    <row r="1173" spans="1:7" ht="13">
      <c r="B1173" s="99" t="s">
        <v>134</v>
      </c>
      <c r="C1173" s="99" t="s">
        <v>112</v>
      </c>
      <c r="E1173" s="105">
        <v>2925.44</v>
      </c>
      <c r="F1173" s="104" t="s">
        <v>315</v>
      </c>
      <c r="G1173" s="104" t="s">
        <v>374</v>
      </c>
    </row>
    <row r="1174" spans="1:7" ht="13">
      <c r="B1174" s="99" t="s">
        <v>134</v>
      </c>
      <c r="C1174" s="99" t="s">
        <v>112</v>
      </c>
      <c r="E1174" s="105">
        <v>161.33000000000001</v>
      </c>
      <c r="F1174" s="104" t="s">
        <v>315</v>
      </c>
      <c r="G1174" s="104" t="s">
        <v>374</v>
      </c>
    </row>
    <row r="1175" spans="1:7" ht="13">
      <c r="B1175" s="99" t="s">
        <v>134</v>
      </c>
      <c r="C1175" s="99" t="s">
        <v>112</v>
      </c>
      <c r="E1175" s="105">
        <v>2281.52</v>
      </c>
      <c r="F1175" s="104" t="s">
        <v>315</v>
      </c>
      <c r="G1175" s="104" t="s">
        <v>374</v>
      </c>
    </row>
    <row r="1176" spans="1:7" ht="13">
      <c r="B1176" s="99" t="s">
        <v>134</v>
      </c>
      <c r="C1176" s="99" t="s">
        <v>112</v>
      </c>
      <c r="D1176" s="99" t="s">
        <v>642</v>
      </c>
      <c r="E1176" s="105">
        <v>68.55</v>
      </c>
      <c r="F1176" s="104" t="s">
        <v>315</v>
      </c>
      <c r="G1176" s="104" t="s">
        <v>315</v>
      </c>
    </row>
    <row r="1177" spans="1:7" ht="13">
      <c r="B1177" s="99" t="s">
        <v>134</v>
      </c>
      <c r="C1177" s="99" t="s">
        <v>112</v>
      </c>
      <c r="E1177" s="114">
        <f>2548.91-E1176</f>
        <v>2480.3599999999997</v>
      </c>
      <c r="F1177" s="104" t="s">
        <v>315</v>
      </c>
      <c r="G1177" s="104" t="s">
        <v>374</v>
      </c>
    </row>
    <row r="1178" spans="1:7" ht="13">
      <c r="B1178" s="99" t="s">
        <v>89</v>
      </c>
      <c r="C1178" s="99" t="s">
        <v>337</v>
      </c>
      <c r="D1178" s="99" t="s">
        <v>105</v>
      </c>
      <c r="E1178" s="105">
        <v>206.08</v>
      </c>
      <c r="F1178" s="104" t="s">
        <v>374</v>
      </c>
      <c r="G1178" s="104" t="s">
        <v>315</v>
      </c>
    </row>
    <row r="1179" spans="1:7" ht="13">
      <c r="B1179" s="99" t="s">
        <v>89</v>
      </c>
      <c r="C1179" s="99" t="s">
        <v>337</v>
      </c>
      <c r="D1179" s="99" t="s">
        <v>105</v>
      </c>
      <c r="E1179" s="105">
        <v>513.41999999999996</v>
      </c>
      <c r="F1179" s="104" t="s">
        <v>374</v>
      </c>
      <c r="G1179" s="104" t="s">
        <v>315</v>
      </c>
    </row>
    <row r="1180" spans="1:7" ht="13">
      <c r="B1180" s="99" t="s">
        <v>89</v>
      </c>
      <c r="C1180" s="99" t="s">
        <v>337</v>
      </c>
      <c r="D1180" s="99" t="s">
        <v>105</v>
      </c>
      <c r="E1180" s="105">
        <v>27.96</v>
      </c>
      <c r="F1180" s="104" t="s">
        <v>374</v>
      </c>
      <c r="G1180" s="104" t="s">
        <v>315</v>
      </c>
    </row>
    <row r="1181" spans="1:7" ht="13">
      <c r="B1181" s="99" t="s">
        <v>89</v>
      </c>
      <c r="C1181" s="99" t="s">
        <v>337</v>
      </c>
      <c r="D1181" s="99" t="s">
        <v>105</v>
      </c>
      <c r="E1181" s="105">
        <v>142.19999999999999</v>
      </c>
      <c r="F1181" s="104" t="s">
        <v>374</v>
      </c>
      <c r="G1181" s="104" t="s">
        <v>315</v>
      </c>
    </row>
    <row r="1182" spans="1:7" ht="13">
      <c r="B1182" s="99" t="s">
        <v>89</v>
      </c>
      <c r="C1182" s="99" t="s">
        <v>337</v>
      </c>
      <c r="D1182" s="99" t="s">
        <v>105</v>
      </c>
      <c r="E1182" s="105">
        <v>81.67</v>
      </c>
      <c r="F1182" s="104" t="s">
        <v>374</v>
      </c>
      <c r="G1182" s="104" t="s">
        <v>315</v>
      </c>
    </row>
    <row r="1183" spans="1:7" ht="13">
      <c r="B1183" s="99" t="s">
        <v>89</v>
      </c>
      <c r="C1183" s="99" t="s">
        <v>337</v>
      </c>
      <c r="D1183" s="99" t="s">
        <v>105</v>
      </c>
      <c r="E1183" s="105">
        <v>557.52</v>
      </c>
      <c r="F1183" s="104" t="s">
        <v>374</v>
      </c>
      <c r="G1183" s="104" t="s">
        <v>315</v>
      </c>
    </row>
    <row r="1184" spans="1:7" ht="13">
      <c r="B1184" s="99" t="s">
        <v>89</v>
      </c>
      <c r="C1184" s="99" t="s">
        <v>337</v>
      </c>
      <c r="D1184" s="99" t="s">
        <v>105</v>
      </c>
      <c r="E1184" s="105">
        <v>498.33</v>
      </c>
      <c r="F1184" s="104" t="s">
        <v>374</v>
      </c>
      <c r="G1184" s="104" t="s">
        <v>315</v>
      </c>
    </row>
    <row r="1185" spans="2:7" ht="13">
      <c r="B1185" s="99" t="s">
        <v>89</v>
      </c>
      <c r="C1185" s="99" t="s">
        <v>337</v>
      </c>
      <c r="D1185" s="99" t="s">
        <v>105</v>
      </c>
      <c r="E1185" s="105">
        <v>55.92</v>
      </c>
      <c r="F1185" s="104" t="s">
        <v>374</v>
      </c>
      <c r="G1185" s="104" t="s">
        <v>315</v>
      </c>
    </row>
    <row r="1186" spans="2:7" ht="13">
      <c r="B1186" s="99" t="s">
        <v>89</v>
      </c>
      <c r="C1186" s="99" t="s">
        <v>337</v>
      </c>
      <c r="D1186" s="99" t="s">
        <v>105</v>
      </c>
      <c r="E1186" s="105">
        <v>337.38</v>
      </c>
      <c r="F1186" s="104" t="s">
        <v>374</v>
      </c>
      <c r="G1186" s="104" t="s">
        <v>315</v>
      </c>
    </row>
    <row r="1187" spans="2:7" ht="13">
      <c r="B1187" s="99" t="s">
        <v>89</v>
      </c>
      <c r="C1187" s="99" t="s">
        <v>337</v>
      </c>
      <c r="D1187" s="99" t="s">
        <v>105</v>
      </c>
      <c r="E1187" s="105">
        <v>138.4</v>
      </c>
      <c r="F1187" s="104" t="s">
        <v>374</v>
      </c>
      <c r="G1187" s="104" t="s">
        <v>315</v>
      </c>
    </row>
    <row r="1188" spans="2:7" ht="13">
      <c r="B1188" s="99" t="s">
        <v>89</v>
      </c>
      <c r="C1188" s="99" t="s">
        <v>337</v>
      </c>
      <c r="D1188" s="99" t="s">
        <v>105</v>
      </c>
      <c r="E1188" s="105">
        <f>313.06-123.77</f>
        <v>189.29000000000002</v>
      </c>
      <c r="F1188" s="104" t="s">
        <v>374</v>
      </c>
      <c r="G1188" s="104" t="s">
        <v>315</v>
      </c>
    </row>
    <row r="1189" spans="2:7" ht="13">
      <c r="B1189" s="99" t="s">
        <v>55</v>
      </c>
      <c r="C1189" s="99" t="s">
        <v>337</v>
      </c>
      <c r="D1189" s="99" t="s">
        <v>643</v>
      </c>
      <c r="E1189" s="105">
        <v>16.03</v>
      </c>
      <c r="F1189" s="104" t="s">
        <v>374</v>
      </c>
      <c r="G1189" s="104" t="s">
        <v>315</v>
      </c>
    </row>
    <row r="1190" spans="2:7" ht="13">
      <c r="B1190" s="99" t="s">
        <v>55</v>
      </c>
      <c r="C1190" s="99" t="s">
        <v>59</v>
      </c>
      <c r="E1190" s="105">
        <v>37.03</v>
      </c>
      <c r="F1190" s="104" t="s">
        <v>374</v>
      </c>
      <c r="G1190" s="104" t="s">
        <v>374</v>
      </c>
    </row>
    <row r="1191" spans="2:7" ht="13">
      <c r="B1191" s="99" t="s">
        <v>55</v>
      </c>
      <c r="C1191" s="99" t="s">
        <v>59</v>
      </c>
      <c r="E1191" s="114">
        <f>463.93-44.74</f>
        <v>419.19</v>
      </c>
      <c r="F1191" s="104" t="s">
        <v>374</v>
      </c>
      <c r="G1191" s="104" t="s">
        <v>374</v>
      </c>
    </row>
    <row r="1192" spans="2:7" ht="13">
      <c r="B1192" s="99" t="s">
        <v>55</v>
      </c>
      <c r="C1192" s="99" t="s">
        <v>59</v>
      </c>
      <c r="E1192" s="105">
        <v>44.74</v>
      </c>
      <c r="F1192" s="104" t="s">
        <v>315</v>
      </c>
      <c r="G1192" s="104" t="s">
        <v>374</v>
      </c>
    </row>
    <row r="1193" spans="2:7" ht="13">
      <c r="B1193" s="99" t="s">
        <v>55</v>
      </c>
      <c r="C1193" s="99" t="s">
        <v>59</v>
      </c>
      <c r="D1193" s="99" t="s">
        <v>441</v>
      </c>
      <c r="E1193" s="114">
        <f>20.01+101.16+100.85+114.8+65.62+23.01+10.7</f>
        <v>436.15</v>
      </c>
      <c r="F1193" s="104" t="s">
        <v>315</v>
      </c>
      <c r="G1193" s="104" t="s">
        <v>374</v>
      </c>
    </row>
    <row r="1194" spans="2:7" ht="13">
      <c r="B1194" s="99" t="s">
        <v>55</v>
      </c>
      <c r="C1194" s="99" t="s">
        <v>59</v>
      </c>
      <c r="D1194" s="99" t="s">
        <v>306</v>
      </c>
      <c r="E1194" s="105">
        <f>36.7+23.09</f>
        <v>59.790000000000006</v>
      </c>
      <c r="F1194" s="104" t="s">
        <v>315</v>
      </c>
      <c r="G1194" s="104" t="s">
        <v>374</v>
      </c>
    </row>
    <row r="1195" spans="2:7" ht="13">
      <c r="B1195" s="99" t="s">
        <v>55</v>
      </c>
      <c r="C1195" s="99" t="s">
        <v>59</v>
      </c>
      <c r="D1195" s="99" t="s">
        <v>446</v>
      </c>
      <c r="E1195" s="105">
        <v>16.3</v>
      </c>
      <c r="F1195" s="104" t="s">
        <v>315</v>
      </c>
      <c r="G1195" s="104" t="s">
        <v>374</v>
      </c>
    </row>
    <row r="1196" spans="2:7" ht="13">
      <c r="B1196" s="99" t="s">
        <v>55</v>
      </c>
      <c r="C1196" s="99" t="s">
        <v>59</v>
      </c>
      <c r="D1196" s="99" t="s">
        <v>449</v>
      </c>
      <c r="E1196" s="105">
        <v>93.66</v>
      </c>
      <c r="F1196" s="104" t="s">
        <v>315</v>
      </c>
      <c r="G1196" s="104" t="s">
        <v>374</v>
      </c>
    </row>
    <row r="1197" spans="2:7" ht="13">
      <c r="B1197" s="99" t="s">
        <v>55</v>
      </c>
      <c r="C1197" s="99" t="s">
        <v>59</v>
      </c>
      <c r="E1197" s="114">
        <f>1510.62-E1193-E1194-E1195-E1196</f>
        <v>904.71999999999991</v>
      </c>
      <c r="F1197" s="104" t="s">
        <v>374</v>
      </c>
      <c r="G1197" s="104" t="s">
        <v>374</v>
      </c>
    </row>
    <row r="1198" spans="2:7" ht="13">
      <c r="B1198" s="99" t="s">
        <v>55</v>
      </c>
      <c r="C1198" s="99" t="s">
        <v>59</v>
      </c>
      <c r="D1198" s="99" t="s">
        <v>644</v>
      </c>
      <c r="E1198" s="105">
        <v>58.53</v>
      </c>
      <c r="F1198" s="104" t="s">
        <v>315</v>
      </c>
      <c r="G1198" s="104" t="s">
        <v>374</v>
      </c>
    </row>
    <row r="1199" spans="2:7" ht="13">
      <c r="B1199" s="99" t="s">
        <v>55</v>
      </c>
      <c r="C1199" s="99" t="s">
        <v>59</v>
      </c>
      <c r="E1199" s="105">
        <v>295.92</v>
      </c>
      <c r="F1199" s="104" t="s">
        <v>374</v>
      </c>
      <c r="G1199" s="104" t="s">
        <v>374</v>
      </c>
    </row>
    <row r="1200" spans="2:7" ht="13">
      <c r="B1200" s="99" t="s">
        <v>55</v>
      </c>
      <c r="C1200" s="99" t="s">
        <v>59</v>
      </c>
      <c r="E1200" s="105">
        <v>100.8</v>
      </c>
      <c r="F1200" s="104" t="s">
        <v>374</v>
      </c>
      <c r="G1200" s="104" t="s">
        <v>374</v>
      </c>
    </row>
    <row r="1201" spans="2:7" ht="13">
      <c r="B1201" s="99" t="s">
        <v>55</v>
      </c>
      <c r="C1201" s="99" t="s">
        <v>112</v>
      </c>
      <c r="D1201" s="99" t="s">
        <v>645</v>
      </c>
      <c r="E1201" s="105">
        <v>312.24</v>
      </c>
      <c r="F1201" s="104" t="s">
        <v>315</v>
      </c>
      <c r="G1201" s="104" t="s">
        <v>315</v>
      </c>
    </row>
    <row r="1202" spans="2:7" ht="13">
      <c r="B1202" s="99" t="s">
        <v>55</v>
      </c>
      <c r="C1202" s="99" t="s">
        <v>66</v>
      </c>
      <c r="D1202" s="99" t="s">
        <v>646</v>
      </c>
      <c r="E1202" s="105">
        <v>124.89</v>
      </c>
      <c r="F1202" s="104" t="s">
        <v>374</v>
      </c>
      <c r="G1202" s="104" t="s">
        <v>315</v>
      </c>
    </row>
    <row r="1203" spans="2:7" ht="13">
      <c r="B1203" s="99" t="s">
        <v>55</v>
      </c>
      <c r="C1203" s="99" t="s">
        <v>66</v>
      </c>
      <c r="E1203" s="105">
        <v>1292.3499999999999</v>
      </c>
      <c r="F1203" s="104" t="s">
        <v>374</v>
      </c>
      <c r="G1203" s="104" t="s">
        <v>374</v>
      </c>
    </row>
    <row r="1204" spans="2:7" ht="13">
      <c r="B1204" s="99" t="s">
        <v>55</v>
      </c>
      <c r="C1204" s="99" t="s">
        <v>70</v>
      </c>
      <c r="E1204" s="105">
        <v>277.7</v>
      </c>
      <c r="F1204" s="104" t="s">
        <v>374</v>
      </c>
      <c r="G1204" s="104" t="s">
        <v>374</v>
      </c>
    </row>
    <row r="1205" spans="2:7" ht="13">
      <c r="B1205" s="99" t="s">
        <v>55</v>
      </c>
      <c r="C1205" s="99" t="s">
        <v>97</v>
      </c>
      <c r="E1205" s="114">
        <f>18.3+27.99+84.57</f>
        <v>130.85999999999999</v>
      </c>
      <c r="F1205" s="104" t="s">
        <v>374</v>
      </c>
      <c r="G1205" s="104" t="s">
        <v>374</v>
      </c>
    </row>
    <row r="1206" spans="2:7" ht="13">
      <c r="B1206" s="99" t="s">
        <v>55</v>
      </c>
      <c r="C1206" s="99" t="s">
        <v>97</v>
      </c>
      <c r="D1206" s="99" t="s">
        <v>306</v>
      </c>
      <c r="E1206" s="114">
        <f>21.7+115.24+50.3+92.34+75.45+102.36+51.18</f>
        <v>508.57000000000005</v>
      </c>
      <c r="F1206" s="104" t="s">
        <v>315</v>
      </c>
      <c r="G1206" s="104" t="s">
        <v>374</v>
      </c>
    </row>
    <row r="1207" spans="2:7" ht="13">
      <c r="B1207" s="99" t="s">
        <v>55</v>
      </c>
      <c r="C1207" s="99" t="s">
        <v>59</v>
      </c>
      <c r="D1207" s="99" t="s">
        <v>441</v>
      </c>
      <c r="E1207" s="114">
        <f>104.13+30.26+29.31+23+33.44+177.03+62.31+41.99+32.09+114.8+49.94+23.02+262.48+27</f>
        <v>1010.8</v>
      </c>
      <c r="F1207" s="104" t="s">
        <v>315</v>
      </c>
      <c r="G1207" s="104" t="s">
        <v>374</v>
      </c>
    </row>
    <row r="1208" spans="2:7" ht="13">
      <c r="B1208" s="99" t="s">
        <v>55</v>
      </c>
      <c r="C1208" s="99" t="s">
        <v>59</v>
      </c>
      <c r="D1208" s="99" t="s">
        <v>229</v>
      </c>
      <c r="E1208" s="114">
        <f>42.75+16.74</f>
        <v>59.489999999999995</v>
      </c>
      <c r="F1208" s="104" t="s">
        <v>315</v>
      </c>
      <c r="G1208" s="104" t="s">
        <v>374</v>
      </c>
    </row>
    <row r="1209" spans="2:7" ht="13">
      <c r="B1209" s="99" t="s">
        <v>55</v>
      </c>
      <c r="C1209" s="99" t="s">
        <v>59</v>
      </c>
      <c r="D1209" s="99" t="s">
        <v>647</v>
      </c>
      <c r="E1209" s="114">
        <f>59.55+9.4+11.86+8.51</f>
        <v>89.320000000000007</v>
      </c>
      <c r="F1209" s="104" t="s">
        <v>315</v>
      </c>
      <c r="G1209" s="104" t="s">
        <v>374</v>
      </c>
    </row>
    <row r="1210" spans="2:7" ht="13">
      <c r="B1210" s="99" t="s">
        <v>55</v>
      </c>
      <c r="C1210" s="99" t="s">
        <v>59</v>
      </c>
      <c r="D1210" s="99" t="s">
        <v>446</v>
      </c>
      <c r="E1210" s="114">
        <f>17+15.34+14.9</f>
        <v>47.24</v>
      </c>
      <c r="F1210" s="104" t="s">
        <v>315</v>
      </c>
      <c r="G1210" s="104" t="s">
        <v>374</v>
      </c>
    </row>
    <row r="1211" spans="2:7" ht="13">
      <c r="B1211" s="99" t="s">
        <v>55</v>
      </c>
      <c r="C1211" s="99" t="s">
        <v>59</v>
      </c>
      <c r="D1211" s="99" t="s">
        <v>112</v>
      </c>
      <c r="E1211" s="114">
        <f>25.42+36.76+119.9</f>
        <v>182.08</v>
      </c>
      <c r="F1211" s="104" t="s">
        <v>315</v>
      </c>
      <c r="G1211" s="104" t="s">
        <v>374</v>
      </c>
    </row>
    <row r="1212" spans="2:7" ht="13">
      <c r="B1212" s="99" t="s">
        <v>55</v>
      </c>
      <c r="C1212" s="99" t="s">
        <v>59</v>
      </c>
      <c r="E1212" s="114">
        <f>1623.5-E1211-E1210-E1209-E1208-E1207</f>
        <v>234.57000000000016</v>
      </c>
      <c r="F1212" s="104" t="s">
        <v>374</v>
      </c>
      <c r="G1212" s="104" t="s">
        <v>374</v>
      </c>
    </row>
    <row r="1213" spans="2:7" ht="13">
      <c r="B1213" s="99" t="s">
        <v>55</v>
      </c>
      <c r="C1213" s="99" t="s">
        <v>57</v>
      </c>
      <c r="E1213" s="105">
        <v>813.48</v>
      </c>
      <c r="F1213" s="104" t="s">
        <v>374</v>
      </c>
      <c r="G1213" s="104" t="s">
        <v>374</v>
      </c>
    </row>
    <row r="1214" spans="2:7" ht="13">
      <c r="B1214" s="99" t="s">
        <v>55</v>
      </c>
      <c r="C1214" s="99" t="s">
        <v>97</v>
      </c>
      <c r="E1214" s="105">
        <v>58.24</v>
      </c>
      <c r="F1214" s="104" t="s">
        <v>374</v>
      </c>
      <c r="G1214" s="104" t="s">
        <v>374</v>
      </c>
    </row>
    <row r="1215" spans="2:7" ht="13">
      <c r="B1215" s="99" t="s">
        <v>55</v>
      </c>
      <c r="C1215" s="99" t="s">
        <v>62</v>
      </c>
      <c r="E1215" s="105">
        <v>342.7</v>
      </c>
      <c r="F1215" s="104" t="s">
        <v>374</v>
      </c>
      <c r="G1215" s="104" t="s">
        <v>374</v>
      </c>
    </row>
    <row r="1216" spans="2:7" ht="13">
      <c r="B1216" s="99" t="s">
        <v>55</v>
      </c>
      <c r="C1216" s="99" t="s">
        <v>59</v>
      </c>
      <c r="D1216" s="99" t="s">
        <v>648</v>
      </c>
      <c r="E1216" s="114">
        <f>12.79+24.84</f>
        <v>37.629999999999995</v>
      </c>
      <c r="F1216" s="104" t="s">
        <v>315</v>
      </c>
      <c r="G1216" s="104" t="s">
        <v>374</v>
      </c>
    </row>
    <row r="1217" spans="2:7" ht="13">
      <c r="B1217" s="99" t="s">
        <v>55</v>
      </c>
      <c r="C1217" s="99" t="s">
        <v>59</v>
      </c>
      <c r="E1217" s="105">
        <v>43.59</v>
      </c>
      <c r="F1217" s="104" t="s">
        <v>374</v>
      </c>
      <c r="G1217" s="104" t="s">
        <v>374</v>
      </c>
    </row>
    <row r="1218" spans="2:7" ht="13">
      <c r="B1218" s="99" t="s">
        <v>55</v>
      </c>
      <c r="C1218" s="99" t="s">
        <v>57</v>
      </c>
      <c r="D1218" s="99" t="s">
        <v>453</v>
      </c>
      <c r="E1218" s="105">
        <v>54.76</v>
      </c>
      <c r="F1218" s="104" t="s">
        <v>315</v>
      </c>
      <c r="G1218" s="104" t="s">
        <v>374</v>
      </c>
    </row>
    <row r="1219" spans="2:7" ht="13">
      <c r="B1219" s="99" t="s">
        <v>55</v>
      </c>
      <c r="C1219" s="99" t="s">
        <v>57</v>
      </c>
      <c r="E1219" s="105">
        <v>69.11</v>
      </c>
      <c r="F1219" s="104" t="s">
        <v>374</v>
      </c>
      <c r="G1219" s="104" t="s">
        <v>374</v>
      </c>
    </row>
    <row r="1220" spans="2:7" ht="13">
      <c r="B1220" s="99" t="s">
        <v>55</v>
      </c>
      <c r="C1220" s="99" t="s">
        <v>97</v>
      </c>
      <c r="D1220" s="99" t="s">
        <v>306</v>
      </c>
      <c r="E1220" s="105">
        <v>37.78</v>
      </c>
      <c r="F1220" s="104" t="s">
        <v>315</v>
      </c>
      <c r="G1220" s="104" t="s">
        <v>374</v>
      </c>
    </row>
    <row r="1221" spans="2:7" ht="13">
      <c r="B1221" s="99" t="s">
        <v>55</v>
      </c>
      <c r="C1221" s="99" t="s">
        <v>62</v>
      </c>
      <c r="D1221" s="99" t="s">
        <v>649</v>
      </c>
      <c r="E1221" s="105">
        <v>105.23</v>
      </c>
      <c r="F1221" s="104" t="s">
        <v>315</v>
      </c>
      <c r="G1221" s="104" t="s">
        <v>374</v>
      </c>
    </row>
    <row r="1222" spans="2:7" ht="13">
      <c r="B1222" s="99" t="s">
        <v>55</v>
      </c>
      <c r="C1222" s="99" t="s">
        <v>59</v>
      </c>
      <c r="D1222" s="99" t="s">
        <v>112</v>
      </c>
      <c r="E1222" s="105">
        <v>36.76</v>
      </c>
      <c r="F1222" s="104" t="s">
        <v>315</v>
      </c>
      <c r="G1222" s="104" t="s">
        <v>374</v>
      </c>
    </row>
    <row r="1223" spans="2:7" ht="13">
      <c r="B1223" s="99" t="s">
        <v>55</v>
      </c>
      <c r="C1223" s="99" t="s">
        <v>59</v>
      </c>
      <c r="E1223" s="114">
        <f>22.23+44.46</f>
        <v>66.69</v>
      </c>
      <c r="F1223" s="104" t="s">
        <v>374</v>
      </c>
      <c r="G1223" s="104" t="s">
        <v>374</v>
      </c>
    </row>
    <row r="1224" spans="2:7" ht="13">
      <c r="B1224" s="99" t="s">
        <v>55</v>
      </c>
      <c r="C1224" s="99" t="s">
        <v>57</v>
      </c>
      <c r="E1224" s="105">
        <v>68.7</v>
      </c>
      <c r="F1224" s="104" t="s">
        <v>374</v>
      </c>
      <c r="G1224" s="104" t="s">
        <v>374</v>
      </c>
    </row>
    <row r="1225" spans="2:7" ht="13">
      <c r="B1225" s="99" t="s">
        <v>55</v>
      </c>
      <c r="C1225" s="99" t="s">
        <v>97</v>
      </c>
      <c r="D1225" s="99" t="s">
        <v>306</v>
      </c>
      <c r="E1225" s="105">
        <v>112.17</v>
      </c>
      <c r="F1225" s="104" t="s">
        <v>315</v>
      </c>
      <c r="G1225" s="104" t="s">
        <v>374</v>
      </c>
    </row>
    <row r="1226" spans="2:7" ht="13">
      <c r="B1226" s="99" t="s">
        <v>55</v>
      </c>
      <c r="C1226" s="99" t="s">
        <v>59</v>
      </c>
      <c r="E1226" s="105">
        <v>59.46</v>
      </c>
      <c r="F1226" s="104" t="s">
        <v>374</v>
      </c>
      <c r="G1226" s="104" t="s">
        <v>374</v>
      </c>
    </row>
    <row r="1227" spans="2:7" ht="13">
      <c r="B1227" s="99" t="s">
        <v>55</v>
      </c>
      <c r="C1227" s="99" t="s">
        <v>112</v>
      </c>
      <c r="D1227" s="99" t="s">
        <v>645</v>
      </c>
      <c r="E1227" s="105">
        <v>78.06</v>
      </c>
      <c r="F1227" s="104" t="s">
        <v>315</v>
      </c>
      <c r="G1227" s="104" t="s">
        <v>315</v>
      </c>
    </row>
    <row r="1228" spans="2:7" ht="13">
      <c r="B1228" s="99" t="s">
        <v>55</v>
      </c>
      <c r="C1228" s="99" t="s">
        <v>66</v>
      </c>
      <c r="D1228" s="99" t="s">
        <v>650</v>
      </c>
      <c r="E1228" s="105">
        <v>87.42</v>
      </c>
      <c r="F1228" s="104" t="s">
        <v>374</v>
      </c>
      <c r="G1228" s="104" t="s">
        <v>315</v>
      </c>
    </row>
    <row r="1229" spans="2:7" ht="13">
      <c r="B1229" s="99" t="s">
        <v>55</v>
      </c>
      <c r="C1229" s="99" t="s">
        <v>66</v>
      </c>
      <c r="E1229" s="114">
        <f>216.03-E1228</f>
        <v>128.61000000000001</v>
      </c>
      <c r="F1229" s="104" t="s">
        <v>374</v>
      </c>
      <c r="G1229" s="104" t="s">
        <v>374</v>
      </c>
    </row>
    <row r="1230" spans="2:7" ht="13">
      <c r="B1230" s="99" t="s">
        <v>55</v>
      </c>
      <c r="C1230" s="99" t="s">
        <v>59</v>
      </c>
      <c r="D1230" s="99" t="s">
        <v>442</v>
      </c>
      <c r="E1230" s="105">
        <v>25.28</v>
      </c>
      <c r="F1230" s="104" t="s">
        <v>315</v>
      </c>
      <c r="G1230" s="104" t="s">
        <v>374</v>
      </c>
    </row>
    <row r="1231" spans="2:7" ht="13">
      <c r="B1231" s="99" t="s">
        <v>55</v>
      </c>
      <c r="C1231" s="99" t="s">
        <v>112</v>
      </c>
      <c r="E1231" s="114">
        <f>31.35+52.47+59.95</f>
        <v>143.76999999999998</v>
      </c>
      <c r="F1231" s="104" t="s">
        <v>315</v>
      </c>
      <c r="G1231" s="104" t="s">
        <v>374</v>
      </c>
    </row>
    <row r="1232" spans="2:7" ht="13">
      <c r="B1232" s="99" t="s">
        <v>55</v>
      </c>
      <c r="C1232" s="99" t="s">
        <v>59</v>
      </c>
      <c r="D1232" s="99" t="s">
        <v>648</v>
      </c>
      <c r="E1232" s="105">
        <v>15.9</v>
      </c>
      <c r="F1232" s="104" t="s">
        <v>315</v>
      </c>
      <c r="G1232" s="104" t="s">
        <v>374</v>
      </c>
    </row>
    <row r="1233" spans="2:7" ht="13">
      <c r="B1233" s="99" t="s">
        <v>55</v>
      </c>
      <c r="C1233" s="99" t="s">
        <v>57</v>
      </c>
      <c r="E1233" s="105">
        <v>161.81</v>
      </c>
      <c r="F1233" s="104" t="s">
        <v>374</v>
      </c>
      <c r="G1233" s="104" t="s">
        <v>374</v>
      </c>
    </row>
    <row r="1234" spans="2:7" ht="13">
      <c r="B1234" s="99" t="s">
        <v>55</v>
      </c>
      <c r="C1234" s="99" t="s">
        <v>97</v>
      </c>
      <c r="E1234" s="105">
        <v>28.98</v>
      </c>
      <c r="F1234" s="104" t="s">
        <v>374</v>
      </c>
      <c r="G1234" s="104" t="s">
        <v>374</v>
      </c>
    </row>
    <row r="1235" spans="2:7" ht="13">
      <c r="B1235" s="99" t="s">
        <v>55</v>
      </c>
      <c r="C1235" s="99" t="s">
        <v>62</v>
      </c>
      <c r="D1235" s="99" t="s">
        <v>649</v>
      </c>
      <c r="E1235" s="105">
        <v>67.36</v>
      </c>
      <c r="F1235" s="104" t="s">
        <v>315</v>
      </c>
      <c r="G1235" s="104" t="s">
        <v>374</v>
      </c>
    </row>
    <row r="1236" spans="2:7" ht="13">
      <c r="B1236" s="99" t="s">
        <v>55</v>
      </c>
      <c r="C1236" s="99" t="s">
        <v>59</v>
      </c>
      <c r="E1236" s="105">
        <v>127.04</v>
      </c>
      <c r="F1236" s="104" t="s">
        <v>374</v>
      </c>
      <c r="G1236" s="104" t="s">
        <v>374</v>
      </c>
    </row>
    <row r="1237" spans="2:7" ht="13">
      <c r="B1237" s="99" t="s">
        <v>55</v>
      </c>
      <c r="C1237" s="99" t="s">
        <v>57</v>
      </c>
      <c r="D1237" s="99" t="s">
        <v>449</v>
      </c>
      <c r="E1237" s="114">
        <f>37.2*2</f>
        <v>74.400000000000006</v>
      </c>
      <c r="F1237" s="104" t="s">
        <v>315</v>
      </c>
      <c r="G1237" s="104" t="s">
        <v>374</v>
      </c>
    </row>
    <row r="1238" spans="2:7" ht="13">
      <c r="B1238" s="99" t="s">
        <v>55</v>
      </c>
      <c r="C1238" s="99" t="s">
        <v>57</v>
      </c>
      <c r="D1238" s="99" t="s">
        <v>651</v>
      </c>
      <c r="E1238" s="105">
        <v>16.03</v>
      </c>
      <c r="F1238" s="104" t="s">
        <v>374</v>
      </c>
      <c r="G1238" s="104" t="s">
        <v>315</v>
      </c>
    </row>
    <row r="1239" spans="2:7" ht="13">
      <c r="B1239" s="99" t="s">
        <v>55</v>
      </c>
      <c r="C1239" s="99" t="s">
        <v>57</v>
      </c>
      <c r="E1239" s="114">
        <f>172.05-E1237-E1238</f>
        <v>81.62</v>
      </c>
      <c r="F1239" s="104" t="s">
        <v>374</v>
      </c>
      <c r="G1239" s="104" t="s">
        <v>374</v>
      </c>
    </row>
    <row r="1240" spans="2:7" ht="13">
      <c r="B1240" s="99" t="s">
        <v>55</v>
      </c>
      <c r="C1240" s="99" t="s">
        <v>97</v>
      </c>
      <c r="E1240" s="105">
        <v>275.69</v>
      </c>
      <c r="F1240" s="104" t="s">
        <v>374</v>
      </c>
      <c r="G1240" s="104" t="s">
        <v>374</v>
      </c>
    </row>
    <row r="1241" spans="2:7" ht="13">
      <c r="B1241" s="99" t="s">
        <v>55</v>
      </c>
      <c r="C1241" s="99" t="s">
        <v>59</v>
      </c>
      <c r="E1241" s="105">
        <v>91.92</v>
      </c>
      <c r="F1241" s="104" t="s">
        <v>374</v>
      </c>
      <c r="G1241" s="104" t="s">
        <v>374</v>
      </c>
    </row>
    <row r="1242" spans="2:7" ht="13">
      <c r="B1242" s="99" t="s">
        <v>55</v>
      </c>
      <c r="C1242" s="99" t="s">
        <v>59</v>
      </c>
      <c r="D1242" s="99" t="s">
        <v>557</v>
      </c>
      <c r="E1242" s="105">
        <v>25.58</v>
      </c>
      <c r="F1242" s="104" t="s">
        <v>315</v>
      </c>
      <c r="G1242" s="104" t="s">
        <v>374</v>
      </c>
    </row>
    <row r="1243" spans="2:7" ht="13">
      <c r="B1243" s="99" t="s">
        <v>55</v>
      </c>
      <c r="C1243" s="99" t="s">
        <v>62</v>
      </c>
      <c r="D1243" s="99" t="s">
        <v>649</v>
      </c>
      <c r="E1243" s="105">
        <v>117.88</v>
      </c>
      <c r="F1243" s="104" t="s">
        <v>315</v>
      </c>
      <c r="G1243" s="104" t="s">
        <v>374</v>
      </c>
    </row>
    <row r="1244" spans="2:7" ht="13">
      <c r="B1244" s="99" t="s">
        <v>55</v>
      </c>
      <c r="C1244" s="99" t="s">
        <v>59</v>
      </c>
      <c r="D1244" s="99" t="s">
        <v>306</v>
      </c>
      <c r="E1244" s="105">
        <v>94.39</v>
      </c>
      <c r="F1244" s="104" t="s">
        <v>315</v>
      </c>
      <c r="G1244" s="104" t="s">
        <v>374</v>
      </c>
    </row>
    <row r="1245" spans="2:7" ht="13">
      <c r="B1245" s="99" t="s">
        <v>55</v>
      </c>
      <c r="C1245" s="99" t="s">
        <v>59</v>
      </c>
      <c r="D1245" s="99" t="s">
        <v>557</v>
      </c>
      <c r="E1245" s="114">
        <f>60.7+37.48+37.42+37.16</f>
        <v>172.76000000000002</v>
      </c>
      <c r="F1245" s="104" t="s">
        <v>315</v>
      </c>
      <c r="G1245" s="104" t="s">
        <v>374</v>
      </c>
    </row>
    <row r="1246" spans="2:7" ht="13">
      <c r="B1246" s="99" t="s">
        <v>55</v>
      </c>
      <c r="C1246" s="99" t="s">
        <v>59</v>
      </c>
      <c r="E1246" s="114">
        <f>740.85-E1244-E1245</f>
        <v>473.70000000000005</v>
      </c>
      <c r="F1246" s="104" t="s">
        <v>374</v>
      </c>
      <c r="G1246" s="104" t="s">
        <v>374</v>
      </c>
    </row>
    <row r="1247" spans="2:7" ht="13">
      <c r="B1247" s="99" t="s">
        <v>55</v>
      </c>
      <c r="C1247" s="99" t="s">
        <v>66</v>
      </c>
      <c r="D1247" s="99" t="s">
        <v>652</v>
      </c>
      <c r="E1247" s="105">
        <v>83.26</v>
      </c>
      <c r="F1247" s="104" t="s">
        <v>374</v>
      </c>
      <c r="G1247" s="104" t="s">
        <v>315</v>
      </c>
    </row>
    <row r="1248" spans="2:7" ht="13">
      <c r="B1248" s="99" t="s">
        <v>55</v>
      </c>
      <c r="C1248" s="99" t="s">
        <v>66</v>
      </c>
      <c r="E1248" s="114">
        <f>1648.03-E1247</f>
        <v>1564.77</v>
      </c>
      <c r="F1248" s="104" t="s">
        <v>374</v>
      </c>
      <c r="G1248" s="104" t="s">
        <v>374</v>
      </c>
    </row>
    <row r="1249" spans="2:7" ht="13">
      <c r="B1249" s="99" t="s">
        <v>55</v>
      </c>
      <c r="C1249" s="99" t="s">
        <v>70</v>
      </c>
      <c r="E1249" s="114">
        <f>279.63</f>
        <v>279.63</v>
      </c>
      <c r="F1249" s="104" t="s">
        <v>374</v>
      </c>
      <c r="G1249" s="104" t="s">
        <v>374</v>
      </c>
    </row>
    <row r="1250" spans="2:7" ht="13">
      <c r="B1250" s="99" t="s">
        <v>55</v>
      </c>
      <c r="C1250" s="99" t="s">
        <v>97</v>
      </c>
      <c r="D1250" s="99" t="s">
        <v>306</v>
      </c>
      <c r="E1250" s="114">
        <f>110.24+136.48+51.72+171.65+57.62</f>
        <v>527.70999999999992</v>
      </c>
      <c r="F1250" s="104" t="s">
        <v>315</v>
      </c>
      <c r="G1250" s="104" t="s">
        <v>374</v>
      </c>
    </row>
    <row r="1251" spans="2:7" ht="13">
      <c r="B1251" s="99" t="s">
        <v>55</v>
      </c>
      <c r="C1251" s="99" t="s">
        <v>97</v>
      </c>
      <c r="D1251" s="99" t="s">
        <v>489</v>
      </c>
      <c r="E1251" s="105">
        <v>678.72</v>
      </c>
      <c r="F1251" s="104" t="s">
        <v>315</v>
      </c>
      <c r="G1251" s="104" t="s">
        <v>374</v>
      </c>
    </row>
    <row r="1252" spans="2:7" ht="13">
      <c r="B1252" s="99" t="s">
        <v>55</v>
      </c>
      <c r="C1252" s="99" t="s">
        <v>97</v>
      </c>
      <c r="E1252" s="114">
        <f>1369.81-E1250-E1251</f>
        <v>163.38</v>
      </c>
      <c r="F1252" s="104" t="s">
        <v>374</v>
      </c>
      <c r="G1252" s="104" t="s">
        <v>374</v>
      </c>
    </row>
    <row r="1253" spans="2:7" ht="13">
      <c r="B1253" s="99" t="s">
        <v>55</v>
      </c>
      <c r="C1253" s="99" t="s">
        <v>59</v>
      </c>
      <c r="D1253" s="99" t="s">
        <v>444</v>
      </c>
      <c r="E1253" s="114">
        <f>28.5+41.37+33.48</f>
        <v>103.35</v>
      </c>
      <c r="F1253" s="104" t="s">
        <v>315</v>
      </c>
      <c r="G1253" s="104" t="s">
        <v>374</v>
      </c>
    </row>
    <row r="1254" spans="2:7" ht="13">
      <c r="B1254" s="99" t="s">
        <v>55</v>
      </c>
      <c r="C1254" s="99" t="s">
        <v>59</v>
      </c>
      <c r="D1254" s="99" t="s">
        <v>556</v>
      </c>
      <c r="E1254" s="114">
        <f>29.83+24.34+9.4+16.38+56.8+67.01+10.75+67.01+33.53+23.02+14.94</f>
        <v>353.00999999999993</v>
      </c>
      <c r="F1254" s="104" t="s">
        <v>315</v>
      </c>
      <c r="G1254" s="104" t="s">
        <v>374</v>
      </c>
    </row>
    <row r="1255" spans="2:7" ht="13">
      <c r="B1255" s="99" t="s">
        <v>55</v>
      </c>
      <c r="C1255" s="99" t="s">
        <v>59</v>
      </c>
      <c r="D1255" s="99" t="s">
        <v>441</v>
      </c>
      <c r="E1255" s="114">
        <f>18.67+7.93+15.9+101.16+29.18+111.24+760.46+37.52+49.85+74.52+37.08+74.16+33.45+45.02+50.48+196.86+23.01</f>
        <v>1666.49</v>
      </c>
      <c r="F1255" s="104" t="s">
        <v>315</v>
      </c>
      <c r="G1255" s="104" t="s">
        <v>374</v>
      </c>
    </row>
    <row r="1256" spans="2:7" ht="13">
      <c r="B1256" s="99" t="s">
        <v>55</v>
      </c>
      <c r="C1256" s="99" t="s">
        <v>59</v>
      </c>
      <c r="D1256" s="99" t="s">
        <v>306</v>
      </c>
      <c r="E1256" s="114">
        <f>67.76+42.9+108.92+24.34+46.02+47.17</f>
        <v>337.11</v>
      </c>
      <c r="F1256" s="104" t="s">
        <v>315</v>
      </c>
      <c r="G1256" s="104" t="s">
        <v>374</v>
      </c>
    </row>
    <row r="1257" spans="2:7" ht="13">
      <c r="B1257" s="99" t="s">
        <v>55</v>
      </c>
      <c r="C1257" s="99" t="s">
        <v>59</v>
      </c>
      <c r="E1257" s="114">
        <f>2739.41-E1253-E1254-E1255-E1256</f>
        <v>279.45000000000016</v>
      </c>
      <c r="F1257" s="104" t="s">
        <v>374</v>
      </c>
      <c r="G1257" s="104" t="s">
        <v>374</v>
      </c>
    </row>
    <row r="1258" spans="2:7" ht="13">
      <c r="B1258" s="99" t="s">
        <v>55</v>
      </c>
      <c r="C1258" s="99" t="s">
        <v>57</v>
      </c>
      <c r="E1258" s="105">
        <v>1961.65</v>
      </c>
      <c r="F1258" s="104" t="s">
        <v>374</v>
      </c>
      <c r="G1258" s="104" t="s">
        <v>374</v>
      </c>
    </row>
    <row r="1259" spans="2:7" ht="13">
      <c r="B1259" s="99" t="s">
        <v>55</v>
      </c>
      <c r="C1259" s="99" t="s">
        <v>97</v>
      </c>
      <c r="D1259" s="99" t="s">
        <v>306</v>
      </c>
      <c r="E1259" s="105">
        <v>44.1</v>
      </c>
      <c r="F1259" s="104" t="s">
        <v>315</v>
      </c>
      <c r="G1259" s="104" t="s">
        <v>374</v>
      </c>
    </row>
    <row r="1260" spans="2:7" ht="13">
      <c r="B1260" s="99" t="s">
        <v>55</v>
      </c>
      <c r="C1260" s="99" t="s">
        <v>97</v>
      </c>
      <c r="E1260" s="114">
        <f>162.11-E1259</f>
        <v>118.01000000000002</v>
      </c>
      <c r="F1260" s="104" t="s">
        <v>374</v>
      </c>
      <c r="G1260" s="104" t="s">
        <v>374</v>
      </c>
    </row>
    <row r="1261" spans="2:7" ht="13">
      <c r="B1261" s="99" t="s">
        <v>55</v>
      </c>
      <c r="C1261" s="99" t="s">
        <v>59</v>
      </c>
      <c r="E1261" s="114">
        <f>36.56</f>
        <v>36.56</v>
      </c>
      <c r="F1261" s="104" t="s">
        <v>374</v>
      </c>
      <c r="G1261" s="104" t="s">
        <v>374</v>
      </c>
    </row>
    <row r="1262" spans="2:7" ht="13">
      <c r="B1262" s="99" t="s">
        <v>55</v>
      </c>
      <c r="C1262" s="99" t="s">
        <v>62</v>
      </c>
      <c r="E1262" s="105">
        <v>674.4</v>
      </c>
      <c r="F1262" s="104" t="s">
        <v>374</v>
      </c>
      <c r="G1262" s="104" t="s">
        <v>374</v>
      </c>
    </row>
    <row r="1263" spans="2:7" ht="13">
      <c r="B1263" s="99" t="s">
        <v>55</v>
      </c>
      <c r="C1263" s="99" t="s">
        <v>112</v>
      </c>
      <c r="D1263" s="99" t="s">
        <v>645</v>
      </c>
      <c r="E1263" s="105">
        <v>260.2</v>
      </c>
      <c r="F1263" s="104" t="s">
        <v>315</v>
      </c>
      <c r="G1263" s="104" t="s">
        <v>315</v>
      </c>
    </row>
    <row r="1264" spans="2:7" ht="13">
      <c r="B1264" s="99" t="s">
        <v>55</v>
      </c>
      <c r="C1264" s="99" t="s">
        <v>66</v>
      </c>
      <c r="E1264" s="105">
        <v>1058.19</v>
      </c>
      <c r="F1264" s="104" t="s">
        <v>374</v>
      </c>
      <c r="G1264" s="104" t="s">
        <v>374</v>
      </c>
    </row>
    <row r="1265" spans="2:7" ht="13">
      <c r="B1265" s="99" t="s">
        <v>55</v>
      </c>
      <c r="C1265" s="99" t="s">
        <v>97</v>
      </c>
      <c r="D1265" s="99" t="s">
        <v>306</v>
      </c>
      <c r="E1265" s="114">
        <f>319.26-32.19</f>
        <v>287.07</v>
      </c>
      <c r="F1265" s="104" t="s">
        <v>315</v>
      </c>
      <c r="G1265" s="104" t="s">
        <v>374</v>
      </c>
    </row>
    <row r="1266" spans="2:7" ht="13">
      <c r="B1266" s="99" t="s">
        <v>55</v>
      </c>
      <c r="C1266" s="99" t="s">
        <v>97</v>
      </c>
      <c r="E1266" s="105">
        <v>32.19</v>
      </c>
      <c r="F1266" s="104" t="s">
        <v>374</v>
      </c>
      <c r="G1266" s="104" t="s">
        <v>374</v>
      </c>
    </row>
    <row r="1267" spans="2:7" ht="13">
      <c r="B1267" s="99" t="s">
        <v>55</v>
      </c>
      <c r="C1267" s="99" t="s">
        <v>59</v>
      </c>
      <c r="D1267" s="99" t="s">
        <v>444</v>
      </c>
      <c r="E1267" s="114">
        <f>28.5+120.19+82.74+58.53+86.16</f>
        <v>376.12</v>
      </c>
      <c r="F1267" s="104" t="s">
        <v>315</v>
      </c>
      <c r="G1267" s="104" t="s">
        <v>374</v>
      </c>
    </row>
    <row r="1268" spans="2:7" ht="13">
      <c r="B1268" s="99" t="s">
        <v>55</v>
      </c>
      <c r="C1268" s="99" t="s">
        <v>59</v>
      </c>
      <c r="D1268" s="99" t="s">
        <v>556</v>
      </c>
      <c r="E1268" s="114">
        <f>89.66+52.9+67.01+68.34+16.38+11.32+9.4+44.34</f>
        <v>359.34999999999991</v>
      </c>
      <c r="F1268" s="104" t="s">
        <v>315</v>
      </c>
      <c r="G1268" s="104" t="s">
        <v>374</v>
      </c>
    </row>
    <row r="1269" spans="2:7" ht="13">
      <c r="B1269" s="99" t="s">
        <v>55</v>
      </c>
      <c r="C1269" s="99" t="s">
        <v>59</v>
      </c>
      <c r="D1269" s="99" t="s">
        <v>441</v>
      </c>
      <c r="E1269" s="114">
        <f>18.33+15.9+224.52+10.18+75.87+42.9+41.99+37.52+37.52+49.94+38.59+27</f>
        <v>620.26</v>
      </c>
      <c r="F1269" s="104" t="s">
        <v>315</v>
      </c>
      <c r="G1269" s="104" t="s">
        <v>374</v>
      </c>
    </row>
    <row r="1270" spans="2:7" ht="13">
      <c r="B1270" s="99" t="s">
        <v>55</v>
      </c>
      <c r="C1270" s="99" t="s">
        <v>59</v>
      </c>
      <c r="D1270" s="99" t="s">
        <v>306</v>
      </c>
      <c r="E1270" s="114">
        <f>52.47+163.38+20.42+33.88</f>
        <v>270.14999999999998</v>
      </c>
      <c r="F1270" s="104" t="s">
        <v>315</v>
      </c>
      <c r="G1270" s="104" t="s">
        <v>374</v>
      </c>
    </row>
    <row r="1271" spans="2:7" ht="13">
      <c r="B1271" s="99" t="s">
        <v>55</v>
      </c>
      <c r="C1271" s="99" t="s">
        <v>59</v>
      </c>
      <c r="E1271" s="114">
        <f>2021.06-E1267-E1268-E1269-E1270</f>
        <v>395.18000000000018</v>
      </c>
      <c r="F1271" s="104" t="s">
        <v>374</v>
      </c>
      <c r="G1271" s="104" t="s">
        <v>374</v>
      </c>
    </row>
    <row r="1272" spans="2:7" ht="13">
      <c r="B1272" s="99" t="s">
        <v>55</v>
      </c>
      <c r="C1272" s="99" t="s">
        <v>57</v>
      </c>
      <c r="E1272" s="114">
        <f>416.72</f>
        <v>416.72</v>
      </c>
      <c r="F1272" s="104" t="s">
        <v>374</v>
      </c>
      <c r="G1272" s="104" t="s">
        <v>374</v>
      </c>
    </row>
    <row r="1273" spans="2:7" ht="13">
      <c r="B1273" s="99" t="s">
        <v>55</v>
      </c>
      <c r="C1273" s="99" t="s">
        <v>57</v>
      </c>
      <c r="D1273" s="99" t="s">
        <v>653</v>
      </c>
      <c r="E1273" s="114">
        <f>37.2+49.6</f>
        <v>86.800000000000011</v>
      </c>
      <c r="F1273" s="104" t="s">
        <v>315</v>
      </c>
      <c r="G1273" s="104" t="s">
        <v>374</v>
      </c>
    </row>
    <row r="1274" spans="2:7" ht="13">
      <c r="B1274" s="99" t="s">
        <v>55</v>
      </c>
      <c r="C1274" s="99" t="s">
        <v>337</v>
      </c>
      <c r="E1274" s="114">
        <f>139.06-E1273</f>
        <v>52.259999999999991</v>
      </c>
      <c r="F1274" s="104" t="s">
        <v>374</v>
      </c>
      <c r="G1274" s="104" t="s">
        <v>374</v>
      </c>
    </row>
    <row r="1275" spans="2:7" ht="13">
      <c r="B1275" s="99" t="s">
        <v>55</v>
      </c>
      <c r="C1275" s="99" t="s">
        <v>97</v>
      </c>
      <c r="E1275" s="105">
        <v>28.98</v>
      </c>
      <c r="F1275" s="104" t="s">
        <v>374</v>
      </c>
      <c r="G1275" s="104" t="s">
        <v>374</v>
      </c>
    </row>
    <row r="1276" spans="2:7" ht="13">
      <c r="B1276" s="99" t="s">
        <v>55</v>
      </c>
      <c r="C1276" s="99" t="s">
        <v>557</v>
      </c>
      <c r="D1276" s="99" t="s">
        <v>159</v>
      </c>
      <c r="E1276" s="105">
        <v>14.42</v>
      </c>
      <c r="F1276" s="104" t="s">
        <v>315</v>
      </c>
      <c r="G1276" s="104" t="s">
        <v>374</v>
      </c>
    </row>
    <row r="1277" spans="2:7" ht="13">
      <c r="B1277" s="99" t="s">
        <v>55</v>
      </c>
      <c r="C1277" s="99" t="s">
        <v>59</v>
      </c>
      <c r="E1277" s="114">
        <f>182.36-E1276</f>
        <v>167.94000000000003</v>
      </c>
      <c r="F1277" s="104" t="s">
        <v>374</v>
      </c>
      <c r="G1277" s="104" t="s">
        <v>374</v>
      </c>
    </row>
    <row r="1278" spans="2:7" ht="13">
      <c r="B1278" s="99" t="s">
        <v>55</v>
      </c>
      <c r="C1278" s="99" t="s">
        <v>62</v>
      </c>
      <c r="D1278" s="99" t="s">
        <v>649</v>
      </c>
      <c r="E1278" s="105">
        <v>33.76</v>
      </c>
      <c r="F1278" s="104" t="s">
        <v>315</v>
      </c>
      <c r="G1278" s="104" t="s">
        <v>374</v>
      </c>
    </row>
    <row r="1279" spans="2:7" ht="13">
      <c r="B1279" s="99" t="s">
        <v>55</v>
      </c>
      <c r="C1279" s="99" t="s">
        <v>57</v>
      </c>
      <c r="D1279" s="99" t="s">
        <v>449</v>
      </c>
      <c r="E1279" s="114">
        <f>(18.24*2)+73.04</f>
        <v>109.52000000000001</v>
      </c>
      <c r="F1279" s="104" t="s">
        <v>315</v>
      </c>
      <c r="G1279" s="104" t="s">
        <v>374</v>
      </c>
    </row>
    <row r="1280" spans="2:7" ht="13">
      <c r="B1280" s="99" t="s">
        <v>55</v>
      </c>
      <c r="C1280" s="99" t="s">
        <v>57</v>
      </c>
      <c r="E1280" s="114">
        <f>219.86-E1279</f>
        <v>110.34</v>
      </c>
      <c r="F1280" s="104" t="s">
        <v>374</v>
      </c>
      <c r="G1280" s="104" t="s">
        <v>374</v>
      </c>
    </row>
    <row r="1281" spans="2:7" ht="13">
      <c r="B1281" s="99" t="s">
        <v>55</v>
      </c>
      <c r="C1281" s="99" t="s">
        <v>59</v>
      </c>
      <c r="D1281" s="99" t="s">
        <v>112</v>
      </c>
      <c r="E1281" s="114">
        <f>53.42+27.82</f>
        <v>81.240000000000009</v>
      </c>
      <c r="F1281" s="104" t="s">
        <v>315</v>
      </c>
      <c r="G1281" s="104" t="s">
        <v>374</v>
      </c>
    </row>
    <row r="1282" spans="2:7" ht="13">
      <c r="B1282" s="99" t="s">
        <v>55</v>
      </c>
      <c r="C1282" s="99" t="s">
        <v>59</v>
      </c>
      <c r="E1282" s="114">
        <f>306.28-E1281</f>
        <v>225.03999999999996</v>
      </c>
      <c r="F1282" s="104" t="s">
        <v>374</v>
      </c>
      <c r="G1282" s="104" t="s">
        <v>374</v>
      </c>
    </row>
    <row r="1283" spans="2:7" ht="13">
      <c r="B1283" s="99" t="s">
        <v>55</v>
      </c>
      <c r="C1283" s="99" t="s">
        <v>62</v>
      </c>
      <c r="D1283" s="99" t="s">
        <v>649</v>
      </c>
      <c r="E1283" s="105">
        <v>173.88</v>
      </c>
      <c r="F1283" s="104" t="s">
        <v>315</v>
      </c>
      <c r="G1283" s="104" t="s">
        <v>374</v>
      </c>
    </row>
    <row r="1284" spans="2:7" ht="13">
      <c r="B1284" s="99" t="s">
        <v>64</v>
      </c>
      <c r="C1284" s="99" t="s">
        <v>62</v>
      </c>
      <c r="E1284" s="105">
        <v>596.84</v>
      </c>
      <c r="F1284" s="104" t="s">
        <v>374</v>
      </c>
      <c r="G1284" s="104" t="s">
        <v>374</v>
      </c>
    </row>
    <row r="1285" spans="2:7" ht="13">
      <c r="B1285" s="99" t="s">
        <v>64</v>
      </c>
      <c r="C1285" s="99" t="s">
        <v>62</v>
      </c>
      <c r="E1285" s="105">
        <v>372.86</v>
      </c>
      <c r="F1285" s="104" t="s">
        <v>374</v>
      </c>
      <c r="G1285" s="104" t="s">
        <v>374</v>
      </c>
    </row>
    <row r="1286" spans="2:7" ht="13">
      <c r="B1286" s="99" t="s">
        <v>64</v>
      </c>
      <c r="C1286" s="99" t="s">
        <v>62</v>
      </c>
      <c r="E1286" s="105">
        <v>274.79000000000002</v>
      </c>
      <c r="F1286" s="104" t="s">
        <v>374</v>
      </c>
      <c r="G1286" s="104" t="s">
        <v>374</v>
      </c>
    </row>
    <row r="1287" spans="2:7" ht="13">
      <c r="B1287" s="99" t="s">
        <v>64</v>
      </c>
      <c r="C1287" s="99" t="s">
        <v>62</v>
      </c>
      <c r="E1287" s="105">
        <v>590.62</v>
      </c>
      <c r="F1287" s="104" t="s">
        <v>374</v>
      </c>
      <c r="G1287" s="104" t="s">
        <v>374</v>
      </c>
    </row>
    <row r="1288" spans="2:7" ht="13">
      <c r="B1288" s="99" t="s">
        <v>64</v>
      </c>
      <c r="C1288" s="99" t="s">
        <v>62</v>
      </c>
      <c r="E1288" s="105">
        <v>153.96</v>
      </c>
      <c r="F1288" s="104" t="s">
        <v>374</v>
      </c>
      <c r="G1288" s="104" t="s">
        <v>374</v>
      </c>
    </row>
    <row r="1289" spans="2:7" ht="13">
      <c r="B1289" s="99" t="s">
        <v>64</v>
      </c>
      <c r="C1289" s="99" t="s">
        <v>62</v>
      </c>
      <c r="E1289" s="105">
        <v>278.39</v>
      </c>
      <c r="F1289" s="104" t="s">
        <v>374</v>
      </c>
      <c r="G1289" s="104" t="s">
        <v>374</v>
      </c>
    </row>
    <row r="1290" spans="2:7" ht="13">
      <c r="B1290" s="99" t="s">
        <v>58</v>
      </c>
      <c r="C1290" s="99" t="s">
        <v>59</v>
      </c>
      <c r="E1290" s="114">
        <f>67.06+124.14+16.07+540.71+488.9+332.99+11.71+39.88+176.4+57.84+17.58+8.4+254.81+38.42+53.92+31.68+45.12+24.66+24.66+62.08+44.88+7.74+56.04+29.28+12.6+128.84+200.52+169.44+157.46+120.92+12.28+227.52+594.75+180.98+30.48+12.5+17.9+67.5</f>
        <v>4488.6599999999989</v>
      </c>
      <c r="F1290" s="104" t="s">
        <v>374</v>
      </c>
      <c r="G1290" s="104" t="s">
        <v>374</v>
      </c>
    </row>
    <row r="1291" spans="2:7" ht="13">
      <c r="B1291" s="99" t="s">
        <v>58</v>
      </c>
      <c r="C1291" s="99" t="s">
        <v>59</v>
      </c>
      <c r="D1291" s="99" t="s">
        <v>112</v>
      </c>
      <c r="E1291" s="114">
        <f>50.21+195.51+12.32+40.92+31.56+21.6+56.04+8.16+4.56+21.19</f>
        <v>442.07000000000011</v>
      </c>
      <c r="F1291" s="104" t="s">
        <v>315</v>
      </c>
      <c r="G1291" s="104" t="s">
        <v>374</v>
      </c>
    </row>
    <row r="1292" spans="2:7" ht="13">
      <c r="B1292" s="99" t="s">
        <v>58</v>
      </c>
      <c r="C1292" s="99" t="s">
        <v>59</v>
      </c>
      <c r="E1292" s="114">
        <f>8.68+33.88+70.14+14.51+47.22+66.99+107.66+67.2+12.62+52.03+17.43+137.36+66+28.52+31.68+37.44+10.49+11.8+41.52+35.44+356.27</f>
        <v>1254.8799999999999</v>
      </c>
      <c r="F1292" s="104" t="s">
        <v>374</v>
      </c>
      <c r="G1292" s="104" t="s">
        <v>374</v>
      </c>
    </row>
    <row r="1293" spans="2:7" ht="13">
      <c r="B1293" s="99" t="s">
        <v>58</v>
      </c>
      <c r="C1293" s="99" t="s">
        <v>59</v>
      </c>
      <c r="D1293" s="99" t="s">
        <v>112</v>
      </c>
      <c r="E1293" s="105">
        <v>150.19</v>
      </c>
      <c r="F1293" s="104" t="s">
        <v>315</v>
      </c>
      <c r="G1293" s="104" t="s">
        <v>374</v>
      </c>
    </row>
    <row r="1294" spans="2:7" ht="13">
      <c r="B1294" s="99" t="s">
        <v>94</v>
      </c>
      <c r="C1294" s="99" t="s">
        <v>198</v>
      </c>
      <c r="E1294" s="105">
        <v>192</v>
      </c>
      <c r="F1294" s="104" t="s">
        <v>374</v>
      </c>
      <c r="G1294" s="104" t="s">
        <v>374</v>
      </c>
    </row>
    <row r="1295" spans="2:7" ht="13">
      <c r="B1295" s="99" t="s">
        <v>654</v>
      </c>
      <c r="C1295" s="99" t="s">
        <v>62</v>
      </c>
      <c r="E1295" s="105">
        <v>692.62</v>
      </c>
      <c r="F1295" s="104" t="s">
        <v>374</v>
      </c>
      <c r="G1295" s="104" t="s">
        <v>374</v>
      </c>
    </row>
    <row r="1296" spans="2:7" ht="13">
      <c r="B1296" s="99" t="s">
        <v>654</v>
      </c>
      <c r="C1296" s="99" t="s">
        <v>62</v>
      </c>
      <c r="E1296" s="105">
        <v>692.62</v>
      </c>
      <c r="F1296" s="104" t="s">
        <v>374</v>
      </c>
      <c r="G1296" s="104" t="s">
        <v>374</v>
      </c>
    </row>
    <row r="1297" spans="2:7" ht="13">
      <c r="B1297" s="99" t="s">
        <v>654</v>
      </c>
      <c r="C1297" s="99" t="s">
        <v>62</v>
      </c>
      <c r="E1297" s="105">
        <v>269.92</v>
      </c>
      <c r="F1297" s="104" t="s">
        <v>374</v>
      </c>
      <c r="G1297" s="104" t="s">
        <v>374</v>
      </c>
    </row>
    <row r="1298" spans="2:7" ht="13">
      <c r="B1298" s="99" t="s">
        <v>654</v>
      </c>
      <c r="C1298" s="99" t="s">
        <v>62</v>
      </c>
      <c r="E1298" s="105">
        <v>209.35</v>
      </c>
      <c r="F1298" s="104" t="s">
        <v>374</v>
      </c>
      <c r="G1298" s="104" t="s">
        <v>374</v>
      </c>
    </row>
    <row r="1299" spans="2:7" ht="13">
      <c r="B1299" s="99" t="s">
        <v>654</v>
      </c>
      <c r="C1299" s="99" t="s">
        <v>62</v>
      </c>
      <c r="E1299" s="105">
        <v>440.28</v>
      </c>
      <c r="F1299" s="104" t="s">
        <v>374</v>
      </c>
      <c r="G1299" s="104" t="s">
        <v>374</v>
      </c>
    </row>
    <row r="1300" spans="2:7" ht="13">
      <c r="B1300" s="99" t="s">
        <v>86</v>
      </c>
      <c r="C1300" s="99" t="s">
        <v>570</v>
      </c>
      <c r="D1300" s="99" t="s">
        <v>571</v>
      </c>
      <c r="E1300" s="105">
        <v>72.599999999999994</v>
      </c>
      <c r="F1300" s="104" t="s">
        <v>315</v>
      </c>
      <c r="G1300" s="104" t="s">
        <v>315</v>
      </c>
    </row>
    <row r="1301" spans="2:7" ht="13">
      <c r="B1301" s="99" t="s">
        <v>86</v>
      </c>
      <c r="C1301" s="99" t="s">
        <v>573</v>
      </c>
      <c r="D1301" s="99" t="s">
        <v>571</v>
      </c>
      <c r="E1301" s="114">
        <f>50+58.6+81+39</f>
        <v>228.6</v>
      </c>
      <c r="F1301" s="104" t="s">
        <v>315</v>
      </c>
      <c r="G1301" s="104" t="s">
        <v>315</v>
      </c>
    </row>
    <row r="1302" spans="2:7" ht="13">
      <c r="B1302" s="99" t="s">
        <v>86</v>
      </c>
      <c r="C1302" s="99" t="s">
        <v>574</v>
      </c>
      <c r="D1302" s="99" t="s">
        <v>571</v>
      </c>
      <c r="E1302" s="114">
        <f>88.6</f>
        <v>88.6</v>
      </c>
      <c r="F1302" s="104" t="s">
        <v>315</v>
      </c>
      <c r="G1302" s="104" t="s">
        <v>315</v>
      </c>
    </row>
    <row r="1303" spans="2:7" ht="13">
      <c r="B1303" s="99" t="s">
        <v>575</v>
      </c>
      <c r="C1303" s="99" t="s">
        <v>655</v>
      </c>
      <c r="D1303" s="99" t="s">
        <v>571</v>
      </c>
      <c r="E1303" s="105">
        <v>11.7</v>
      </c>
      <c r="F1303" s="104" t="s">
        <v>315</v>
      </c>
      <c r="G1303" s="104" t="s">
        <v>315</v>
      </c>
    </row>
    <row r="1304" spans="2:7" ht="13">
      <c r="B1304" s="99" t="s">
        <v>86</v>
      </c>
      <c r="C1304" s="99" t="s">
        <v>57</v>
      </c>
      <c r="E1304" s="114">
        <f>44.62+44.21+23.46</f>
        <v>112.28999999999999</v>
      </c>
      <c r="F1304" s="104" t="s">
        <v>374</v>
      </c>
      <c r="G1304" s="104" t="s">
        <v>374</v>
      </c>
    </row>
    <row r="1305" spans="2:7" ht="13">
      <c r="B1305" s="99" t="s">
        <v>86</v>
      </c>
      <c r="C1305" s="99" t="s">
        <v>97</v>
      </c>
      <c r="E1305" s="114">
        <f>24.51+49.02</f>
        <v>73.53</v>
      </c>
      <c r="F1305" s="104" t="s">
        <v>374</v>
      </c>
      <c r="G1305" s="104" t="s">
        <v>374</v>
      </c>
    </row>
    <row r="1306" spans="2:7" ht="13">
      <c r="B1306" s="99" t="s">
        <v>155</v>
      </c>
      <c r="C1306" s="99" t="s">
        <v>156</v>
      </c>
      <c r="D1306" s="99" t="s">
        <v>580</v>
      </c>
      <c r="E1306" s="114">
        <f>30.32*2</f>
        <v>60.64</v>
      </c>
      <c r="F1306" s="104" t="s">
        <v>315</v>
      </c>
      <c r="G1306" s="104" t="s">
        <v>315</v>
      </c>
    </row>
    <row r="1307" spans="2:7" ht="13">
      <c r="B1307" s="99" t="s">
        <v>457</v>
      </c>
      <c r="C1307" s="99" t="s">
        <v>59</v>
      </c>
      <c r="D1307" s="99" t="s">
        <v>553</v>
      </c>
      <c r="E1307" s="114">
        <f>22.48+29.09</f>
        <v>51.57</v>
      </c>
      <c r="F1307" s="104" t="s">
        <v>315</v>
      </c>
      <c r="G1307" s="104" t="s">
        <v>315</v>
      </c>
    </row>
    <row r="1308" spans="2:7" ht="13">
      <c r="B1308" s="99" t="s">
        <v>163</v>
      </c>
      <c r="C1308" s="99" t="s">
        <v>144</v>
      </c>
      <c r="D1308" s="99" t="s">
        <v>580</v>
      </c>
      <c r="E1308" s="105">
        <v>29.89</v>
      </c>
      <c r="F1308" s="104" t="s">
        <v>315</v>
      </c>
      <c r="G1308" s="104" t="s">
        <v>315</v>
      </c>
    </row>
    <row r="1309" spans="2:7" ht="13">
      <c r="B1309" s="99" t="s">
        <v>585</v>
      </c>
      <c r="C1309" s="99" t="s">
        <v>656</v>
      </c>
      <c r="D1309" s="99" t="s">
        <v>580</v>
      </c>
      <c r="E1309" s="105">
        <f>33.42*2</f>
        <v>66.84</v>
      </c>
      <c r="F1309" s="79"/>
      <c r="G1309" s="104" t="s">
        <v>315</v>
      </c>
    </row>
    <row r="1310" spans="2:7" ht="13">
      <c r="B1310" s="99" t="s">
        <v>657</v>
      </c>
      <c r="C1310" s="99" t="s">
        <v>658</v>
      </c>
      <c r="D1310" s="99" t="s">
        <v>580</v>
      </c>
      <c r="E1310" s="114">
        <f>15.79*2</f>
        <v>31.58</v>
      </c>
      <c r="F1310" s="79"/>
      <c r="G1310" s="104" t="s">
        <v>315</v>
      </c>
    </row>
    <row r="1311" spans="2:7" ht="13">
      <c r="B1311" s="99" t="s">
        <v>659</v>
      </c>
      <c r="C1311" s="99" t="s">
        <v>660</v>
      </c>
      <c r="D1311" s="99" t="s">
        <v>580</v>
      </c>
      <c r="E1311" s="105">
        <v>16.8</v>
      </c>
      <c r="F1311" s="104" t="s">
        <v>315</v>
      </c>
      <c r="G1311" s="104" t="s">
        <v>315</v>
      </c>
    </row>
    <row r="1312" spans="2:7" ht="13">
      <c r="B1312" s="99" t="s">
        <v>166</v>
      </c>
      <c r="C1312" s="99" t="s">
        <v>661</v>
      </c>
      <c r="D1312" s="99" t="s">
        <v>580</v>
      </c>
      <c r="E1312" s="114">
        <f>18.22*2</f>
        <v>36.44</v>
      </c>
      <c r="F1312" s="79"/>
      <c r="G1312" s="104" t="s">
        <v>315</v>
      </c>
    </row>
    <row r="1313" spans="2:7" ht="13">
      <c r="B1313" s="99" t="s">
        <v>662</v>
      </c>
      <c r="C1313" s="99" t="s">
        <v>552</v>
      </c>
      <c r="D1313" s="99" t="s">
        <v>580</v>
      </c>
      <c r="E1313" s="114">
        <f>77.04+38.52</f>
        <v>115.56</v>
      </c>
      <c r="F1313" s="104" t="s">
        <v>315</v>
      </c>
      <c r="G1313" s="104" t="s">
        <v>315</v>
      </c>
    </row>
    <row r="1314" spans="2:7" ht="13">
      <c r="B1314" s="99" t="s">
        <v>457</v>
      </c>
      <c r="C1314" s="99" t="s">
        <v>553</v>
      </c>
      <c r="D1314" s="99"/>
      <c r="E1314" s="105">
        <v>59.7</v>
      </c>
      <c r="F1314" s="104" t="s">
        <v>315</v>
      </c>
      <c r="G1314" s="104"/>
    </row>
    <row r="1315" spans="2:7" ht="13">
      <c r="B1315" s="99" t="s">
        <v>457</v>
      </c>
      <c r="C1315" s="99" t="s">
        <v>59</v>
      </c>
      <c r="D1315" s="99"/>
      <c r="E1315" s="105">
        <f>751-E1316-E1317-E1318-E1319</f>
        <v>501.7700000000001</v>
      </c>
      <c r="F1315" s="104" t="s">
        <v>315</v>
      </c>
      <c r="G1315" s="104"/>
    </row>
    <row r="1316" spans="2:7" ht="13">
      <c r="B1316" s="99" t="s">
        <v>121</v>
      </c>
      <c r="C1316" s="99" t="s">
        <v>57</v>
      </c>
      <c r="D1316" s="99" t="s">
        <v>640</v>
      </c>
      <c r="E1316" s="114">
        <f>16.24+(26.64*3)</f>
        <v>96.16</v>
      </c>
      <c r="F1316" s="104"/>
      <c r="G1316" s="104" t="s">
        <v>315</v>
      </c>
    </row>
    <row r="1317" spans="2:7" ht="13">
      <c r="B1317" s="99" t="s">
        <v>457</v>
      </c>
      <c r="C1317" s="99" t="s">
        <v>553</v>
      </c>
      <c r="D1317" s="99"/>
      <c r="E1317" s="114">
        <f>19.93</f>
        <v>19.93</v>
      </c>
      <c r="F1317" s="104" t="s">
        <v>315</v>
      </c>
      <c r="G1317" s="104"/>
    </row>
    <row r="1318" spans="2:7" ht="13">
      <c r="B1318" s="99" t="s">
        <v>140</v>
      </c>
      <c r="C1318" s="99" t="s">
        <v>663</v>
      </c>
      <c r="D1318" s="99" t="s">
        <v>580</v>
      </c>
      <c r="E1318" s="105">
        <v>35.14</v>
      </c>
      <c r="F1318" s="104"/>
      <c r="G1318" s="104" t="s">
        <v>315</v>
      </c>
    </row>
    <row r="1319" spans="2:7" ht="13">
      <c r="B1319" s="99" t="s">
        <v>457</v>
      </c>
      <c r="C1319" s="99" t="s">
        <v>444</v>
      </c>
      <c r="D1319" s="99"/>
      <c r="E1319" s="114">
        <f>19.6*5</f>
        <v>98</v>
      </c>
      <c r="F1319" s="104" t="s">
        <v>315</v>
      </c>
      <c r="G1319" s="104"/>
    </row>
    <row r="1320" spans="2:7" ht="13">
      <c r="B1320" s="99" t="s">
        <v>457</v>
      </c>
      <c r="C1320" s="99" t="s">
        <v>59</v>
      </c>
      <c r="D1320" s="99"/>
      <c r="E1320" s="114">
        <f>5382.44-E1321-E1322-E1323-E1324-E1326-E1325-E1327-E1328-E1329-E1330-E1331-E1332-E1333-E1334-E1335-E1336-E1337-E1338-E1339-77.28-E1340-E1341-E1342-E1343-E1344</f>
        <v>3655.679999999998</v>
      </c>
      <c r="F1320" s="104"/>
      <c r="G1320" s="104"/>
    </row>
    <row r="1321" spans="2:7" ht="13">
      <c r="B1321" s="99" t="s">
        <v>664</v>
      </c>
      <c r="C1321" s="99" t="s">
        <v>341</v>
      </c>
      <c r="D1321" s="99" t="s">
        <v>580</v>
      </c>
      <c r="E1321" s="114">
        <f>20.3+(20.71*2)</f>
        <v>61.72</v>
      </c>
      <c r="F1321" s="104"/>
      <c r="G1321" s="104" t="s">
        <v>315</v>
      </c>
    </row>
    <row r="1322" spans="2:7" ht="13">
      <c r="B1322" s="99" t="s">
        <v>161</v>
      </c>
      <c r="C1322" s="99" t="s">
        <v>62</v>
      </c>
      <c r="D1322" s="99" t="s">
        <v>580</v>
      </c>
      <c r="E1322" s="114">
        <f>30.85*2</f>
        <v>61.7</v>
      </c>
      <c r="F1322" s="104"/>
      <c r="G1322" s="104" t="s">
        <v>315</v>
      </c>
    </row>
    <row r="1323" spans="2:7" ht="13">
      <c r="B1323" s="99" t="s">
        <v>665</v>
      </c>
      <c r="C1323" s="99" t="s">
        <v>127</v>
      </c>
      <c r="D1323" s="99" t="s">
        <v>580</v>
      </c>
      <c r="E1323" s="114">
        <f>24.53*4</f>
        <v>98.12</v>
      </c>
      <c r="F1323" s="104"/>
      <c r="G1323" s="104" t="s">
        <v>315</v>
      </c>
    </row>
    <row r="1324" spans="2:7" ht="13">
      <c r="B1324" s="99" t="s">
        <v>457</v>
      </c>
      <c r="C1324" s="99" t="s">
        <v>553</v>
      </c>
      <c r="D1324" s="99"/>
      <c r="E1324" s="114">
        <f>31.32+(22.84*2)+27.9+41.85</f>
        <v>146.75</v>
      </c>
      <c r="F1324" s="104" t="s">
        <v>315</v>
      </c>
      <c r="G1324" s="104"/>
    </row>
    <row r="1325" spans="2:7" ht="13">
      <c r="B1325" s="99" t="s">
        <v>113</v>
      </c>
      <c r="C1325" s="99" t="s">
        <v>666</v>
      </c>
      <c r="D1325" s="99" t="s">
        <v>580</v>
      </c>
      <c r="E1325" s="114">
        <f>39.9+(49.39*2)+98.78+40.23+80.46+32.84+27.07+54.14+49.39</f>
        <v>521.59</v>
      </c>
      <c r="F1325" s="104"/>
      <c r="G1325" s="104" t="s">
        <v>315</v>
      </c>
    </row>
    <row r="1326" spans="2:7" ht="13">
      <c r="B1326" s="99" t="s">
        <v>113</v>
      </c>
      <c r="C1326" s="99" t="s">
        <v>667</v>
      </c>
      <c r="D1326" s="99" t="s">
        <v>580</v>
      </c>
      <c r="E1326" s="114">
        <f>29.42*2</f>
        <v>58.84</v>
      </c>
      <c r="F1326" s="104" t="s">
        <v>315</v>
      </c>
      <c r="G1326" s="104" t="s">
        <v>315</v>
      </c>
    </row>
    <row r="1327" spans="2:7" ht="13">
      <c r="B1327" s="99" t="s">
        <v>668</v>
      </c>
      <c r="C1327" s="99" t="s">
        <v>85</v>
      </c>
      <c r="D1327" s="99" t="s">
        <v>580</v>
      </c>
      <c r="E1327" s="114">
        <f>24.6</f>
        <v>24.6</v>
      </c>
      <c r="F1327" s="104"/>
      <c r="G1327" s="104" t="s">
        <v>315</v>
      </c>
    </row>
    <row r="1328" spans="2:7" ht="13">
      <c r="B1328" s="99" t="s">
        <v>457</v>
      </c>
      <c r="C1328" s="99" t="s">
        <v>669</v>
      </c>
      <c r="D1328" s="99"/>
      <c r="E1328" s="114">
        <f>15.79+19.18</f>
        <v>34.97</v>
      </c>
      <c r="F1328" s="104"/>
      <c r="G1328" s="104"/>
    </row>
    <row r="1329" spans="2:7" ht="13">
      <c r="B1329" s="99" t="s">
        <v>670</v>
      </c>
      <c r="C1329" s="99" t="s">
        <v>671</v>
      </c>
      <c r="D1329" s="99" t="s">
        <v>580</v>
      </c>
      <c r="E1329" s="105">
        <v>14.87</v>
      </c>
      <c r="F1329" s="104"/>
      <c r="G1329" s="104" t="s">
        <v>315</v>
      </c>
    </row>
    <row r="1330" spans="2:7" ht="13">
      <c r="B1330" s="99" t="s">
        <v>672</v>
      </c>
      <c r="C1330" s="99" t="s">
        <v>660</v>
      </c>
      <c r="D1330" s="99" t="s">
        <v>580</v>
      </c>
      <c r="E1330" s="105">
        <v>37.409999999999997</v>
      </c>
      <c r="F1330" s="104"/>
      <c r="G1330" s="104" t="s">
        <v>315</v>
      </c>
    </row>
    <row r="1331" spans="2:7" ht="13">
      <c r="B1331" s="99" t="s">
        <v>585</v>
      </c>
      <c r="C1331" s="99" t="s">
        <v>656</v>
      </c>
      <c r="D1331" s="99" t="s">
        <v>580</v>
      </c>
      <c r="E1331" s="114">
        <f>16.71+6.39+(10.22*3)</f>
        <v>53.760000000000005</v>
      </c>
      <c r="F1331" s="104"/>
      <c r="G1331" s="104" t="s">
        <v>315</v>
      </c>
    </row>
    <row r="1332" spans="2:7" ht="13">
      <c r="B1332" s="99" t="s">
        <v>158</v>
      </c>
      <c r="C1332" s="99" t="s">
        <v>159</v>
      </c>
      <c r="D1332" s="99" t="s">
        <v>580</v>
      </c>
      <c r="E1332" s="114">
        <f>18.79*2</f>
        <v>37.58</v>
      </c>
      <c r="F1332" s="104"/>
      <c r="G1332" s="104" t="s">
        <v>315</v>
      </c>
    </row>
    <row r="1333" spans="2:7" ht="13">
      <c r="B1333" s="99" t="s">
        <v>609</v>
      </c>
      <c r="C1333" s="99" t="s">
        <v>144</v>
      </c>
      <c r="D1333" s="99" t="s">
        <v>580</v>
      </c>
      <c r="E1333" s="105">
        <v>25.64</v>
      </c>
      <c r="F1333" s="104"/>
      <c r="G1333" s="104" t="s">
        <v>315</v>
      </c>
    </row>
    <row r="1334" spans="2:7" ht="13">
      <c r="B1334" s="99" t="s">
        <v>224</v>
      </c>
      <c r="C1334" s="99" t="s">
        <v>673</v>
      </c>
      <c r="D1334" s="99" t="s">
        <v>580</v>
      </c>
      <c r="E1334" s="114">
        <f>14.06</f>
        <v>14.06</v>
      </c>
      <c r="F1334" s="104"/>
      <c r="G1334" s="104" t="s">
        <v>315</v>
      </c>
    </row>
    <row r="1335" spans="2:7" ht="13">
      <c r="B1335" s="99" t="s">
        <v>457</v>
      </c>
      <c r="C1335" s="99" t="s">
        <v>444</v>
      </c>
      <c r="D1335" s="99"/>
      <c r="E1335" s="114">
        <f>21.05</f>
        <v>21.05</v>
      </c>
      <c r="F1335" s="104" t="s">
        <v>315</v>
      </c>
      <c r="G1335" s="104"/>
    </row>
    <row r="1336" spans="2:7" ht="13">
      <c r="B1336" s="99" t="s">
        <v>674</v>
      </c>
      <c r="C1336" s="99" t="s">
        <v>198</v>
      </c>
      <c r="D1336" s="99" t="s">
        <v>580</v>
      </c>
      <c r="E1336" s="114">
        <f>10.12*2</f>
        <v>20.239999999999998</v>
      </c>
      <c r="F1336" s="104"/>
      <c r="G1336" s="104" t="s">
        <v>315</v>
      </c>
    </row>
    <row r="1337" spans="2:7" ht="13">
      <c r="B1337" s="99" t="s">
        <v>659</v>
      </c>
      <c r="C1337" s="99" t="s">
        <v>172</v>
      </c>
      <c r="D1337" s="99" t="s">
        <v>580</v>
      </c>
      <c r="E1337" s="114">
        <f>16.8</f>
        <v>16.8</v>
      </c>
      <c r="F1337" s="104" t="s">
        <v>315</v>
      </c>
      <c r="G1337" s="104" t="s">
        <v>315</v>
      </c>
    </row>
    <row r="1338" spans="2:7" ht="13">
      <c r="B1338" s="99" t="s">
        <v>152</v>
      </c>
      <c r="C1338" s="99" t="s">
        <v>669</v>
      </c>
      <c r="D1338" s="99" t="s">
        <v>580</v>
      </c>
      <c r="E1338" s="114">
        <f>18.65*4</f>
        <v>74.599999999999994</v>
      </c>
      <c r="F1338" s="104" t="s">
        <v>315</v>
      </c>
      <c r="G1338" s="104" t="s">
        <v>315</v>
      </c>
    </row>
    <row r="1339" spans="2:7" ht="13">
      <c r="B1339" s="99" t="s">
        <v>162</v>
      </c>
      <c r="C1339" s="99" t="s">
        <v>330</v>
      </c>
      <c r="D1339" s="99" t="s">
        <v>580</v>
      </c>
      <c r="E1339" s="114">
        <f>36.3+18.15</f>
        <v>54.449999999999996</v>
      </c>
      <c r="F1339" s="104" t="s">
        <v>272</v>
      </c>
      <c r="G1339" s="104" t="s">
        <v>272</v>
      </c>
    </row>
    <row r="1340" spans="2:7" ht="13">
      <c r="B1340" s="99" t="s">
        <v>457</v>
      </c>
      <c r="C1340" s="99" t="s">
        <v>557</v>
      </c>
      <c r="D1340" s="99"/>
      <c r="E1340" s="114">
        <f>(25.29*2)+25.37</f>
        <v>75.95</v>
      </c>
      <c r="F1340" s="104" t="s">
        <v>315</v>
      </c>
      <c r="G1340" s="104"/>
    </row>
    <row r="1341" spans="2:7" ht="13">
      <c r="B1341" s="99" t="s">
        <v>457</v>
      </c>
      <c r="C1341" s="99" t="s">
        <v>613</v>
      </c>
      <c r="D1341" s="99"/>
      <c r="E1341" s="114">
        <f>31.89*2</f>
        <v>63.78</v>
      </c>
      <c r="F1341" s="104" t="s">
        <v>315</v>
      </c>
      <c r="G1341" s="104"/>
    </row>
    <row r="1342" spans="2:7" ht="13">
      <c r="B1342" s="99" t="s">
        <v>675</v>
      </c>
      <c r="C1342" s="99" t="s">
        <v>112</v>
      </c>
      <c r="D1342" s="99" t="s">
        <v>580</v>
      </c>
      <c r="E1342" s="114">
        <f>42.45</f>
        <v>42.45</v>
      </c>
      <c r="F1342" s="104" t="s">
        <v>315</v>
      </c>
      <c r="G1342" s="104" t="s">
        <v>315</v>
      </c>
    </row>
    <row r="1343" spans="2:7" ht="13">
      <c r="B1343" s="99" t="s">
        <v>457</v>
      </c>
      <c r="C1343" s="99" t="s">
        <v>59</v>
      </c>
      <c r="D1343" s="99" t="s">
        <v>551</v>
      </c>
      <c r="E1343" s="114">
        <f>22.19+43.54</f>
        <v>65.73</v>
      </c>
      <c r="F1343" s="104" t="s">
        <v>315</v>
      </c>
      <c r="G1343" s="104"/>
    </row>
    <row r="1344" spans="2:7" ht="13">
      <c r="B1344" s="99" t="s">
        <v>457</v>
      </c>
      <c r="C1344" s="99" t="s">
        <v>59</v>
      </c>
      <c r="D1344" s="99" t="s">
        <v>306</v>
      </c>
      <c r="E1344" s="105">
        <v>22.82</v>
      </c>
      <c r="F1344" s="104" t="s">
        <v>315</v>
      </c>
      <c r="G1344" s="104"/>
    </row>
    <row r="1345" spans="2:7" ht="13">
      <c r="B1345" s="99" t="s">
        <v>457</v>
      </c>
      <c r="C1345" s="99" t="s">
        <v>59</v>
      </c>
      <c r="D1345" s="99"/>
      <c r="E1345" s="114">
        <f>1183.42-E1346-E1347-E1348-E1349-E1350-E1351</f>
        <v>975.7800000000002</v>
      </c>
      <c r="F1345" s="104"/>
      <c r="G1345" s="104"/>
    </row>
    <row r="1346" spans="2:7" ht="13">
      <c r="B1346" s="99" t="s">
        <v>676</v>
      </c>
      <c r="C1346" s="99" t="s">
        <v>444</v>
      </c>
      <c r="D1346" s="99" t="s">
        <v>580</v>
      </c>
      <c r="E1346" s="114">
        <f>10.62</f>
        <v>10.62</v>
      </c>
      <c r="F1346" s="104" t="s">
        <v>315</v>
      </c>
      <c r="G1346" s="104"/>
    </row>
    <row r="1347" spans="2:7" ht="13">
      <c r="B1347" s="99" t="s">
        <v>677</v>
      </c>
      <c r="C1347" s="99" t="s">
        <v>678</v>
      </c>
      <c r="D1347" s="99" t="s">
        <v>580</v>
      </c>
      <c r="E1347" s="105">
        <v>49.66</v>
      </c>
      <c r="F1347" s="104"/>
      <c r="G1347" s="104" t="s">
        <v>315</v>
      </c>
    </row>
    <row r="1348" spans="2:7" ht="13">
      <c r="B1348" s="99" t="s">
        <v>206</v>
      </c>
      <c r="C1348" s="99" t="s">
        <v>207</v>
      </c>
      <c r="D1348" s="99" t="s">
        <v>580</v>
      </c>
      <c r="E1348" s="114">
        <f>17.02</f>
        <v>17.02</v>
      </c>
      <c r="F1348" s="104" t="s">
        <v>315</v>
      </c>
      <c r="G1348" s="104" t="s">
        <v>315</v>
      </c>
    </row>
    <row r="1349" spans="2:7" ht="13">
      <c r="B1349" s="99" t="s">
        <v>657</v>
      </c>
      <c r="C1349" s="99" t="s">
        <v>57</v>
      </c>
      <c r="D1349" s="99" t="s">
        <v>580</v>
      </c>
      <c r="E1349" s="114">
        <f>15.79*2</f>
        <v>31.58</v>
      </c>
      <c r="F1349" s="104"/>
      <c r="G1349" s="104" t="s">
        <v>315</v>
      </c>
    </row>
    <row r="1350" spans="2:7" ht="13">
      <c r="B1350" s="99" t="s">
        <v>662</v>
      </c>
      <c r="C1350" s="99" t="s">
        <v>552</v>
      </c>
      <c r="D1350" s="99" t="s">
        <v>580</v>
      </c>
      <c r="E1350" s="105">
        <v>77.040000000000006</v>
      </c>
      <c r="F1350" s="104" t="s">
        <v>315</v>
      </c>
      <c r="G1350" s="104" t="s">
        <v>315</v>
      </c>
    </row>
    <row r="1351" spans="2:7" ht="13">
      <c r="B1351" s="99" t="s">
        <v>679</v>
      </c>
      <c r="C1351" s="99" t="s">
        <v>552</v>
      </c>
      <c r="D1351" s="99" t="s">
        <v>580</v>
      </c>
      <c r="E1351" s="105">
        <v>21.72</v>
      </c>
      <c r="F1351" s="104" t="s">
        <v>315</v>
      </c>
      <c r="G1351" s="104" t="s">
        <v>315</v>
      </c>
    </row>
    <row r="1352" spans="2:7" ht="13">
      <c r="B1352" s="99" t="s">
        <v>457</v>
      </c>
      <c r="C1352" s="99" t="s">
        <v>59</v>
      </c>
      <c r="D1352" s="99"/>
      <c r="E1352" s="114">
        <f>546.43-E1353-E1354-E1355</f>
        <v>336.56999999999994</v>
      </c>
      <c r="F1352" s="104"/>
      <c r="G1352" s="104"/>
    </row>
    <row r="1353" spans="2:7" ht="13">
      <c r="B1353" s="99" t="s">
        <v>457</v>
      </c>
      <c r="C1353" s="99" t="s">
        <v>59</v>
      </c>
      <c r="D1353" s="99" t="s">
        <v>680</v>
      </c>
      <c r="E1353" s="114">
        <f>18.46*4</f>
        <v>73.84</v>
      </c>
      <c r="F1353" s="104" t="s">
        <v>315</v>
      </c>
      <c r="G1353" s="104"/>
    </row>
    <row r="1354" spans="2:7" ht="13">
      <c r="B1354" s="99" t="s">
        <v>121</v>
      </c>
      <c r="C1354" s="99" t="s">
        <v>57</v>
      </c>
      <c r="D1354" s="99" t="s">
        <v>580</v>
      </c>
      <c r="E1354" s="114">
        <f>16.24+(26.64*3)</f>
        <v>96.16</v>
      </c>
      <c r="F1354" s="104"/>
      <c r="G1354" s="104" t="s">
        <v>315</v>
      </c>
    </row>
    <row r="1355" spans="2:7" ht="13">
      <c r="B1355" s="99" t="s">
        <v>457</v>
      </c>
      <c r="C1355" s="99" t="s">
        <v>59</v>
      </c>
      <c r="D1355" s="99" t="s">
        <v>553</v>
      </c>
      <c r="E1355" s="114">
        <f>19.93*2</f>
        <v>39.86</v>
      </c>
      <c r="F1355" s="104" t="s">
        <v>315</v>
      </c>
      <c r="G1355" s="104"/>
    </row>
    <row r="1356" spans="2:7" ht="13">
      <c r="B1356" s="99" t="s">
        <v>457</v>
      </c>
      <c r="C1356" s="99" t="s">
        <v>59</v>
      </c>
      <c r="D1356" s="99" t="s">
        <v>553</v>
      </c>
      <c r="E1356" s="105">
        <v>91.36</v>
      </c>
      <c r="F1356" s="104" t="s">
        <v>315</v>
      </c>
      <c r="G1356" s="104"/>
    </row>
    <row r="1357" spans="2:7" ht="13">
      <c r="B1357" s="99" t="s">
        <v>457</v>
      </c>
      <c r="C1357" s="99" t="s">
        <v>59</v>
      </c>
      <c r="D1357" s="99" t="s">
        <v>681</v>
      </c>
      <c r="E1357" s="105">
        <v>31.96</v>
      </c>
      <c r="F1357" s="104" t="s">
        <v>315</v>
      </c>
      <c r="G1357" s="104"/>
    </row>
    <row r="1358" spans="2:7" ht="13">
      <c r="B1358" s="99" t="s">
        <v>457</v>
      </c>
      <c r="C1358" s="99" t="s">
        <v>59</v>
      </c>
      <c r="D1358" s="99"/>
      <c r="E1358" s="114">
        <f>225.88-E1356-E1357</f>
        <v>102.55999999999997</v>
      </c>
      <c r="F1358" s="104"/>
      <c r="G1358" s="104"/>
    </row>
    <row r="1359" spans="2:7" ht="13">
      <c r="B1359" s="99" t="s">
        <v>602</v>
      </c>
      <c r="C1359" s="99" t="s">
        <v>682</v>
      </c>
      <c r="D1359" s="99" t="s">
        <v>580</v>
      </c>
      <c r="E1359" s="114">
        <f>16.39*2</f>
        <v>32.78</v>
      </c>
      <c r="F1359" s="104" t="s">
        <v>315</v>
      </c>
      <c r="G1359" s="104" t="s">
        <v>315</v>
      </c>
    </row>
    <row r="1360" spans="2:7" ht="13">
      <c r="B1360" s="99" t="s">
        <v>457</v>
      </c>
      <c r="C1360" s="99" t="s">
        <v>59</v>
      </c>
      <c r="E1360" s="105">
        <v>34.24</v>
      </c>
      <c r="F1360" s="79"/>
      <c r="G1360" s="79"/>
    </row>
    <row r="1361" spans="2:7" ht="13">
      <c r="B1361" s="99" t="s">
        <v>457</v>
      </c>
      <c r="C1361" s="99" t="s">
        <v>459</v>
      </c>
      <c r="E1361" s="105">
        <v>57.3</v>
      </c>
      <c r="F1361" s="104" t="s">
        <v>315</v>
      </c>
      <c r="G1361" s="79"/>
    </row>
    <row r="1362" spans="2:7" ht="13">
      <c r="B1362" s="99" t="s">
        <v>457</v>
      </c>
      <c r="C1362" s="99" t="s">
        <v>59</v>
      </c>
      <c r="E1362" s="114">
        <f>1403.95-E1306-E1307-E1308-E1309-E1310-E1311-E1313-E1312-E1359</f>
        <v>961.85000000000014</v>
      </c>
      <c r="F1362" s="79"/>
      <c r="G1362" s="79"/>
    </row>
    <row r="1363" spans="2:7" ht="13">
      <c r="B1363" s="99" t="s">
        <v>462</v>
      </c>
      <c r="C1363" s="99" t="s">
        <v>557</v>
      </c>
      <c r="E1363" s="114">
        <f>219.66+86.72+89.42</f>
        <v>395.8</v>
      </c>
      <c r="F1363" s="104" t="s">
        <v>315</v>
      </c>
      <c r="G1363" s="104" t="s">
        <v>374</v>
      </c>
    </row>
    <row r="1364" spans="2:7" ht="13">
      <c r="B1364" s="99" t="s">
        <v>462</v>
      </c>
      <c r="C1364" s="99" t="s">
        <v>59</v>
      </c>
      <c r="E1364" s="114">
        <f>894.6-E1363</f>
        <v>498.8</v>
      </c>
      <c r="F1364" s="104" t="s">
        <v>374</v>
      </c>
      <c r="G1364" s="104" t="s">
        <v>374</v>
      </c>
    </row>
    <row r="1365" spans="2:7" ht="13">
      <c r="B1365" s="99" t="s">
        <v>106</v>
      </c>
      <c r="C1365" s="99" t="s">
        <v>341</v>
      </c>
      <c r="D1365" s="99" t="s">
        <v>105</v>
      </c>
      <c r="E1365" s="114">
        <f>30.05</f>
        <v>30.05</v>
      </c>
      <c r="F1365" s="104" t="s">
        <v>374</v>
      </c>
      <c r="G1365" s="104" t="s">
        <v>315</v>
      </c>
    </row>
    <row r="1366" spans="2:7" ht="13">
      <c r="B1366" s="99" t="s">
        <v>106</v>
      </c>
      <c r="C1366" s="99" t="s">
        <v>341</v>
      </c>
      <c r="D1366" s="99" t="s">
        <v>105</v>
      </c>
      <c r="E1366" s="105">
        <v>305.25</v>
      </c>
      <c r="F1366" s="104" t="s">
        <v>374</v>
      </c>
      <c r="G1366" s="104" t="s">
        <v>315</v>
      </c>
    </row>
    <row r="1367" spans="2:7" ht="13">
      <c r="B1367" s="99" t="s">
        <v>106</v>
      </c>
      <c r="C1367" s="99" t="s">
        <v>341</v>
      </c>
      <c r="D1367" s="99" t="s">
        <v>105</v>
      </c>
      <c r="E1367" s="105">
        <v>699.65</v>
      </c>
      <c r="F1367" s="104" t="s">
        <v>374</v>
      </c>
      <c r="G1367" s="104" t="s">
        <v>315</v>
      </c>
    </row>
    <row r="1368" spans="2:7" ht="13">
      <c r="B1368" s="99" t="s">
        <v>106</v>
      </c>
      <c r="C1368" s="99" t="s">
        <v>341</v>
      </c>
      <c r="D1368" s="99" t="s">
        <v>105</v>
      </c>
      <c r="E1368" s="105">
        <v>122.48</v>
      </c>
      <c r="F1368" s="104" t="s">
        <v>374</v>
      </c>
      <c r="G1368" s="104" t="s">
        <v>315</v>
      </c>
    </row>
    <row r="1369" spans="2:7" ht="13">
      <c r="B1369" s="99" t="s">
        <v>119</v>
      </c>
      <c r="C1369" s="99" t="s">
        <v>62</v>
      </c>
      <c r="D1369" s="99" t="s">
        <v>683</v>
      </c>
      <c r="E1369" s="105">
        <v>372.66</v>
      </c>
      <c r="F1369" s="104" t="s">
        <v>315</v>
      </c>
      <c r="G1369" s="104" t="s">
        <v>315</v>
      </c>
    </row>
    <row r="1370" spans="2:7" ht="13">
      <c r="B1370" s="99" t="s">
        <v>684</v>
      </c>
      <c r="C1370" s="99" t="s">
        <v>62</v>
      </c>
      <c r="E1370" s="105">
        <v>430.92</v>
      </c>
      <c r="F1370" s="104" t="s">
        <v>374</v>
      </c>
      <c r="G1370" s="104" t="s">
        <v>374</v>
      </c>
    </row>
    <row r="1371" spans="2:7" ht="13">
      <c r="B1371" s="99" t="s">
        <v>684</v>
      </c>
      <c r="C1371" s="99" t="s">
        <v>62</v>
      </c>
      <c r="E1371" s="114">
        <f>300.84</f>
        <v>300.83999999999997</v>
      </c>
      <c r="F1371" s="104" t="s">
        <v>374</v>
      </c>
      <c r="G1371" s="104" t="s">
        <v>374</v>
      </c>
    </row>
    <row r="1372" spans="2:7" ht="13">
      <c r="B1372" s="99" t="s">
        <v>684</v>
      </c>
      <c r="C1372" s="99" t="s">
        <v>62</v>
      </c>
      <c r="E1372" s="114">
        <f>441.15</f>
        <v>441.15</v>
      </c>
      <c r="F1372" s="104" t="s">
        <v>374</v>
      </c>
      <c r="G1372" s="104" t="s">
        <v>374</v>
      </c>
    </row>
    <row r="1373" spans="2:7" ht="13">
      <c r="B1373" s="99" t="s">
        <v>110</v>
      </c>
      <c r="C1373" s="99" t="s">
        <v>341</v>
      </c>
      <c r="D1373" s="99" t="s">
        <v>105</v>
      </c>
      <c r="E1373" s="105">
        <v>128.6</v>
      </c>
      <c r="F1373" s="104" t="s">
        <v>374</v>
      </c>
      <c r="G1373" s="104" t="s">
        <v>315</v>
      </c>
    </row>
    <row r="1374" spans="2:7" ht="13">
      <c r="B1374" s="99" t="s">
        <v>110</v>
      </c>
      <c r="C1374" s="99" t="s">
        <v>341</v>
      </c>
      <c r="D1374" s="99" t="s">
        <v>105</v>
      </c>
      <c r="E1374" s="114">
        <f>54.3</f>
        <v>54.3</v>
      </c>
      <c r="F1374" s="104" t="s">
        <v>374</v>
      </c>
      <c r="G1374" s="104" t="s">
        <v>315</v>
      </c>
    </row>
    <row r="1375" spans="2:7" ht="13">
      <c r="B1375" s="99" t="s">
        <v>110</v>
      </c>
      <c r="C1375" s="99" t="s">
        <v>341</v>
      </c>
      <c r="D1375" s="99" t="s">
        <v>105</v>
      </c>
      <c r="E1375" s="105">
        <v>149.1</v>
      </c>
      <c r="F1375" s="104" t="s">
        <v>374</v>
      </c>
      <c r="G1375" s="104" t="s">
        <v>315</v>
      </c>
    </row>
    <row r="1376" spans="2:7" ht="13">
      <c r="B1376" s="99" t="s">
        <v>110</v>
      </c>
      <c r="C1376" s="99" t="s">
        <v>341</v>
      </c>
      <c r="D1376" s="99" t="s">
        <v>105</v>
      </c>
      <c r="E1376" s="105">
        <v>160.05000000000001</v>
      </c>
      <c r="F1376" s="104" t="s">
        <v>374</v>
      </c>
      <c r="G1376" s="104" t="s">
        <v>315</v>
      </c>
    </row>
    <row r="1377" spans="2:7" ht="13">
      <c r="B1377" s="99" t="s">
        <v>110</v>
      </c>
      <c r="C1377" s="99" t="s">
        <v>341</v>
      </c>
      <c r="D1377" s="99" t="s">
        <v>105</v>
      </c>
      <c r="E1377" s="105">
        <v>65</v>
      </c>
      <c r="F1377" s="104" t="s">
        <v>374</v>
      </c>
      <c r="G1377" s="104" t="s">
        <v>315</v>
      </c>
    </row>
    <row r="1378" spans="2:7" ht="13">
      <c r="B1378" s="99" t="s">
        <v>685</v>
      </c>
      <c r="C1378" s="99" t="s">
        <v>112</v>
      </c>
      <c r="E1378" s="105">
        <v>156.4</v>
      </c>
      <c r="F1378" s="104" t="s">
        <v>315</v>
      </c>
      <c r="G1378" s="104" t="s">
        <v>374</v>
      </c>
    </row>
    <row r="1379" spans="2:7" ht="13">
      <c r="B1379" s="99" t="s">
        <v>685</v>
      </c>
      <c r="C1379" s="99" t="s">
        <v>66</v>
      </c>
      <c r="E1379" s="105">
        <f>355.85-E1378</f>
        <v>199.45000000000002</v>
      </c>
      <c r="F1379" s="104" t="s">
        <v>374</v>
      </c>
      <c r="G1379" s="104" t="s">
        <v>374</v>
      </c>
    </row>
    <row r="1380" spans="2:7" ht="13">
      <c r="B1380" s="99" t="s">
        <v>115</v>
      </c>
      <c r="C1380" s="99" t="s">
        <v>686</v>
      </c>
      <c r="D1380" s="99" t="s">
        <v>687</v>
      </c>
      <c r="E1380" s="105">
        <v>360</v>
      </c>
      <c r="F1380" s="104" t="s">
        <v>374</v>
      </c>
      <c r="G1380" s="104" t="s">
        <v>315</v>
      </c>
    </row>
    <row r="1381" spans="2:7" ht="13">
      <c r="B1381" s="99" t="s">
        <v>685</v>
      </c>
      <c r="C1381" s="99" t="s">
        <v>66</v>
      </c>
      <c r="E1381" s="114">
        <f>215.04+58.04+110</f>
        <v>383.08</v>
      </c>
      <c r="F1381" s="104" t="s">
        <v>374</v>
      </c>
      <c r="G1381" s="104" t="s">
        <v>374</v>
      </c>
    </row>
    <row r="1382" spans="2:7" ht="13">
      <c r="B1382" s="99" t="s">
        <v>685</v>
      </c>
      <c r="C1382" s="99" t="s">
        <v>688</v>
      </c>
      <c r="E1382" s="105">
        <v>9</v>
      </c>
      <c r="F1382" s="104" t="s">
        <v>315</v>
      </c>
      <c r="G1382" s="104" t="s">
        <v>374</v>
      </c>
    </row>
    <row r="1383" spans="2:7" ht="13">
      <c r="B1383" s="99" t="s">
        <v>145</v>
      </c>
      <c r="C1383" s="99" t="s">
        <v>70</v>
      </c>
      <c r="D1383" s="99" t="s">
        <v>689</v>
      </c>
      <c r="E1383" s="105">
        <v>149.25</v>
      </c>
      <c r="F1383" s="104" t="s">
        <v>374</v>
      </c>
      <c r="G1383" s="104" t="s">
        <v>315</v>
      </c>
    </row>
    <row r="1384" spans="2:7" ht="13">
      <c r="B1384" s="99" t="s">
        <v>685</v>
      </c>
      <c r="C1384" s="99" t="s">
        <v>66</v>
      </c>
      <c r="E1384" s="105">
        <v>138.69</v>
      </c>
      <c r="F1384" s="104" t="s">
        <v>374</v>
      </c>
      <c r="G1384" s="104" t="s">
        <v>374</v>
      </c>
    </row>
    <row r="1385" spans="2:7" ht="13">
      <c r="B1385" s="99" t="s">
        <v>181</v>
      </c>
      <c r="C1385" s="99" t="s">
        <v>169</v>
      </c>
      <c r="D1385" s="99" t="s">
        <v>687</v>
      </c>
      <c r="E1385" s="105">
        <v>34.380000000000003</v>
      </c>
      <c r="F1385" s="104" t="s">
        <v>374</v>
      </c>
      <c r="G1385" s="104" t="s">
        <v>315</v>
      </c>
    </row>
    <row r="1386" spans="2:7" ht="13">
      <c r="B1386" s="99" t="s">
        <v>685</v>
      </c>
      <c r="C1386" s="99" t="s">
        <v>66</v>
      </c>
      <c r="E1386" s="105">
        <v>325.26</v>
      </c>
      <c r="F1386" s="104" t="s">
        <v>374</v>
      </c>
      <c r="G1386" s="104" t="s">
        <v>374</v>
      </c>
    </row>
    <row r="1387" spans="2:7" ht="13">
      <c r="B1387" s="99" t="s">
        <v>685</v>
      </c>
      <c r="C1387" s="99" t="s">
        <v>66</v>
      </c>
      <c r="E1387" s="105">
        <v>161.54</v>
      </c>
      <c r="F1387" s="104" t="s">
        <v>374</v>
      </c>
      <c r="G1387" s="104" t="s">
        <v>374</v>
      </c>
    </row>
    <row r="1388" spans="2:7" ht="13">
      <c r="B1388" s="99" t="s">
        <v>685</v>
      </c>
      <c r="C1388" s="99" t="s">
        <v>66</v>
      </c>
      <c r="E1388" s="105">
        <v>206.38</v>
      </c>
      <c r="F1388" s="104" t="s">
        <v>374</v>
      </c>
      <c r="G1388" s="104" t="s">
        <v>374</v>
      </c>
    </row>
    <row r="1389" spans="2:7" ht="13">
      <c r="B1389" s="99" t="s">
        <v>115</v>
      </c>
      <c r="C1389" s="99" t="s">
        <v>116</v>
      </c>
      <c r="D1389" s="99" t="s">
        <v>690</v>
      </c>
      <c r="E1389" s="105">
        <v>121.5</v>
      </c>
      <c r="F1389" s="104" t="s">
        <v>374</v>
      </c>
      <c r="G1389" s="104" t="s">
        <v>315</v>
      </c>
    </row>
    <row r="1390" spans="2:7" ht="13">
      <c r="B1390" s="99" t="s">
        <v>685</v>
      </c>
      <c r="C1390" s="99" t="s">
        <v>66</v>
      </c>
      <c r="E1390" s="105">
        <v>1023.52</v>
      </c>
      <c r="F1390" s="104" t="s">
        <v>374</v>
      </c>
      <c r="G1390" s="104" t="s">
        <v>374</v>
      </c>
    </row>
    <row r="1391" spans="2:7" ht="13">
      <c r="B1391" s="99" t="s">
        <v>685</v>
      </c>
      <c r="C1391" s="99" t="s">
        <v>66</v>
      </c>
      <c r="E1391" s="105">
        <v>270</v>
      </c>
      <c r="F1391" s="104" t="s">
        <v>374</v>
      </c>
      <c r="G1391" s="104" t="s">
        <v>374</v>
      </c>
    </row>
    <row r="1392" spans="2:7" ht="13">
      <c r="B1392" s="99" t="s">
        <v>685</v>
      </c>
      <c r="C1392" s="99" t="s">
        <v>66</v>
      </c>
      <c r="E1392" s="105">
        <v>376.02</v>
      </c>
      <c r="F1392" s="104" t="s">
        <v>374</v>
      </c>
      <c r="G1392" s="104" t="s">
        <v>374</v>
      </c>
    </row>
    <row r="1393" spans="1:26" ht="13">
      <c r="B1393" s="99" t="s">
        <v>685</v>
      </c>
      <c r="C1393" s="99" t="s">
        <v>66</v>
      </c>
      <c r="E1393" s="105">
        <v>85.72</v>
      </c>
      <c r="F1393" s="104" t="s">
        <v>374</v>
      </c>
      <c r="G1393" s="104" t="s">
        <v>374</v>
      </c>
    </row>
    <row r="1394" spans="1:26" ht="13">
      <c r="B1394" s="99" t="s">
        <v>685</v>
      </c>
      <c r="C1394" s="99" t="s">
        <v>97</v>
      </c>
      <c r="D1394" s="99" t="s">
        <v>691</v>
      </c>
      <c r="E1394" s="105">
        <v>296</v>
      </c>
      <c r="F1394" s="104" t="s">
        <v>315</v>
      </c>
      <c r="G1394" s="104" t="s">
        <v>315</v>
      </c>
    </row>
    <row r="1395" spans="1:26" ht="13">
      <c r="A1395" s="49"/>
      <c r="B1395" s="49"/>
      <c r="C1395" s="49"/>
      <c r="D1395" s="41" t="s">
        <v>692</v>
      </c>
      <c r="E1395" s="119">
        <f>SUM(E1169:E1394)</f>
        <v>70162.190000000017</v>
      </c>
      <c r="F1395" s="135"/>
      <c r="G1395" s="135"/>
      <c r="H1395" s="119">
        <f>E1344+E1342+E1293+E1291+E1281+E1270+E1265+E1259+E1256+E1250+E1244+E1225+E1222+E1220+E1211+E1206+E1194+SUM(E1169:E1177)</f>
        <v>15966.5</v>
      </c>
      <c r="I1395" s="119">
        <f>E1267+E1253</f>
        <v>479.47</v>
      </c>
      <c r="J1395" s="119">
        <f>E1382+E1341</f>
        <v>72.78</v>
      </c>
      <c r="K1395" s="119">
        <f>E1263+E1230+E1227+E1210+E1201+E1195</f>
        <v>739.31999999999994</v>
      </c>
      <c r="L1395" s="49"/>
      <c r="M1395" s="119">
        <f>E1268+E1254+E1209</f>
        <v>801.68</v>
      </c>
      <c r="N1395" s="119">
        <f>E1369+E1338+E1283+E1278+E1243+E123</f>
        <v>1787.26</v>
      </c>
      <c r="O1395" s="119">
        <f>E1269+E1255+E1242+E1245+E1232+E1216+E1207+E1193</f>
        <v>3985.57</v>
      </c>
      <c r="P1395" s="119">
        <f>E1332+E1276</f>
        <v>52</v>
      </c>
      <c r="Q1395" s="119">
        <f>E1356+E1355+E1353+E1343+E1324+E1317+E1279+E1273+E1251+E1237+E1218+E1196</f>
        <v>1535.3300000000002</v>
      </c>
      <c r="R1395" s="49"/>
      <c r="S1395" s="49"/>
      <c r="T1395" s="49"/>
      <c r="U1395" s="49"/>
      <c r="V1395" s="49"/>
      <c r="W1395" s="49"/>
      <c r="X1395" s="49"/>
      <c r="Y1395" s="49"/>
      <c r="Z1395" s="49"/>
    </row>
    <row r="1396" spans="1:26" ht="13">
      <c r="A1396" s="99" t="s">
        <v>693</v>
      </c>
      <c r="B1396" s="99" t="s">
        <v>134</v>
      </c>
      <c r="C1396" s="99" t="s">
        <v>306</v>
      </c>
      <c r="E1396" s="105">
        <v>692.05</v>
      </c>
      <c r="F1396" s="104" t="s">
        <v>315</v>
      </c>
      <c r="G1396" s="104" t="s">
        <v>374</v>
      </c>
    </row>
    <row r="1397" spans="1:26" ht="13">
      <c r="B1397" s="99" t="s">
        <v>134</v>
      </c>
      <c r="C1397" s="99" t="s">
        <v>306</v>
      </c>
      <c r="E1397" s="114">
        <f>193.93</f>
        <v>193.93</v>
      </c>
      <c r="F1397" s="104" t="s">
        <v>315</v>
      </c>
      <c r="G1397" s="104" t="s">
        <v>374</v>
      </c>
    </row>
    <row r="1398" spans="1:26" ht="13">
      <c r="B1398" s="99" t="s">
        <v>134</v>
      </c>
      <c r="C1398" s="99" t="s">
        <v>306</v>
      </c>
      <c r="E1398" s="114">
        <f>776.19</f>
        <v>776.19</v>
      </c>
      <c r="F1398" s="104" t="s">
        <v>315</v>
      </c>
      <c r="G1398" s="104" t="s">
        <v>374</v>
      </c>
    </row>
    <row r="1399" spans="1:26" ht="13">
      <c r="B1399" s="99" t="s">
        <v>134</v>
      </c>
      <c r="C1399" s="99" t="s">
        <v>306</v>
      </c>
      <c r="E1399" s="105">
        <v>23.58</v>
      </c>
      <c r="F1399" s="104" t="s">
        <v>315</v>
      </c>
      <c r="G1399" s="104" t="s">
        <v>374</v>
      </c>
    </row>
    <row r="1400" spans="1:26" ht="13">
      <c r="B1400" s="99" t="s">
        <v>134</v>
      </c>
      <c r="C1400" s="99" t="s">
        <v>306</v>
      </c>
      <c r="E1400" s="105">
        <v>1003.55</v>
      </c>
      <c r="F1400" s="104" t="s">
        <v>315</v>
      </c>
      <c r="G1400" s="104" t="s">
        <v>374</v>
      </c>
    </row>
    <row r="1401" spans="1:26" ht="13">
      <c r="B1401" s="99" t="s">
        <v>134</v>
      </c>
      <c r="C1401" s="99" t="s">
        <v>306</v>
      </c>
      <c r="E1401" s="114">
        <f>5054.64-36.31-76.44</f>
        <v>4941.8900000000003</v>
      </c>
      <c r="F1401" s="104" t="s">
        <v>315</v>
      </c>
      <c r="G1401" s="104" t="s">
        <v>374</v>
      </c>
    </row>
    <row r="1402" spans="1:26" ht="13">
      <c r="B1402" s="99" t="s">
        <v>134</v>
      </c>
      <c r="C1402" s="99" t="s">
        <v>306</v>
      </c>
      <c r="D1402" s="99" t="s">
        <v>694</v>
      </c>
      <c r="E1402" s="114">
        <f>36.31+76.44</f>
        <v>112.75</v>
      </c>
      <c r="F1402" s="104" t="s">
        <v>315</v>
      </c>
      <c r="G1402" s="104" t="s">
        <v>315</v>
      </c>
    </row>
    <row r="1403" spans="1:26" ht="13">
      <c r="B1403" s="99" t="s">
        <v>134</v>
      </c>
      <c r="C1403" s="99" t="s">
        <v>306</v>
      </c>
      <c r="E1403" s="105">
        <v>704.46</v>
      </c>
      <c r="F1403" s="104" t="s">
        <v>315</v>
      </c>
      <c r="G1403" s="104" t="s">
        <v>374</v>
      </c>
    </row>
    <row r="1404" spans="1:26" ht="13">
      <c r="B1404" s="99" t="s">
        <v>134</v>
      </c>
      <c r="C1404" s="99" t="s">
        <v>306</v>
      </c>
      <c r="D1404" s="99" t="s">
        <v>695</v>
      </c>
      <c r="E1404" s="105">
        <v>96.2</v>
      </c>
      <c r="F1404" s="104" t="s">
        <v>315</v>
      </c>
      <c r="G1404" s="104" t="s">
        <v>315</v>
      </c>
    </row>
    <row r="1405" spans="1:26" ht="13">
      <c r="B1405" s="99" t="s">
        <v>134</v>
      </c>
      <c r="C1405" s="99" t="s">
        <v>306</v>
      </c>
      <c r="E1405" s="114">
        <f>2316.23-E1404</f>
        <v>2220.0300000000002</v>
      </c>
      <c r="F1405" s="104" t="s">
        <v>374</v>
      </c>
      <c r="G1405" s="104" t="s">
        <v>374</v>
      </c>
    </row>
    <row r="1406" spans="1:26" ht="13">
      <c r="B1406" s="99" t="s">
        <v>134</v>
      </c>
      <c r="C1406" s="99" t="s">
        <v>306</v>
      </c>
      <c r="E1406" s="114">
        <f>142.84</f>
        <v>142.84</v>
      </c>
      <c r="F1406" s="104" t="s">
        <v>374</v>
      </c>
      <c r="G1406" s="104" t="s">
        <v>374</v>
      </c>
    </row>
    <row r="1407" spans="1:26" ht="13">
      <c r="B1407" s="99" t="s">
        <v>134</v>
      </c>
      <c r="C1407" s="99" t="s">
        <v>306</v>
      </c>
      <c r="E1407" s="105">
        <v>429.47</v>
      </c>
      <c r="F1407" s="104" t="s">
        <v>374</v>
      </c>
      <c r="G1407" s="104" t="s">
        <v>374</v>
      </c>
    </row>
    <row r="1408" spans="1:26" ht="13">
      <c r="B1408" s="99" t="s">
        <v>89</v>
      </c>
      <c r="C1408" s="99" t="s">
        <v>57</v>
      </c>
      <c r="D1408" s="99" t="s">
        <v>105</v>
      </c>
      <c r="E1408" s="105">
        <v>27.96</v>
      </c>
      <c r="F1408" s="104" t="s">
        <v>374</v>
      </c>
      <c r="G1408" s="104" t="s">
        <v>315</v>
      </c>
    </row>
    <row r="1409" spans="2:7" ht="13">
      <c r="B1409" s="99" t="s">
        <v>89</v>
      </c>
      <c r="C1409" s="99" t="s">
        <v>57</v>
      </c>
      <c r="D1409" s="99" t="s">
        <v>105</v>
      </c>
      <c r="E1409" s="105">
        <v>149.28</v>
      </c>
      <c r="F1409" s="104" t="s">
        <v>374</v>
      </c>
      <c r="G1409" s="104" t="s">
        <v>315</v>
      </c>
    </row>
    <row r="1410" spans="2:7" ht="13">
      <c r="B1410" s="99" t="s">
        <v>89</v>
      </c>
      <c r="C1410" s="99" t="s">
        <v>57</v>
      </c>
      <c r="D1410" s="99" t="s">
        <v>105</v>
      </c>
      <c r="E1410" s="105">
        <v>130.09</v>
      </c>
      <c r="F1410" s="104" t="s">
        <v>374</v>
      </c>
      <c r="G1410" s="104" t="s">
        <v>315</v>
      </c>
    </row>
    <row r="1411" spans="2:7" ht="13">
      <c r="B1411" s="99" t="s">
        <v>89</v>
      </c>
      <c r="C1411" s="99" t="s">
        <v>57</v>
      </c>
      <c r="D1411" s="99" t="s">
        <v>105</v>
      </c>
      <c r="E1411" s="105">
        <v>429.5</v>
      </c>
      <c r="F1411" s="104" t="s">
        <v>374</v>
      </c>
      <c r="G1411" s="104" t="s">
        <v>315</v>
      </c>
    </row>
    <row r="1412" spans="2:7" ht="13">
      <c r="B1412" s="99" t="s">
        <v>89</v>
      </c>
      <c r="C1412" s="99" t="s">
        <v>57</v>
      </c>
      <c r="D1412" s="99" t="s">
        <v>105</v>
      </c>
      <c r="E1412" s="105">
        <v>112.88</v>
      </c>
      <c r="F1412" s="104" t="s">
        <v>374</v>
      </c>
      <c r="G1412" s="104" t="s">
        <v>315</v>
      </c>
    </row>
    <row r="1413" spans="2:7" ht="13">
      <c r="B1413" s="99" t="s">
        <v>89</v>
      </c>
      <c r="C1413" s="99" t="s">
        <v>57</v>
      </c>
      <c r="D1413" s="99" t="s">
        <v>105</v>
      </c>
      <c r="E1413" s="105">
        <v>263.83999999999997</v>
      </c>
      <c r="F1413" s="104" t="s">
        <v>374</v>
      </c>
      <c r="G1413" s="104" t="s">
        <v>315</v>
      </c>
    </row>
    <row r="1414" spans="2:7" ht="13">
      <c r="B1414" s="99" t="s">
        <v>89</v>
      </c>
      <c r="C1414" s="99" t="s">
        <v>57</v>
      </c>
      <c r="D1414" s="99" t="s">
        <v>105</v>
      </c>
      <c r="E1414" s="105">
        <v>55.92</v>
      </c>
      <c r="F1414" s="104" t="s">
        <v>374</v>
      </c>
      <c r="G1414" s="104" t="s">
        <v>315</v>
      </c>
    </row>
    <row r="1415" spans="2:7" ht="13">
      <c r="B1415" s="99" t="s">
        <v>89</v>
      </c>
      <c r="C1415" s="99" t="s">
        <v>57</v>
      </c>
      <c r="D1415" s="99" t="s">
        <v>105</v>
      </c>
      <c r="E1415" s="114">
        <f>108.64</f>
        <v>108.64</v>
      </c>
      <c r="F1415" s="104" t="s">
        <v>374</v>
      </c>
      <c r="G1415" s="104" t="s">
        <v>315</v>
      </c>
    </row>
    <row r="1416" spans="2:7" ht="13">
      <c r="B1416" s="99" t="s">
        <v>89</v>
      </c>
      <c r="C1416" s="99" t="s">
        <v>57</v>
      </c>
      <c r="D1416" s="99" t="s">
        <v>105</v>
      </c>
      <c r="E1416" s="105">
        <v>99.19</v>
      </c>
      <c r="F1416" s="104" t="s">
        <v>374</v>
      </c>
      <c r="G1416" s="104" t="s">
        <v>315</v>
      </c>
    </row>
    <row r="1417" spans="2:7" ht="13">
      <c r="B1417" s="99" t="s">
        <v>89</v>
      </c>
      <c r="C1417" s="99" t="s">
        <v>57</v>
      </c>
      <c r="D1417" s="99" t="s">
        <v>105</v>
      </c>
      <c r="E1417" s="105">
        <v>350.6</v>
      </c>
      <c r="F1417" s="104" t="s">
        <v>374</v>
      </c>
      <c r="G1417" s="104" t="s">
        <v>315</v>
      </c>
    </row>
    <row r="1418" spans="2:7" ht="13">
      <c r="B1418" s="99" t="s">
        <v>83</v>
      </c>
      <c r="C1418" s="99" t="s">
        <v>59</v>
      </c>
      <c r="E1418" s="105">
        <v>373.42</v>
      </c>
      <c r="F1418" s="104" t="s">
        <v>374</v>
      </c>
      <c r="G1418" s="104" t="s">
        <v>374</v>
      </c>
    </row>
    <row r="1419" spans="2:7" ht="13">
      <c r="B1419" s="99" t="s">
        <v>55</v>
      </c>
      <c r="C1419" s="99" t="s">
        <v>57</v>
      </c>
      <c r="D1419" s="99" t="s">
        <v>449</v>
      </c>
      <c r="E1419" s="114">
        <f>127.76</f>
        <v>127.76</v>
      </c>
      <c r="F1419" s="104" t="s">
        <v>315</v>
      </c>
      <c r="G1419" s="104" t="s">
        <v>374</v>
      </c>
    </row>
    <row r="1420" spans="2:7" ht="13">
      <c r="B1420" s="99" t="s">
        <v>55</v>
      </c>
      <c r="C1420" s="99" t="s">
        <v>63</v>
      </c>
      <c r="E1420" s="105">
        <v>97.55</v>
      </c>
      <c r="F1420" s="104" t="s">
        <v>374</v>
      </c>
      <c r="G1420" s="104" t="s">
        <v>374</v>
      </c>
    </row>
    <row r="1421" spans="2:7" ht="13">
      <c r="B1421" s="99" t="s">
        <v>55</v>
      </c>
      <c r="C1421" s="99" t="s">
        <v>62</v>
      </c>
      <c r="E1421" s="114">
        <f>483.58</f>
        <v>483.58</v>
      </c>
      <c r="F1421" s="104" t="s">
        <v>374</v>
      </c>
      <c r="G1421" s="104" t="s">
        <v>374</v>
      </c>
    </row>
    <row r="1422" spans="2:7" ht="13">
      <c r="B1422" s="99" t="s">
        <v>55</v>
      </c>
      <c r="C1422" s="99" t="s">
        <v>59</v>
      </c>
      <c r="E1422" s="114">
        <f>412.07</f>
        <v>412.07</v>
      </c>
      <c r="F1422" s="104" t="s">
        <v>374</v>
      </c>
      <c r="G1422" s="104" t="s">
        <v>374</v>
      </c>
    </row>
    <row r="1423" spans="2:7" ht="13">
      <c r="B1423" s="99" t="s">
        <v>696</v>
      </c>
      <c r="C1423" s="99" t="s">
        <v>697</v>
      </c>
      <c r="D1423" s="99" t="s">
        <v>640</v>
      </c>
      <c r="E1423" s="105">
        <v>130.1</v>
      </c>
      <c r="F1423" s="104" t="s">
        <v>315</v>
      </c>
      <c r="G1423" s="104" t="s">
        <v>315</v>
      </c>
    </row>
    <row r="1424" spans="2:7" ht="13">
      <c r="B1424" s="99" t="s">
        <v>55</v>
      </c>
      <c r="C1424" s="99" t="s">
        <v>66</v>
      </c>
      <c r="E1424" s="105">
        <v>781.05</v>
      </c>
      <c r="F1424" s="104" t="s">
        <v>374</v>
      </c>
      <c r="G1424" s="104" t="s">
        <v>374</v>
      </c>
    </row>
    <row r="1425" spans="2:7" ht="13">
      <c r="B1425" s="99" t="s">
        <v>55</v>
      </c>
      <c r="C1425" s="99" t="s">
        <v>63</v>
      </c>
      <c r="D1425" s="99" t="s">
        <v>306</v>
      </c>
      <c r="E1425" s="105">
        <v>27.56</v>
      </c>
      <c r="F1425" s="104" t="s">
        <v>315</v>
      </c>
      <c r="G1425" s="104" t="s">
        <v>374</v>
      </c>
    </row>
    <row r="1426" spans="2:7" ht="13">
      <c r="B1426" s="99" t="s">
        <v>55</v>
      </c>
      <c r="C1426" s="99" t="s">
        <v>63</v>
      </c>
      <c r="E1426" s="114">
        <f>241.99-E1425</f>
        <v>214.43</v>
      </c>
      <c r="F1426" s="104" t="s">
        <v>374</v>
      </c>
      <c r="G1426" s="104" t="s">
        <v>374</v>
      </c>
    </row>
    <row r="1427" spans="2:7" ht="13">
      <c r="B1427" s="99" t="s">
        <v>55</v>
      </c>
      <c r="C1427" s="99" t="s">
        <v>62</v>
      </c>
      <c r="E1427" s="114">
        <f>50.04</f>
        <v>50.04</v>
      </c>
      <c r="F1427" s="104" t="s">
        <v>374</v>
      </c>
      <c r="G1427" s="104" t="s">
        <v>374</v>
      </c>
    </row>
    <row r="1428" spans="2:7" ht="13">
      <c r="B1428" s="99" t="s">
        <v>55</v>
      </c>
      <c r="C1428" s="99" t="s">
        <v>59</v>
      </c>
      <c r="D1428" s="99" t="s">
        <v>647</v>
      </c>
      <c r="E1428" s="114">
        <f>19.66+44.34</f>
        <v>64</v>
      </c>
      <c r="F1428" s="104" t="s">
        <v>315</v>
      </c>
      <c r="G1428" s="104" t="s">
        <v>374</v>
      </c>
    </row>
    <row r="1429" spans="2:7" ht="13">
      <c r="B1429" s="99" t="s">
        <v>55</v>
      </c>
      <c r="C1429" s="99" t="s">
        <v>59</v>
      </c>
      <c r="D1429" s="99" t="s">
        <v>444</v>
      </c>
      <c r="E1429" s="114">
        <f>28.5+58.53</f>
        <v>87.03</v>
      </c>
      <c r="F1429" s="104" t="s">
        <v>315</v>
      </c>
      <c r="G1429" s="104" t="s">
        <v>374</v>
      </c>
    </row>
    <row r="1430" spans="2:7" ht="13">
      <c r="B1430" s="99" t="s">
        <v>55</v>
      </c>
      <c r="C1430" s="99" t="s">
        <v>59</v>
      </c>
      <c r="D1430" s="99" t="s">
        <v>441</v>
      </c>
      <c r="E1430" s="114">
        <f>86.54+37.42+12.68+65.62+67.84</f>
        <v>270.10000000000002</v>
      </c>
      <c r="F1430" s="104" t="s">
        <v>315</v>
      </c>
      <c r="G1430" s="104" t="s">
        <v>374</v>
      </c>
    </row>
    <row r="1431" spans="2:7" ht="13">
      <c r="B1431" s="99" t="s">
        <v>55</v>
      </c>
      <c r="C1431" s="99" t="s">
        <v>59</v>
      </c>
      <c r="D1431" s="99" t="s">
        <v>306</v>
      </c>
      <c r="E1431" s="114">
        <f>55.52+27.82+29.1</f>
        <v>112.44</v>
      </c>
      <c r="F1431" s="104" t="s">
        <v>315</v>
      </c>
      <c r="G1431" s="104" t="s">
        <v>374</v>
      </c>
    </row>
    <row r="1432" spans="2:7" ht="13">
      <c r="B1432" s="99" t="s">
        <v>55</v>
      </c>
      <c r="C1432" s="99" t="s">
        <v>59</v>
      </c>
      <c r="E1432" s="114">
        <f>852.8-E1431-E1430-E1429-E1428</f>
        <v>319.2299999999999</v>
      </c>
      <c r="F1432" s="104" t="s">
        <v>374</v>
      </c>
      <c r="G1432" s="104" t="s">
        <v>374</v>
      </c>
    </row>
    <row r="1433" spans="2:7" ht="13">
      <c r="B1433" s="99" t="s">
        <v>55</v>
      </c>
      <c r="C1433" s="99" t="s">
        <v>57</v>
      </c>
      <c r="E1433" s="114">
        <f>266.34</f>
        <v>266.33999999999997</v>
      </c>
      <c r="F1433" s="104" t="s">
        <v>374</v>
      </c>
      <c r="G1433" s="104" t="s">
        <v>374</v>
      </c>
    </row>
    <row r="1434" spans="2:7" ht="13">
      <c r="B1434" s="99" t="s">
        <v>55</v>
      </c>
      <c r="C1434" s="99" t="s">
        <v>97</v>
      </c>
      <c r="E1434" s="105">
        <v>48.71</v>
      </c>
      <c r="F1434" s="104" t="s">
        <v>374</v>
      </c>
      <c r="G1434" s="104" t="s">
        <v>374</v>
      </c>
    </row>
    <row r="1435" spans="2:7" ht="13">
      <c r="B1435" s="99" t="s">
        <v>55</v>
      </c>
      <c r="C1435" s="99" t="s">
        <v>59</v>
      </c>
      <c r="E1435" s="105">
        <v>218.28</v>
      </c>
      <c r="F1435" s="79"/>
      <c r="G1435" s="79"/>
    </row>
    <row r="1436" spans="2:7" ht="13">
      <c r="B1436" s="99" t="s">
        <v>55</v>
      </c>
      <c r="C1436" s="99" t="s">
        <v>57</v>
      </c>
      <c r="D1436" s="99" t="s">
        <v>553</v>
      </c>
      <c r="E1436" s="105">
        <v>35.979999999999997</v>
      </c>
      <c r="F1436" s="104" t="s">
        <v>315</v>
      </c>
      <c r="G1436" s="79"/>
    </row>
    <row r="1437" spans="2:7" ht="13">
      <c r="B1437" s="99" t="s">
        <v>55</v>
      </c>
      <c r="C1437" s="99" t="s">
        <v>57</v>
      </c>
      <c r="D1437" s="99" t="s">
        <v>698</v>
      </c>
      <c r="E1437" s="105">
        <v>32.06</v>
      </c>
      <c r="F1437" s="79"/>
      <c r="G1437" s="104" t="s">
        <v>315</v>
      </c>
    </row>
    <row r="1438" spans="2:7" ht="13">
      <c r="B1438" s="99" t="s">
        <v>55</v>
      </c>
      <c r="C1438" s="99" t="s">
        <v>57</v>
      </c>
      <c r="E1438" s="114">
        <f>99.04-E1437-E1436</f>
        <v>31.000000000000007</v>
      </c>
      <c r="F1438" s="79"/>
      <c r="G1438" s="79"/>
    </row>
    <row r="1439" spans="2:7" ht="13">
      <c r="B1439" s="99" t="s">
        <v>55</v>
      </c>
      <c r="C1439" s="99" t="s">
        <v>62</v>
      </c>
      <c r="E1439" s="105">
        <v>127</v>
      </c>
      <c r="F1439" s="79"/>
      <c r="G1439" s="79"/>
    </row>
    <row r="1440" spans="2:7" ht="13">
      <c r="B1440" s="99" t="s">
        <v>55</v>
      </c>
      <c r="C1440" s="99" t="s">
        <v>59</v>
      </c>
      <c r="D1440" s="99" t="s">
        <v>440</v>
      </c>
      <c r="E1440" s="105">
        <v>42.56</v>
      </c>
      <c r="F1440" s="104" t="s">
        <v>315</v>
      </c>
      <c r="G1440" s="79"/>
    </row>
    <row r="1441" spans="2:7" ht="13">
      <c r="B1441" s="99" t="s">
        <v>55</v>
      </c>
      <c r="C1441" s="99" t="s">
        <v>59</v>
      </c>
      <c r="D1441" s="99" t="s">
        <v>306</v>
      </c>
      <c r="E1441" s="105">
        <v>47.58</v>
      </c>
      <c r="F1441" s="104" t="s">
        <v>315</v>
      </c>
      <c r="G1441" s="79"/>
    </row>
    <row r="1442" spans="2:7" ht="13">
      <c r="B1442" s="99" t="s">
        <v>55</v>
      </c>
      <c r="C1442" s="99" t="s">
        <v>66</v>
      </c>
      <c r="E1442" s="105">
        <v>163.78</v>
      </c>
      <c r="F1442" s="79"/>
      <c r="G1442" s="79"/>
    </row>
    <row r="1443" spans="2:7" ht="13">
      <c r="B1443" s="99" t="s">
        <v>55</v>
      </c>
      <c r="C1443" s="99" t="s">
        <v>70</v>
      </c>
      <c r="E1443" s="105">
        <v>152.12</v>
      </c>
      <c r="F1443" s="79"/>
      <c r="G1443" s="79"/>
    </row>
    <row r="1444" spans="2:7" ht="13">
      <c r="B1444" s="99" t="s">
        <v>55</v>
      </c>
      <c r="C1444" s="99" t="s">
        <v>97</v>
      </c>
      <c r="D1444" s="99" t="s">
        <v>306</v>
      </c>
      <c r="E1444" s="114">
        <f>18.82+30.44</f>
        <v>49.260000000000005</v>
      </c>
      <c r="F1444" s="104" t="s">
        <v>315</v>
      </c>
      <c r="G1444" s="79"/>
    </row>
    <row r="1445" spans="2:7" ht="13">
      <c r="B1445" s="99" t="s">
        <v>55</v>
      </c>
      <c r="C1445" s="99" t="s">
        <v>63</v>
      </c>
      <c r="E1445" s="114">
        <f>128.06-E1444</f>
        <v>78.8</v>
      </c>
      <c r="F1445" s="79"/>
      <c r="G1445" s="79"/>
    </row>
    <row r="1446" spans="2:7" ht="13">
      <c r="B1446" s="99" t="s">
        <v>55</v>
      </c>
      <c r="C1446" s="99" t="s">
        <v>59</v>
      </c>
      <c r="D1446" s="99" t="s">
        <v>441</v>
      </c>
      <c r="E1446" s="114">
        <f>117.77+49.94+65.62</f>
        <v>233.32999999999998</v>
      </c>
      <c r="F1446" s="104" t="s">
        <v>315</v>
      </c>
      <c r="G1446" s="79"/>
    </row>
    <row r="1447" spans="2:7" ht="13">
      <c r="B1447" s="99" t="s">
        <v>55</v>
      </c>
      <c r="C1447" s="99" t="s">
        <v>59</v>
      </c>
      <c r="D1447" s="99" t="s">
        <v>306</v>
      </c>
      <c r="E1447" s="114">
        <f>87.31+35.9+19.47+13.91+33.88</f>
        <v>190.47</v>
      </c>
      <c r="F1447" s="104" t="s">
        <v>315</v>
      </c>
      <c r="G1447" s="79"/>
    </row>
    <row r="1448" spans="2:7" ht="13">
      <c r="B1448" s="99" t="s">
        <v>55</v>
      </c>
      <c r="C1448" s="99" t="s">
        <v>59</v>
      </c>
      <c r="D1448" s="99" t="s">
        <v>444</v>
      </c>
      <c r="E1448" s="105">
        <v>41.37</v>
      </c>
      <c r="F1448" s="104" t="s">
        <v>315</v>
      </c>
      <c r="G1448" s="79"/>
    </row>
    <row r="1449" spans="2:7" ht="13">
      <c r="B1449" s="99" t="s">
        <v>55</v>
      </c>
      <c r="C1449" s="99" t="s">
        <v>59</v>
      </c>
      <c r="D1449" s="99" t="s">
        <v>446</v>
      </c>
      <c r="E1449" s="105">
        <v>16.3</v>
      </c>
      <c r="F1449" s="104" t="s">
        <v>315</v>
      </c>
      <c r="G1449" s="79"/>
    </row>
    <row r="1450" spans="2:7" ht="13">
      <c r="B1450" s="99" t="s">
        <v>55</v>
      </c>
      <c r="C1450" s="99" t="s">
        <v>59</v>
      </c>
      <c r="E1450" s="114">
        <f>588.98-E1446-E1447-E1448-E1449</f>
        <v>107.51000000000003</v>
      </c>
      <c r="F1450" s="79"/>
      <c r="G1450" s="79"/>
    </row>
    <row r="1451" spans="2:7" ht="13">
      <c r="B1451" s="99" t="s">
        <v>55</v>
      </c>
      <c r="C1451" s="99" t="s">
        <v>57</v>
      </c>
      <c r="E1451" s="105">
        <v>526.12</v>
      </c>
      <c r="F1451" s="79"/>
      <c r="G1451" s="79"/>
    </row>
    <row r="1452" spans="2:7" ht="13">
      <c r="B1452" s="99" t="s">
        <v>55</v>
      </c>
      <c r="C1452" s="99" t="s">
        <v>112</v>
      </c>
      <c r="D1452" s="99" t="s">
        <v>699</v>
      </c>
      <c r="E1452" s="105">
        <v>78.06</v>
      </c>
      <c r="F1452" s="104" t="s">
        <v>315</v>
      </c>
      <c r="G1452" s="104" t="s">
        <v>315</v>
      </c>
    </row>
    <row r="1453" spans="2:7" ht="13">
      <c r="B1453" s="99" t="s">
        <v>55</v>
      </c>
      <c r="C1453" s="99" t="s">
        <v>66</v>
      </c>
      <c r="E1453" s="105">
        <v>187.32</v>
      </c>
      <c r="F1453" s="79"/>
      <c r="G1453" s="79"/>
    </row>
    <row r="1454" spans="2:7" ht="13">
      <c r="B1454" s="99" t="s">
        <v>55</v>
      </c>
      <c r="C1454" s="99" t="s">
        <v>59</v>
      </c>
      <c r="D1454" s="99" t="s">
        <v>446</v>
      </c>
      <c r="E1454" s="105">
        <v>14.9</v>
      </c>
      <c r="F1454" s="104" t="s">
        <v>315</v>
      </c>
      <c r="G1454" s="79"/>
    </row>
    <row r="1455" spans="2:7" ht="13">
      <c r="B1455" s="99" t="s">
        <v>55</v>
      </c>
      <c r="C1455" s="99" t="s">
        <v>63</v>
      </c>
      <c r="E1455" s="105">
        <v>35.4</v>
      </c>
      <c r="F1455" s="79"/>
      <c r="G1455" s="79"/>
    </row>
    <row r="1456" spans="2:7" ht="13">
      <c r="B1456" s="99" t="s">
        <v>55</v>
      </c>
      <c r="C1456" s="99" t="s">
        <v>66</v>
      </c>
      <c r="D1456" s="99" t="s">
        <v>700</v>
      </c>
      <c r="E1456" s="105">
        <v>123.18</v>
      </c>
      <c r="F1456" s="79"/>
      <c r="G1456" s="104" t="s">
        <v>315</v>
      </c>
    </row>
    <row r="1457" spans="2:7" ht="13">
      <c r="B1457" s="99" t="s">
        <v>55</v>
      </c>
      <c r="C1457" s="99" t="s">
        <v>66</v>
      </c>
      <c r="D1457" s="99" t="s">
        <v>701</v>
      </c>
      <c r="E1457" s="105">
        <v>249.78</v>
      </c>
      <c r="F1457" s="79"/>
      <c r="G1457" s="104" t="s">
        <v>315</v>
      </c>
    </row>
    <row r="1458" spans="2:7" ht="13">
      <c r="B1458" s="99" t="s">
        <v>55</v>
      </c>
      <c r="C1458" s="99" t="s">
        <v>66</v>
      </c>
      <c r="E1458" s="114">
        <f>3251.34-E1456-E1457</f>
        <v>2878.38</v>
      </c>
      <c r="F1458" s="79"/>
      <c r="G1458" s="79"/>
    </row>
    <row r="1459" spans="2:7" ht="13">
      <c r="B1459" s="99" t="s">
        <v>55</v>
      </c>
      <c r="C1459" s="99" t="s">
        <v>70</v>
      </c>
      <c r="E1459" s="105">
        <v>910.83</v>
      </c>
      <c r="F1459" s="79"/>
      <c r="G1459" s="79"/>
    </row>
    <row r="1460" spans="2:7" ht="13">
      <c r="B1460" s="99" t="s">
        <v>55</v>
      </c>
      <c r="C1460" s="99" t="s">
        <v>63</v>
      </c>
      <c r="D1460" s="99" t="s">
        <v>306</v>
      </c>
      <c r="E1460" s="114">
        <f>123.12+110.24+46.18+153.54+44.1+28.74+76.77+27.26+51.72+68.66+57.62+75.45</f>
        <v>863.40000000000009</v>
      </c>
      <c r="F1460" s="104" t="s">
        <v>315</v>
      </c>
      <c r="G1460" s="79"/>
    </row>
    <row r="1461" spans="2:7" ht="13">
      <c r="B1461" s="99" t="s">
        <v>55</v>
      </c>
      <c r="C1461" s="99" t="s">
        <v>63</v>
      </c>
      <c r="E1461" s="114">
        <f>1508.85-E1460</f>
        <v>645.44999999999982</v>
      </c>
      <c r="F1461" s="79"/>
      <c r="G1461" s="79"/>
    </row>
    <row r="1462" spans="2:7" ht="13">
      <c r="B1462" s="99" t="s">
        <v>55</v>
      </c>
      <c r="C1462" s="99" t="s">
        <v>59</v>
      </c>
      <c r="D1462" s="99" t="s">
        <v>444</v>
      </c>
      <c r="E1462" s="114">
        <f>57+30.82+41.37+76.36+34.34</f>
        <v>239.89000000000001</v>
      </c>
      <c r="F1462" s="104" t="s">
        <v>315</v>
      </c>
      <c r="G1462" s="79"/>
    </row>
    <row r="1463" spans="2:7" ht="13">
      <c r="B1463" s="99" t="s">
        <v>55</v>
      </c>
      <c r="C1463" s="99" t="s">
        <v>59</v>
      </c>
      <c r="D1463" s="99" t="s">
        <v>441</v>
      </c>
      <c r="E1463" s="114">
        <f>30.26+30.95+15.9+37.48+101.16+37.16+49.94+46.04+229.67</f>
        <v>578.56000000000006</v>
      </c>
      <c r="F1463" s="104" t="s">
        <v>315</v>
      </c>
      <c r="G1463" s="79"/>
    </row>
    <row r="1464" spans="2:7" ht="13">
      <c r="B1464" s="99" t="s">
        <v>55</v>
      </c>
      <c r="C1464" s="99" t="s">
        <v>59</v>
      </c>
      <c r="D1464" s="99" t="s">
        <v>446</v>
      </c>
      <c r="E1464" s="114">
        <f>32.6+79.6+59.6+45.66</f>
        <v>217.45999999999998</v>
      </c>
      <c r="F1464" s="104" t="s">
        <v>315</v>
      </c>
      <c r="G1464" s="79"/>
    </row>
    <row r="1465" spans="2:7" ht="13">
      <c r="B1465" s="99" t="s">
        <v>55</v>
      </c>
      <c r="C1465" s="99" t="s">
        <v>59</v>
      </c>
      <c r="D1465" s="99" t="s">
        <v>306</v>
      </c>
      <c r="E1465" s="114">
        <f>81.69+119.9+58.41+46.38</f>
        <v>306.38</v>
      </c>
      <c r="F1465" s="104" t="s">
        <v>315</v>
      </c>
      <c r="G1465" s="79"/>
    </row>
    <row r="1466" spans="2:7" ht="13">
      <c r="B1466" s="99" t="s">
        <v>55</v>
      </c>
      <c r="C1466" s="99" t="s">
        <v>59</v>
      </c>
      <c r="D1466" s="99" t="s">
        <v>647</v>
      </c>
      <c r="E1466" s="114">
        <f>10.89+24.64</f>
        <v>35.53</v>
      </c>
      <c r="F1466" s="104" t="s">
        <v>315</v>
      </c>
      <c r="G1466" s="79"/>
    </row>
    <row r="1467" spans="2:7" ht="13">
      <c r="B1467" s="99" t="s">
        <v>55</v>
      </c>
      <c r="C1467" s="99" t="s">
        <v>59</v>
      </c>
      <c r="E1467" s="114">
        <f>1859.53-E1462-E1463-E1464-E1465-E1466</f>
        <v>481.70999999999992</v>
      </c>
      <c r="F1467" s="79"/>
      <c r="G1467" s="79"/>
    </row>
    <row r="1468" spans="2:7" ht="13">
      <c r="B1468" s="99" t="s">
        <v>55</v>
      </c>
      <c r="C1468" s="99" t="s">
        <v>57</v>
      </c>
      <c r="E1468" s="105">
        <v>1850.82</v>
      </c>
      <c r="F1468" s="79"/>
      <c r="G1468" s="79"/>
    </row>
    <row r="1469" spans="2:7" ht="13">
      <c r="B1469" s="99" t="s">
        <v>55</v>
      </c>
      <c r="C1469" s="99" t="s">
        <v>306</v>
      </c>
      <c r="D1469" s="99" t="s">
        <v>702</v>
      </c>
      <c r="E1469" s="105">
        <v>139.65</v>
      </c>
      <c r="F1469" s="104" t="s">
        <v>315</v>
      </c>
      <c r="G1469" s="104" t="s">
        <v>315</v>
      </c>
    </row>
    <row r="1470" spans="2:7" ht="13">
      <c r="B1470" s="99" t="s">
        <v>55</v>
      </c>
      <c r="C1470" s="99" t="s">
        <v>306</v>
      </c>
      <c r="D1470" s="99" t="s">
        <v>703</v>
      </c>
      <c r="E1470" s="105">
        <v>338.26</v>
      </c>
      <c r="F1470" s="104" t="s">
        <v>315</v>
      </c>
      <c r="G1470" s="104" t="s">
        <v>315</v>
      </c>
    </row>
    <row r="1471" spans="2:7" ht="13">
      <c r="B1471" s="99" t="s">
        <v>55</v>
      </c>
      <c r="C1471" s="99" t="s">
        <v>57</v>
      </c>
      <c r="E1471" s="114">
        <f>40.09</f>
        <v>40.090000000000003</v>
      </c>
      <c r="F1471" s="79"/>
      <c r="G1471" s="79"/>
    </row>
    <row r="1472" spans="2:7" ht="13">
      <c r="B1472" s="99" t="s">
        <v>55</v>
      </c>
      <c r="C1472" s="99" t="s">
        <v>63</v>
      </c>
      <c r="E1472" s="114">
        <f>92.36</f>
        <v>92.36</v>
      </c>
      <c r="F1472" s="79"/>
      <c r="G1472" s="79"/>
    </row>
    <row r="1473" spans="2:7" ht="13">
      <c r="B1473" s="99" t="s">
        <v>55</v>
      </c>
      <c r="C1473" s="99" t="s">
        <v>59</v>
      </c>
      <c r="E1473" s="114">
        <f>322.18</f>
        <v>322.18</v>
      </c>
      <c r="F1473" s="79"/>
      <c r="G1473" s="79"/>
    </row>
    <row r="1474" spans="2:7" ht="13">
      <c r="B1474" s="99" t="s">
        <v>55</v>
      </c>
      <c r="C1474" s="99" t="s">
        <v>63</v>
      </c>
      <c r="E1474" s="114">
        <f>28.98</f>
        <v>28.98</v>
      </c>
      <c r="F1474" s="79"/>
      <c r="G1474" s="79"/>
    </row>
    <row r="1475" spans="2:7" ht="13">
      <c r="B1475" s="99" t="s">
        <v>55</v>
      </c>
      <c r="C1475" s="99" t="s">
        <v>62</v>
      </c>
      <c r="D1475" s="99" t="s">
        <v>649</v>
      </c>
      <c r="E1475" s="105">
        <v>50.52</v>
      </c>
      <c r="F1475" s="104" t="s">
        <v>315</v>
      </c>
      <c r="G1475" s="79"/>
    </row>
    <row r="1476" spans="2:7" ht="13">
      <c r="B1476" s="99" t="s">
        <v>55</v>
      </c>
      <c r="C1476" s="99" t="s">
        <v>59</v>
      </c>
      <c r="E1476" s="105">
        <v>256.2</v>
      </c>
      <c r="F1476" s="79"/>
      <c r="G1476" s="79"/>
    </row>
    <row r="1477" spans="2:7" ht="13">
      <c r="B1477" s="99" t="s">
        <v>55</v>
      </c>
      <c r="C1477" s="99" t="s">
        <v>57</v>
      </c>
      <c r="D1477" s="99" t="s">
        <v>704</v>
      </c>
      <c r="E1477" s="105">
        <v>16.03</v>
      </c>
      <c r="F1477" s="79"/>
      <c r="G1477" s="104" t="s">
        <v>315</v>
      </c>
    </row>
    <row r="1478" spans="2:7" ht="13">
      <c r="B1478" s="99" t="s">
        <v>55</v>
      </c>
      <c r="C1478" s="99" t="s">
        <v>57</v>
      </c>
      <c r="E1478" s="114">
        <f>90.25-E1477</f>
        <v>74.22</v>
      </c>
      <c r="F1478" s="79"/>
      <c r="G1478" s="79"/>
    </row>
    <row r="1479" spans="2:7" ht="13">
      <c r="B1479" s="99" t="s">
        <v>55</v>
      </c>
      <c r="C1479" s="99" t="s">
        <v>66</v>
      </c>
      <c r="E1479" s="105">
        <v>1431.6</v>
      </c>
      <c r="F1479" s="79"/>
      <c r="G1479" s="79"/>
    </row>
    <row r="1480" spans="2:7" ht="13">
      <c r="B1480" s="99" t="s">
        <v>55</v>
      </c>
      <c r="C1480" s="99" t="s">
        <v>63</v>
      </c>
      <c r="D1480" s="99" t="s">
        <v>306</v>
      </c>
      <c r="E1480" s="114">
        <f>22.05+28.81</f>
        <v>50.86</v>
      </c>
      <c r="F1480" s="104" t="s">
        <v>315</v>
      </c>
      <c r="G1480" s="79"/>
    </row>
    <row r="1481" spans="2:7" ht="13">
      <c r="B1481" s="99" t="s">
        <v>55</v>
      </c>
      <c r="C1481" s="99" t="s">
        <v>63</v>
      </c>
      <c r="E1481" s="114">
        <f>99.55-E1480</f>
        <v>48.69</v>
      </c>
      <c r="F1481" s="79"/>
      <c r="G1481" s="79"/>
    </row>
    <row r="1482" spans="2:7" ht="13">
      <c r="B1482" s="99" t="s">
        <v>55</v>
      </c>
      <c r="C1482" s="99" t="s">
        <v>59</v>
      </c>
      <c r="D1482" s="99" t="s">
        <v>446</v>
      </c>
      <c r="E1482" s="114">
        <f>24.84</f>
        <v>24.84</v>
      </c>
      <c r="F1482" s="104" t="s">
        <v>315</v>
      </c>
      <c r="G1482" s="79"/>
    </row>
    <row r="1483" spans="2:7" ht="13">
      <c r="B1483" s="99" t="s">
        <v>55</v>
      </c>
      <c r="C1483" s="99" t="s">
        <v>59</v>
      </c>
      <c r="D1483" s="99" t="s">
        <v>306</v>
      </c>
      <c r="E1483" s="114">
        <f>63.14+33.88+30.86</f>
        <v>127.88000000000001</v>
      </c>
      <c r="F1483" s="104" t="s">
        <v>315</v>
      </c>
      <c r="G1483" s="79"/>
    </row>
    <row r="1484" spans="2:7" ht="13">
      <c r="B1484" s="99" t="s">
        <v>55</v>
      </c>
      <c r="C1484" s="99" t="s">
        <v>59</v>
      </c>
      <c r="D1484" s="99" t="s">
        <v>556</v>
      </c>
      <c r="E1484" s="114">
        <f>9.4+33.53+23.02</f>
        <v>65.95</v>
      </c>
      <c r="F1484" s="104" t="s">
        <v>315</v>
      </c>
      <c r="G1484" s="79"/>
    </row>
    <row r="1485" spans="2:7" ht="13">
      <c r="B1485" s="99" t="s">
        <v>55</v>
      </c>
      <c r="C1485" s="99" t="s">
        <v>59</v>
      </c>
      <c r="D1485" s="99" t="s">
        <v>441</v>
      </c>
      <c r="E1485" s="114">
        <f>65.62</f>
        <v>65.62</v>
      </c>
      <c r="F1485" s="104" t="s">
        <v>315</v>
      </c>
      <c r="G1485" s="79"/>
    </row>
    <row r="1486" spans="2:7" ht="13">
      <c r="B1486" s="99" t="s">
        <v>55</v>
      </c>
      <c r="C1486" s="99" t="s">
        <v>59</v>
      </c>
      <c r="E1486" s="114">
        <f>335.79-E1485-E1484-E1483-E1482</f>
        <v>51.500000000000014</v>
      </c>
      <c r="F1486" s="79"/>
      <c r="G1486" s="79"/>
    </row>
    <row r="1487" spans="2:7" ht="13">
      <c r="B1487" s="99" t="s">
        <v>55</v>
      </c>
      <c r="C1487" s="99" t="s">
        <v>57</v>
      </c>
      <c r="E1487" s="114">
        <f>640.79</f>
        <v>640.79</v>
      </c>
      <c r="F1487" s="79"/>
      <c r="G1487" s="79"/>
    </row>
    <row r="1488" spans="2:7" ht="13">
      <c r="B1488" s="99" t="s">
        <v>55</v>
      </c>
      <c r="C1488" s="99" t="s">
        <v>306</v>
      </c>
      <c r="D1488" s="99" t="s">
        <v>699</v>
      </c>
      <c r="E1488" s="105">
        <v>78.06</v>
      </c>
      <c r="F1488" s="104" t="s">
        <v>315</v>
      </c>
      <c r="G1488" s="104" t="s">
        <v>315</v>
      </c>
    </row>
    <row r="1489" spans="2:7" ht="13">
      <c r="B1489" s="99" t="s">
        <v>55</v>
      </c>
      <c r="C1489" s="99" t="s">
        <v>97</v>
      </c>
      <c r="D1489" s="99" t="s">
        <v>63</v>
      </c>
      <c r="E1489" s="114">
        <f>227.62</f>
        <v>227.62</v>
      </c>
      <c r="F1489" s="104" t="s">
        <v>315</v>
      </c>
      <c r="G1489" s="79"/>
    </row>
    <row r="1490" spans="2:7" ht="13">
      <c r="B1490" s="99" t="s">
        <v>55</v>
      </c>
      <c r="C1490" s="99" t="s">
        <v>62</v>
      </c>
      <c r="D1490" s="99" t="s">
        <v>683</v>
      </c>
      <c r="E1490" s="105">
        <v>134.72</v>
      </c>
      <c r="F1490" s="104" t="s">
        <v>315</v>
      </c>
      <c r="G1490" s="79"/>
    </row>
    <row r="1491" spans="2:7" ht="13">
      <c r="B1491" s="99" t="s">
        <v>55</v>
      </c>
      <c r="C1491" s="99" t="s">
        <v>62</v>
      </c>
      <c r="E1491" s="114">
        <f>257.15-E1490</f>
        <v>122.42999999999998</v>
      </c>
      <c r="F1491" s="79"/>
      <c r="G1491" s="79"/>
    </row>
    <row r="1492" spans="2:7" ht="13">
      <c r="B1492" s="99" t="s">
        <v>55</v>
      </c>
      <c r="C1492" s="99" t="s">
        <v>59</v>
      </c>
      <c r="D1492" s="99" t="s">
        <v>306</v>
      </c>
      <c r="E1492" s="105">
        <v>36.200000000000003</v>
      </c>
      <c r="F1492" s="104" t="s">
        <v>315</v>
      </c>
      <c r="G1492" s="79"/>
    </row>
    <row r="1493" spans="2:7" ht="13">
      <c r="B1493" s="99" t="s">
        <v>55</v>
      </c>
      <c r="C1493" s="99" t="s">
        <v>59</v>
      </c>
      <c r="E1493" s="114">
        <f>640.92-E1492</f>
        <v>604.71999999999991</v>
      </c>
      <c r="F1493" s="79"/>
      <c r="G1493" s="79"/>
    </row>
    <row r="1494" spans="2:7" ht="13">
      <c r="B1494" s="99" t="s">
        <v>55</v>
      </c>
      <c r="C1494" s="99" t="s">
        <v>306</v>
      </c>
      <c r="E1494" s="114">
        <f>86.62</f>
        <v>86.62</v>
      </c>
      <c r="F1494" s="79"/>
      <c r="G1494" s="79"/>
    </row>
    <row r="1495" spans="2:7" ht="13">
      <c r="B1495" s="99" t="s">
        <v>55</v>
      </c>
      <c r="C1495" s="99" t="s">
        <v>57</v>
      </c>
      <c r="E1495" s="114">
        <f>91.6</f>
        <v>91.6</v>
      </c>
      <c r="F1495" s="79"/>
      <c r="G1495" s="79"/>
    </row>
    <row r="1496" spans="2:7" ht="13">
      <c r="B1496" s="99" t="s">
        <v>55</v>
      </c>
      <c r="C1496" s="99" t="s">
        <v>63</v>
      </c>
      <c r="E1496" s="105">
        <v>21.15</v>
      </c>
      <c r="F1496" s="79"/>
      <c r="G1496" s="79"/>
    </row>
    <row r="1497" spans="2:7" ht="13">
      <c r="B1497" s="99" t="s">
        <v>55</v>
      </c>
      <c r="C1497" s="99" t="s">
        <v>62</v>
      </c>
      <c r="D1497" s="99" t="s">
        <v>683</v>
      </c>
      <c r="E1497" s="114">
        <f>173.88</f>
        <v>173.88</v>
      </c>
      <c r="F1497" s="104" t="s">
        <v>315</v>
      </c>
      <c r="G1497" s="79"/>
    </row>
    <row r="1498" spans="2:7" ht="13">
      <c r="B1498" s="99" t="s">
        <v>55</v>
      </c>
      <c r="C1498" s="99" t="s">
        <v>62</v>
      </c>
      <c r="E1498" s="114">
        <f>382.2-E1497</f>
        <v>208.32</v>
      </c>
      <c r="F1498" s="79"/>
      <c r="G1498" s="79"/>
    </row>
    <row r="1499" spans="2:7" ht="13">
      <c r="B1499" s="99" t="s">
        <v>55</v>
      </c>
      <c r="C1499" s="99" t="s">
        <v>59</v>
      </c>
      <c r="D1499" s="99" t="s">
        <v>306</v>
      </c>
      <c r="E1499" s="114">
        <f>14.55</f>
        <v>14.55</v>
      </c>
      <c r="F1499" s="104" t="s">
        <v>315</v>
      </c>
      <c r="G1499" s="79"/>
    </row>
    <row r="1500" spans="2:7" ht="13">
      <c r="B1500" s="99" t="s">
        <v>55</v>
      </c>
      <c r="C1500" s="99" t="s">
        <v>59</v>
      </c>
      <c r="E1500" s="114">
        <f>326.85-E1499</f>
        <v>312.3</v>
      </c>
      <c r="F1500" s="79"/>
      <c r="G1500" s="79"/>
    </row>
    <row r="1501" spans="2:7" ht="13">
      <c r="B1501" s="99" t="s">
        <v>55</v>
      </c>
      <c r="C1501" s="99" t="s">
        <v>57</v>
      </c>
      <c r="D1501" s="99" t="s">
        <v>553</v>
      </c>
      <c r="E1501" s="105">
        <v>36.520000000000003</v>
      </c>
      <c r="F1501" s="104" t="s">
        <v>315</v>
      </c>
      <c r="G1501" s="79"/>
    </row>
    <row r="1502" spans="2:7" ht="13">
      <c r="B1502" s="99" t="s">
        <v>55</v>
      </c>
      <c r="C1502" s="99" t="s">
        <v>57</v>
      </c>
      <c r="E1502" s="114">
        <f>54.59</f>
        <v>54.59</v>
      </c>
      <c r="F1502" s="79"/>
      <c r="G1502" s="79"/>
    </row>
    <row r="1503" spans="2:7" ht="13">
      <c r="B1503" s="99" t="s">
        <v>55</v>
      </c>
      <c r="C1503" s="99" t="s">
        <v>66</v>
      </c>
      <c r="D1503" s="99" t="s">
        <v>705</v>
      </c>
      <c r="E1503" s="105">
        <v>124.89</v>
      </c>
      <c r="F1503" s="79"/>
      <c r="G1503" s="104" t="s">
        <v>315</v>
      </c>
    </row>
    <row r="1504" spans="2:7" ht="13">
      <c r="B1504" s="99" t="s">
        <v>55</v>
      </c>
      <c r="C1504" s="99" t="s">
        <v>66</v>
      </c>
      <c r="E1504" s="114">
        <f>1592.09-E1503</f>
        <v>1467.1999999999998</v>
      </c>
      <c r="F1504" s="79"/>
      <c r="G1504" s="79"/>
    </row>
    <row r="1505" spans="2:7" ht="13">
      <c r="B1505" s="99" t="s">
        <v>55</v>
      </c>
      <c r="C1505" s="99" t="s">
        <v>499</v>
      </c>
      <c r="E1505" s="105">
        <v>39.46</v>
      </c>
      <c r="F1505" s="79"/>
      <c r="G1505" s="79"/>
    </row>
    <row r="1506" spans="2:7" ht="13">
      <c r="B1506" s="99" t="s">
        <v>55</v>
      </c>
      <c r="C1506" s="99" t="s">
        <v>63</v>
      </c>
      <c r="D1506" s="99" t="s">
        <v>306</v>
      </c>
      <c r="E1506" s="114">
        <f>123.12+96.27+55.12+102.36+57.48+51.18+60.88+50.58+103.44+57.62</f>
        <v>758.05000000000007</v>
      </c>
      <c r="F1506" s="104" t="s">
        <v>315</v>
      </c>
      <c r="G1506" s="79"/>
    </row>
    <row r="1507" spans="2:7" ht="13">
      <c r="B1507" s="99" t="s">
        <v>55</v>
      </c>
      <c r="C1507" s="99" t="s">
        <v>63</v>
      </c>
      <c r="E1507" s="114">
        <f>1300.55-E1506</f>
        <v>542.49999999999989</v>
      </c>
      <c r="F1507" s="79"/>
      <c r="G1507" s="79"/>
    </row>
    <row r="1508" spans="2:7" ht="13">
      <c r="B1508" s="99" t="s">
        <v>55</v>
      </c>
      <c r="C1508" s="99" t="s">
        <v>59</v>
      </c>
      <c r="D1508" s="99" t="s">
        <v>306</v>
      </c>
      <c r="E1508" s="114">
        <f>48.06+31.35+15.72+54.46+59.96+46.38+65.98</f>
        <v>321.91000000000003</v>
      </c>
      <c r="F1508" s="104" t="s">
        <v>315</v>
      </c>
      <c r="G1508" s="79"/>
    </row>
    <row r="1509" spans="2:7" ht="13">
      <c r="B1509" s="99" t="s">
        <v>55</v>
      </c>
      <c r="C1509" s="99" t="s">
        <v>59</v>
      </c>
      <c r="D1509" s="99" t="s">
        <v>441</v>
      </c>
      <c r="E1509" s="114">
        <f>86.54+18.67+101.16+328.1+74.56</f>
        <v>609.03</v>
      </c>
      <c r="F1509" s="104" t="s">
        <v>315</v>
      </c>
      <c r="G1509" s="79"/>
    </row>
    <row r="1510" spans="2:7" ht="13">
      <c r="B1510" s="99" t="s">
        <v>55</v>
      </c>
      <c r="C1510" s="99" t="s">
        <v>59</v>
      </c>
      <c r="D1510" s="99" t="s">
        <v>556</v>
      </c>
      <c r="E1510" s="114">
        <f>15.18+28.2+11.05+136.68+8.11+59.22+30.69+23.02+89.66+21.63</f>
        <v>423.44000000000005</v>
      </c>
      <c r="F1510" s="104" t="s">
        <v>315</v>
      </c>
      <c r="G1510" s="79"/>
    </row>
    <row r="1511" spans="2:7" ht="13">
      <c r="B1511" s="99" t="s">
        <v>55</v>
      </c>
      <c r="C1511" s="99" t="s">
        <v>59</v>
      </c>
      <c r="D1511" s="99" t="s">
        <v>444</v>
      </c>
      <c r="E1511" s="114">
        <f>118.17+68.68+38.18+78.04</f>
        <v>303.07000000000005</v>
      </c>
      <c r="F1511" s="104" t="s">
        <v>315</v>
      </c>
      <c r="G1511" s="79"/>
    </row>
    <row r="1512" spans="2:7" ht="13">
      <c r="B1512" s="99" t="s">
        <v>55</v>
      </c>
      <c r="C1512" s="99" t="s">
        <v>59</v>
      </c>
      <c r="D1512" s="99" t="s">
        <v>553</v>
      </c>
      <c r="E1512" s="114">
        <f>93.66</f>
        <v>93.66</v>
      </c>
      <c r="F1512" s="104" t="s">
        <v>315</v>
      </c>
      <c r="G1512" s="79"/>
    </row>
    <row r="1513" spans="2:7" ht="13">
      <c r="B1513" s="99" t="s">
        <v>55</v>
      </c>
      <c r="C1513" s="99" t="s">
        <v>59</v>
      </c>
      <c r="E1513" s="114">
        <f>2591.97-E1508-E1509-E1510-E1511-E1512</f>
        <v>840.8599999999999</v>
      </c>
      <c r="F1513" s="79"/>
      <c r="G1513" s="79"/>
    </row>
    <row r="1514" spans="2:7" ht="13">
      <c r="B1514" s="99" t="s">
        <v>55</v>
      </c>
      <c r="C1514" s="99" t="s">
        <v>57</v>
      </c>
      <c r="E1514" s="105">
        <v>1494.16</v>
      </c>
      <c r="F1514" s="79"/>
      <c r="G1514" s="79"/>
    </row>
    <row r="1515" spans="2:7" ht="13">
      <c r="B1515" s="99" t="s">
        <v>55</v>
      </c>
      <c r="C1515" s="99" t="s">
        <v>306</v>
      </c>
      <c r="D1515" s="99" t="s">
        <v>706</v>
      </c>
      <c r="E1515" s="105">
        <v>20.6</v>
      </c>
      <c r="F1515" s="104" t="s">
        <v>315</v>
      </c>
      <c r="G1515" s="104" t="s">
        <v>315</v>
      </c>
    </row>
    <row r="1516" spans="2:7" ht="13">
      <c r="B1516" s="99" t="s">
        <v>55</v>
      </c>
      <c r="C1516" s="99" t="s">
        <v>63</v>
      </c>
      <c r="E1516" s="114">
        <f>61.56</f>
        <v>61.56</v>
      </c>
      <c r="F1516" s="79"/>
      <c r="G1516" s="79"/>
    </row>
    <row r="1517" spans="2:7" ht="13">
      <c r="B1517" s="99" t="s">
        <v>55</v>
      </c>
      <c r="C1517" s="99" t="s">
        <v>62</v>
      </c>
      <c r="E1517" s="114">
        <f>85.96</f>
        <v>85.96</v>
      </c>
      <c r="F1517" s="79"/>
      <c r="G1517" s="79"/>
    </row>
    <row r="1518" spans="2:7" ht="13">
      <c r="B1518" s="99" t="s">
        <v>55</v>
      </c>
      <c r="C1518" s="99" t="s">
        <v>59</v>
      </c>
      <c r="E1518" s="114">
        <f>177.12</f>
        <v>177.12</v>
      </c>
      <c r="F1518" s="79"/>
      <c r="G1518" s="79"/>
    </row>
    <row r="1519" spans="2:7" ht="13">
      <c r="B1519" s="99" t="s">
        <v>55</v>
      </c>
      <c r="C1519" s="99" t="s">
        <v>59</v>
      </c>
      <c r="E1519" s="105">
        <v>59.49</v>
      </c>
      <c r="F1519" s="79"/>
      <c r="G1519" s="79"/>
    </row>
    <row r="1520" spans="2:7" ht="13">
      <c r="B1520" s="99" t="s">
        <v>89</v>
      </c>
      <c r="C1520" s="99" t="s">
        <v>57</v>
      </c>
      <c r="D1520" s="99" t="s">
        <v>105</v>
      </c>
      <c r="E1520" s="105">
        <v>261</v>
      </c>
      <c r="F1520" s="79"/>
      <c r="G1520" s="104" t="s">
        <v>315</v>
      </c>
    </row>
    <row r="1521" spans="2:7" ht="13">
      <c r="B1521" s="99" t="s">
        <v>707</v>
      </c>
      <c r="C1521" s="99" t="s">
        <v>62</v>
      </c>
      <c r="E1521" s="105">
        <v>1229.28</v>
      </c>
      <c r="F1521" s="79"/>
      <c r="G1521" s="79"/>
    </row>
    <row r="1522" spans="2:7" ht="13">
      <c r="B1522" s="99" t="s">
        <v>707</v>
      </c>
      <c r="C1522" s="99" t="s">
        <v>62</v>
      </c>
      <c r="E1522" s="105">
        <v>504.51</v>
      </c>
      <c r="F1522" s="79"/>
      <c r="G1522" s="79"/>
    </row>
    <row r="1523" spans="2:7" ht="13">
      <c r="B1523" s="99" t="s">
        <v>707</v>
      </c>
      <c r="C1523" s="99" t="s">
        <v>62</v>
      </c>
      <c r="E1523" s="105">
        <v>362.32</v>
      </c>
      <c r="F1523" s="79"/>
      <c r="G1523" s="79"/>
    </row>
    <row r="1524" spans="2:7" ht="13">
      <c r="B1524" s="99" t="s">
        <v>707</v>
      </c>
      <c r="C1524" s="99" t="s">
        <v>62</v>
      </c>
      <c r="E1524" s="105">
        <v>386.84</v>
      </c>
      <c r="F1524" s="79"/>
      <c r="G1524" s="79"/>
    </row>
    <row r="1525" spans="2:7" ht="13">
      <c r="B1525" s="99" t="s">
        <v>707</v>
      </c>
      <c r="C1525" s="99" t="s">
        <v>62</v>
      </c>
      <c r="E1525" s="105">
        <v>153.30000000000001</v>
      </c>
      <c r="F1525" s="79"/>
      <c r="G1525" s="79"/>
    </row>
    <row r="1526" spans="2:7" ht="13">
      <c r="B1526" s="99" t="s">
        <v>58</v>
      </c>
      <c r="C1526" s="99" t="s">
        <v>59</v>
      </c>
      <c r="E1526" s="114">
        <f>1118.71-5.94</f>
        <v>1112.77</v>
      </c>
      <c r="F1526" s="79"/>
      <c r="G1526" s="79"/>
    </row>
    <row r="1527" spans="2:7" ht="13">
      <c r="B1527" s="99" t="s">
        <v>58</v>
      </c>
      <c r="C1527" s="99" t="s">
        <v>59</v>
      </c>
      <c r="D1527" s="99" t="s">
        <v>306</v>
      </c>
      <c r="E1527" s="114">
        <f>76.19</f>
        <v>76.19</v>
      </c>
      <c r="F1527" s="104" t="s">
        <v>315</v>
      </c>
      <c r="G1527" s="79"/>
    </row>
    <row r="1528" spans="2:7" ht="13">
      <c r="B1528" s="99" t="s">
        <v>58</v>
      </c>
      <c r="C1528" s="99" t="s">
        <v>59</v>
      </c>
      <c r="D1528" s="99" t="s">
        <v>708</v>
      </c>
      <c r="E1528" s="105">
        <v>116.9</v>
      </c>
      <c r="F1528" s="104" t="s">
        <v>315</v>
      </c>
      <c r="G1528" s="79"/>
    </row>
    <row r="1529" spans="2:7" ht="13">
      <c r="B1529" s="99" t="s">
        <v>58</v>
      </c>
      <c r="C1529" s="99" t="s">
        <v>59</v>
      </c>
      <c r="D1529" s="99" t="s">
        <v>441</v>
      </c>
      <c r="E1529" s="114">
        <f>6.16+11.92+5.64+4.08+14.16</f>
        <v>41.959999999999994</v>
      </c>
      <c r="F1529" s="104" t="s">
        <v>315</v>
      </c>
      <c r="G1529" s="79"/>
    </row>
    <row r="1530" spans="2:7" ht="13">
      <c r="B1530" s="99" t="s">
        <v>58</v>
      </c>
      <c r="C1530" s="99" t="s">
        <v>59</v>
      </c>
      <c r="E1530" s="114">
        <f>4354.22-E1527-E1528-E1529-175.86-52.26-22.88-92.18-10.39-11.34-10.32-18.9-10.68-23.4-24.66-26.56-115.52-22.8-9.84-11.52-25.92-10.28-7.08-12.95-16.2-21.19</f>
        <v>3386.4400000000005</v>
      </c>
      <c r="F1530" s="79"/>
      <c r="G1530" s="79"/>
    </row>
    <row r="1531" spans="2:7" ht="13">
      <c r="B1531" s="99" t="s">
        <v>58</v>
      </c>
      <c r="C1531" s="99" t="s">
        <v>59</v>
      </c>
      <c r="D1531" s="99" t="s">
        <v>553</v>
      </c>
      <c r="E1531" s="114">
        <f>21.19</f>
        <v>21.19</v>
      </c>
      <c r="F1531" s="104" t="s">
        <v>315</v>
      </c>
      <c r="G1531" s="79"/>
    </row>
    <row r="1532" spans="2:7" ht="13">
      <c r="B1532" s="99" t="s">
        <v>84</v>
      </c>
      <c r="C1532" s="99" t="s">
        <v>62</v>
      </c>
      <c r="E1532" s="105">
        <v>143.72</v>
      </c>
      <c r="F1532" s="79"/>
      <c r="G1532" s="79"/>
    </row>
    <row r="1533" spans="2:7" ht="13">
      <c r="B1533" s="99" t="s">
        <v>709</v>
      </c>
      <c r="C1533" s="99" t="s">
        <v>62</v>
      </c>
      <c r="E1533" s="105">
        <v>207.85</v>
      </c>
      <c r="F1533" s="79"/>
      <c r="G1533" s="79"/>
    </row>
    <row r="1534" spans="2:7" ht="13">
      <c r="B1534" s="99" t="s">
        <v>709</v>
      </c>
      <c r="C1534" s="99" t="s">
        <v>62</v>
      </c>
      <c r="E1534" s="105">
        <v>382.75</v>
      </c>
      <c r="F1534" s="79"/>
      <c r="G1534" s="79"/>
    </row>
    <row r="1535" spans="2:7" ht="13">
      <c r="B1535" s="99" t="s">
        <v>709</v>
      </c>
      <c r="C1535" s="99" t="s">
        <v>62</v>
      </c>
      <c r="E1535" s="105">
        <v>540.54999999999995</v>
      </c>
      <c r="F1535" s="79"/>
      <c r="G1535" s="79"/>
    </row>
    <row r="1536" spans="2:7" ht="13">
      <c r="B1536" s="99" t="s">
        <v>709</v>
      </c>
      <c r="C1536" s="99" t="s">
        <v>62</v>
      </c>
      <c r="E1536" s="105">
        <v>302.79000000000002</v>
      </c>
      <c r="F1536" s="79"/>
      <c r="G1536" s="79"/>
    </row>
    <row r="1537" spans="2:7" ht="13">
      <c r="B1537" s="99" t="s">
        <v>709</v>
      </c>
      <c r="C1537" s="99" t="s">
        <v>62</v>
      </c>
      <c r="E1537" s="105">
        <v>349</v>
      </c>
      <c r="F1537" s="79"/>
      <c r="G1537" s="79"/>
    </row>
    <row r="1538" spans="2:7" ht="13">
      <c r="B1538" s="99" t="s">
        <v>709</v>
      </c>
      <c r="C1538" s="99" t="s">
        <v>62</v>
      </c>
      <c r="E1538" s="105">
        <v>318.95999999999998</v>
      </c>
      <c r="F1538" s="79"/>
      <c r="G1538" s="79"/>
    </row>
    <row r="1539" spans="2:7" ht="13">
      <c r="B1539" s="99" t="s">
        <v>709</v>
      </c>
      <c r="C1539" s="99" t="s">
        <v>62</v>
      </c>
      <c r="E1539" s="105">
        <v>499.75</v>
      </c>
      <c r="F1539" s="79"/>
      <c r="G1539" s="79"/>
    </row>
    <row r="1540" spans="2:7" ht="13">
      <c r="B1540" s="99" t="s">
        <v>86</v>
      </c>
      <c r="C1540" s="99" t="s">
        <v>112</v>
      </c>
      <c r="D1540" s="99" t="s">
        <v>570</v>
      </c>
      <c r="E1540" s="105">
        <v>42.3</v>
      </c>
      <c r="F1540" s="104" t="s">
        <v>315</v>
      </c>
      <c r="G1540" s="104" t="s">
        <v>315</v>
      </c>
    </row>
    <row r="1541" spans="2:7" ht="13">
      <c r="B1541" s="99" t="s">
        <v>86</v>
      </c>
      <c r="C1541" s="99" t="s">
        <v>112</v>
      </c>
      <c r="D1541" s="99" t="s">
        <v>572</v>
      </c>
      <c r="E1541" s="105">
        <v>53</v>
      </c>
      <c r="F1541" s="104" t="s">
        <v>315</v>
      </c>
      <c r="G1541" s="104" t="s">
        <v>315</v>
      </c>
    </row>
    <row r="1542" spans="2:7" ht="13">
      <c r="B1542" s="99" t="s">
        <v>86</v>
      </c>
      <c r="C1542" s="99" t="s">
        <v>112</v>
      </c>
      <c r="D1542" s="99" t="s">
        <v>142</v>
      </c>
      <c r="E1542" s="105">
        <v>37.6</v>
      </c>
      <c r="F1542" s="104" t="s">
        <v>315</v>
      </c>
      <c r="G1542" s="104" t="s">
        <v>315</v>
      </c>
    </row>
    <row r="1543" spans="2:7" ht="13">
      <c r="B1543" s="99" t="s">
        <v>86</v>
      </c>
      <c r="C1543" s="99" t="s">
        <v>112</v>
      </c>
      <c r="D1543" s="99" t="s">
        <v>573</v>
      </c>
      <c r="E1543" s="105">
        <f>235+87.9</f>
        <v>322.89999999999998</v>
      </c>
      <c r="F1543" s="104" t="s">
        <v>315</v>
      </c>
      <c r="G1543" s="104" t="s">
        <v>315</v>
      </c>
    </row>
    <row r="1544" spans="2:7" ht="13">
      <c r="B1544" s="99" t="s">
        <v>86</v>
      </c>
      <c r="C1544" s="99" t="s">
        <v>112</v>
      </c>
      <c r="D1544" s="99" t="s">
        <v>574</v>
      </c>
      <c r="E1544" s="105">
        <v>88.6</v>
      </c>
      <c r="F1544" s="104" t="s">
        <v>315</v>
      </c>
      <c r="G1544" s="104" t="s">
        <v>315</v>
      </c>
    </row>
    <row r="1545" spans="2:7" ht="13">
      <c r="B1545" s="99" t="s">
        <v>86</v>
      </c>
      <c r="C1545" s="99" t="s">
        <v>112</v>
      </c>
      <c r="D1545" s="99" t="s">
        <v>710</v>
      </c>
      <c r="E1545" s="105">
        <v>31.3</v>
      </c>
      <c r="F1545" s="104" t="s">
        <v>315</v>
      </c>
      <c r="G1545" s="104" t="s">
        <v>315</v>
      </c>
    </row>
    <row r="1546" spans="2:7" ht="13">
      <c r="B1546" s="99" t="s">
        <v>86</v>
      </c>
      <c r="C1546" s="99" t="s">
        <v>112</v>
      </c>
      <c r="D1546" s="99" t="s">
        <v>711</v>
      </c>
      <c r="E1546" s="105">
        <v>23.4</v>
      </c>
      <c r="F1546" s="104" t="s">
        <v>315</v>
      </c>
      <c r="G1546" s="104" t="s">
        <v>315</v>
      </c>
    </row>
    <row r="1547" spans="2:7" ht="13">
      <c r="B1547" s="99" t="s">
        <v>86</v>
      </c>
      <c r="C1547" s="99" t="s">
        <v>112</v>
      </c>
      <c r="D1547" s="99" t="s">
        <v>712</v>
      </c>
      <c r="E1547" s="105">
        <v>27.6</v>
      </c>
      <c r="F1547" s="104" t="s">
        <v>315</v>
      </c>
      <c r="G1547" s="104" t="s">
        <v>315</v>
      </c>
    </row>
    <row r="1548" spans="2:7" ht="13">
      <c r="B1548" s="99" t="s">
        <v>86</v>
      </c>
      <c r="C1548" s="99" t="s">
        <v>59</v>
      </c>
      <c r="E1548" s="114">
        <f>(44.21*2)+23.46+24.51+24.51</f>
        <v>160.89999999999998</v>
      </c>
      <c r="F1548" s="79"/>
      <c r="G1548" s="79"/>
    </row>
    <row r="1549" spans="2:7" ht="13">
      <c r="B1549" s="99" t="s">
        <v>534</v>
      </c>
      <c r="C1549" s="99" t="s">
        <v>59</v>
      </c>
      <c r="D1549" s="99"/>
      <c r="E1549" s="114">
        <f>4310.77-SUM(E1550:E1568)</f>
        <v>2935.1600000000008</v>
      </c>
      <c r="F1549" s="104"/>
      <c r="G1549" s="79"/>
    </row>
    <row r="1550" spans="2:7" ht="13">
      <c r="B1550" s="99" t="s">
        <v>713</v>
      </c>
      <c r="C1550" s="99" t="s">
        <v>330</v>
      </c>
      <c r="D1550" s="99" t="s">
        <v>580</v>
      </c>
      <c r="E1550" s="114">
        <f>18.15</f>
        <v>18.149999999999999</v>
      </c>
      <c r="F1550" s="104" t="s">
        <v>315</v>
      </c>
      <c r="G1550" s="104" t="s">
        <v>315</v>
      </c>
    </row>
    <row r="1551" spans="2:7" ht="13">
      <c r="B1551" s="99" t="s">
        <v>714</v>
      </c>
      <c r="C1551" s="99" t="s">
        <v>62</v>
      </c>
      <c r="D1551" s="99" t="s">
        <v>580</v>
      </c>
      <c r="E1551" s="105">
        <v>30.85</v>
      </c>
      <c r="F1551" s="104"/>
      <c r="G1551" s="104" t="s">
        <v>315</v>
      </c>
    </row>
    <row r="1552" spans="2:7" ht="13">
      <c r="B1552" s="99" t="s">
        <v>600</v>
      </c>
      <c r="C1552" s="99" t="s">
        <v>127</v>
      </c>
      <c r="D1552" s="99" t="s">
        <v>580</v>
      </c>
      <c r="E1552" s="114">
        <f>(49.06*2)+24.53</f>
        <v>122.65</v>
      </c>
      <c r="F1552" s="104" t="s">
        <v>315</v>
      </c>
      <c r="G1552" s="104" t="s">
        <v>315</v>
      </c>
    </row>
    <row r="1553" spans="2:7" ht="13">
      <c r="B1553" s="99" t="s">
        <v>715</v>
      </c>
      <c r="C1553" s="99" t="s">
        <v>666</v>
      </c>
      <c r="D1553" s="99" t="s">
        <v>580</v>
      </c>
      <c r="E1553" s="114">
        <f>(49.39*2)+98.78+(40.23*2)+32.84+27.07+54.14+49.39</f>
        <v>441.46</v>
      </c>
      <c r="F1553" s="79"/>
      <c r="G1553" s="104" t="s">
        <v>315</v>
      </c>
    </row>
    <row r="1554" spans="2:7" ht="13">
      <c r="B1554" s="99" t="s">
        <v>534</v>
      </c>
      <c r="C1554" s="99" t="s">
        <v>59</v>
      </c>
      <c r="D1554" s="99" t="s">
        <v>553</v>
      </c>
      <c r="E1554" s="114">
        <f>(22.84*2)+27.9+55.8</f>
        <v>129.38</v>
      </c>
      <c r="F1554" s="104" t="s">
        <v>315</v>
      </c>
      <c r="G1554" s="79"/>
    </row>
    <row r="1555" spans="2:7" ht="13">
      <c r="B1555" s="99" t="s">
        <v>534</v>
      </c>
      <c r="C1555" s="99" t="s">
        <v>59</v>
      </c>
      <c r="D1555" s="99" t="s">
        <v>551</v>
      </c>
      <c r="E1555" s="114">
        <f>87.08</f>
        <v>87.08</v>
      </c>
      <c r="F1555" s="104" t="s">
        <v>315</v>
      </c>
      <c r="G1555" s="79"/>
    </row>
    <row r="1556" spans="2:7" ht="13">
      <c r="B1556" s="99" t="s">
        <v>715</v>
      </c>
      <c r="C1556" s="99" t="s">
        <v>716</v>
      </c>
      <c r="D1556" s="99" t="s">
        <v>580</v>
      </c>
      <c r="E1556" s="105">
        <v>29.42</v>
      </c>
      <c r="F1556" s="104" t="s">
        <v>272</v>
      </c>
      <c r="G1556" s="104" t="s">
        <v>272</v>
      </c>
    </row>
    <row r="1557" spans="2:7" ht="13">
      <c r="B1557" s="99" t="s">
        <v>675</v>
      </c>
      <c r="C1557" s="99" t="s">
        <v>306</v>
      </c>
      <c r="D1557" s="99" t="s">
        <v>580</v>
      </c>
      <c r="E1557" s="105">
        <v>23.36</v>
      </c>
      <c r="F1557" s="104" t="s">
        <v>315</v>
      </c>
      <c r="G1557" s="104" t="s">
        <v>315</v>
      </c>
    </row>
    <row r="1558" spans="2:7" ht="13">
      <c r="B1558" s="99" t="s">
        <v>717</v>
      </c>
      <c r="C1558" s="99" t="s">
        <v>85</v>
      </c>
      <c r="D1558" s="99" t="s">
        <v>580</v>
      </c>
      <c r="E1558" s="105">
        <f>(39.86*2)+(24.6*2)</f>
        <v>128.92000000000002</v>
      </c>
      <c r="F1558" s="79"/>
      <c r="G1558" s="104" t="s">
        <v>315</v>
      </c>
    </row>
    <row r="1559" spans="2:7" ht="13">
      <c r="B1559" s="99" t="s">
        <v>534</v>
      </c>
      <c r="C1559" s="99" t="s">
        <v>59</v>
      </c>
      <c r="D1559" s="99" t="s">
        <v>718</v>
      </c>
      <c r="E1559" s="114">
        <f>(15.79*3)+19.18</f>
        <v>66.55</v>
      </c>
      <c r="F1559" s="104" t="s">
        <v>315</v>
      </c>
      <c r="G1559" s="79"/>
    </row>
    <row r="1560" spans="2:7" ht="13">
      <c r="B1560" s="99" t="s">
        <v>670</v>
      </c>
      <c r="C1560" s="99" t="s">
        <v>207</v>
      </c>
      <c r="D1560" s="99" t="s">
        <v>580</v>
      </c>
      <c r="E1560" s="105">
        <v>14.87</v>
      </c>
      <c r="F1560" s="79"/>
      <c r="G1560" s="104" t="s">
        <v>272</v>
      </c>
    </row>
    <row r="1561" spans="2:7" ht="13">
      <c r="B1561" s="99" t="s">
        <v>158</v>
      </c>
      <c r="C1561" s="99" t="s">
        <v>159</v>
      </c>
      <c r="D1561" s="99" t="s">
        <v>580</v>
      </c>
      <c r="E1561" s="114">
        <f>18.79*2</f>
        <v>37.58</v>
      </c>
      <c r="F1561" s="104" t="s">
        <v>315</v>
      </c>
      <c r="G1561" s="104" t="s">
        <v>272</v>
      </c>
    </row>
    <row r="1562" spans="2:7" ht="13">
      <c r="B1562" s="99" t="s">
        <v>609</v>
      </c>
      <c r="C1562" s="99" t="s">
        <v>144</v>
      </c>
      <c r="D1562" s="99" t="s">
        <v>580</v>
      </c>
      <c r="E1562" s="114">
        <f>25.64*2</f>
        <v>51.28</v>
      </c>
      <c r="F1562" s="104"/>
      <c r="G1562" s="104" t="s">
        <v>272</v>
      </c>
    </row>
    <row r="1563" spans="2:7" ht="13">
      <c r="B1563" s="99" t="s">
        <v>719</v>
      </c>
      <c r="C1563" s="99" t="s">
        <v>656</v>
      </c>
      <c r="D1563" s="99" t="s">
        <v>580</v>
      </c>
      <c r="E1563" s="105">
        <v>16.71</v>
      </c>
      <c r="F1563" s="104"/>
      <c r="G1563" s="104" t="s">
        <v>315</v>
      </c>
    </row>
    <row r="1564" spans="2:7" ht="13">
      <c r="B1564" s="99" t="s">
        <v>720</v>
      </c>
      <c r="C1564" s="99" t="s">
        <v>444</v>
      </c>
      <c r="D1564" s="99" t="s">
        <v>580</v>
      </c>
      <c r="E1564" s="105">
        <v>32</v>
      </c>
      <c r="F1564" s="104" t="s">
        <v>315</v>
      </c>
      <c r="G1564" s="104" t="s">
        <v>315</v>
      </c>
    </row>
    <row r="1565" spans="2:7" ht="13">
      <c r="B1565" s="99" t="s">
        <v>721</v>
      </c>
      <c r="C1565" s="99" t="s">
        <v>722</v>
      </c>
      <c r="D1565" s="99" t="s">
        <v>580</v>
      </c>
      <c r="E1565" s="114">
        <f>10.12*2</f>
        <v>20.239999999999998</v>
      </c>
      <c r="F1565" s="104"/>
      <c r="G1565" s="104" t="s">
        <v>315</v>
      </c>
    </row>
    <row r="1566" spans="2:7" ht="13">
      <c r="B1566" s="99" t="s">
        <v>534</v>
      </c>
      <c r="C1566" s="99" t="s">
        <v>59</v>
      </c>
      <c r="D1566" s="99" t="s">
        <v>444</v>
      </c>
      <c r="E1566" s="114">
        <f>16.3+13.66+21.05</f>
        <v>51.010000000000005</v>
      </c>
      <c r="F1566" s="104" t="s">
        <v>315</v>
      </c>
      <c r="G1566" s="79"/>
    </row>
    <row r="1567" spans="2:7" ht="13">
      <c r="B1567" s="99" t="s">
        <v>152</v>
      </c>
      <c r="C1567" s="99" t="s">
        <v>153</v>
      </c>
      <c r="D1567" s="99" t="s">
        <v>580</v>
      </c>
      <c r="E1567" s="114">
        <f>18.65*3</f>
        <v>55.949999999999996</v>
      </c>
      <c r="F1567" s="104" t="s">
        <v>315</v>
      </c>
      <c r="G1567" s="104" t="s">
        <v>315</v>
      </c>
    </row>
    <row r="1568" spans="2:7" ht="13">
      <c r="B1568" s="99" t="s">
        <v>713</v>
      </c>
      <c r="C1568" s="99" t="s">
        <v>330</v>
      </c>
      <c r="D1568" s="99" t="s">
        <v>580</v>
      </c>
      <c r="E1568" s="105">
        <v>18.149999999999999</v>
      </c>
      <c r="F1568" s="104" t="s">
        <v>315</v>
      </c>
      <c r="G1568" s="104" t="s">
        <v>315</v>
      </c>
    </row>
    <row r="1569" spans="2:7" ht="13">
      <c r="B1569" s="132" t="s">
        <v>723</v>
      </c>
      <c r="C1569" s="99" t="s">
        <v>62</v>
      </c>
      <c r="D1569" s="99" t="s">
        <v>580</v>
      </c>
      <c r="E1569" s="105">
        <f>28.52+(57.04*2)+(42.78*2)</f>
        <v>228.16</v>
      </c>
      <c r="F1569" s="104" t="s">
        <v>315</v>
      </c>
      <c r="G1569" s="104" t="s">
        <v>315</v>
      </c>
    </row>
    <row r="1570" spans="2:7" ht="13">
      <c r="B1570" s="132" t="s">
        <v>534</v>
      </c>
      <c r="C1570" s="99" t="s">
        <v>59</v>
      </c>
      <c r="D1570" s="99" t="s">
        <v>553</v>
      </c>
      <c r="E1570" s="105">
        <f>(22.48*2)+22.14</f>
        <v>67.099999999999994</v>
      </c>
      <c r="F1570" s="104" t="s">
        <v>315</v>
      </c>
      <c r="G1570" s="79"/>
    </row>
    <row r="1571" spans="2:7" ht="13">
      <c r="B1571" s="132" t="s">
        <v>724</v>
      </c>
      <c r="C1571" s="99" t="s">
        <v>725</v>
      </c>
      <c r="D1571" s="99" t="s">
        <v>580</v>
      </c>
      <c r="E1571" s="105">
        <f>30.32*2</f>
        <v>60.64</v>
      </c>
      <c r="F1571" s="104" t="s">
        <v>315</v>
      </c>
      <c r="G1571" s="104" t="s">
        <v>315</v>
      </c>
    </row>
    <row r="1572" spans="2:7" ht="13">
      <c r="B1572" s="132" t="s">
        <v>593</v>
      </c>
      <c r="C1572" s="99" t="s">
        <v>608</v>
      </c>
      <c r="D1572" s="99" t="s">
        <v>580</v>
      </c>
      <c r="E1572" s="105">
        <v>35.200000000000003</v>
      </c>
      <c r="F1572" s="79"/>
      <c r="G1572" s="104" t="s">
        <v>315</v>
      </c>
    </row>
    <row r="1573" spans="2:7" ht="13">
      <c r="B1573" s="132" t="s">
        <v>163</v>
      </c>
      <c r="C1573" s="99" t="s">
        <v>144</v>
      </c>
      <c r="D1573" s="99" t="s">
        <v>580</v>
      </c>
      <c r="E1573" s="105">
        <v>29.89</v>
      </c>
      <c r="F1573" s="104" t="s">
        <v>315</v>
      </c>
      <c r="G1573" s="104" t="s">
        <v>315</v>
      </c>
    </row>
    <row r="1574" spans="2:7" ht="13">
      <c r="B1574" s="132" t="s">
        <v>657</v>
      </c>
      <c r="C1574" s="99" t="s">
        <v>57</v>
      </c>
      <c r="D1574" s="99" t="s">
        <v>580</v>
      </c>
      <c r="E1574" s="105">
        <f>15.79+31.58</f>
        <v>47.37</v>
      </c>
      <c r="F1574" s="79"/>
      <c r="G1574" s="104" t="s">
        <v>315</v>
      </c>
    </row>
    <row r="1575" spans="2:7" ht="13">
      <c r="B1575" s="132" t="s">
        <v>662</v>
      </c>
      <c r="C1575" s="99" t="s">
        <v>552</v>
      </c>
      <c r="D1575" s="99" t="s">
        <v>580</v>
      </c>
      <c r="E1575" s="105">
        <v>24.39</v>
      </c>
      <c r="F1575" s="104" t="s">
        <v>315</v>
      </c>
      <c r="G1575" s="104" t="s">
        <v>315</v>
      </c>
    </row>
    <row r="1576" spans="2:7" ht="13">
      <c r="B1576" s="132" t="s">
        <v>184</v>
      </c>
      <c r="C1576" s="99" t="s">
        <v>552</v>
      </c>
      <c r="D1576" s="99" t="s">
        <v>580</v>
      </c>
      <c r="E1576" s="105">
        <v>21.72</v>
      </c>
      <c r="F1576" s="104" t="s">
        <v>315</v>
      </c>
      <c r="G1576" s="104" t="s">
        <v>315</v>
      </c>
    </row>
    <row r="1577" spans="2:7" ht="13">
      <c r="B1577" s="132" t="s">
        <v>199</v>
      </c>
      <c r="C1577" s="99" t="s">
        <v>153</v>
      </c>
      <c r="D1577" s="99" t="s">
        <v>580</v>
      </c>
      <c r="E1577" s="105">
        <f>19.16*2</f>
        <v>38.32</v>
      </c>
      <c r="F1577" s="104" t="s">
        <v>315</v>
      </c>
      <c r="G1577" s="104" t="s">
        <v>315</v>
      </c>
    </row>
    <row r="1578" spans="2:7" ht="13">
      <c r="B1578" s="132" t="s">
        <v>534</v>
      </c>
      <c r="C1578" s="99" t="s">
        <v>59</v>
      </c>
      <c r="D1578" s="99" t="s">
        <v>444</v>
      </c>
      <c r="E1578" s="105">
        <v>10.62</v>
      </c>
      <c r="F1578" s="104" t="s">
        <v>315</v>
      </c>
      <c r="G1578" s="79"/>
    </row>
    <row r="1579" spans="2:7" ht="13">
      <c r="B1579" s="132" t="s">
        <v>534</v>
      </c>
      <c r="C1579" s="99" t="s">
        <v>59</v>
      </c>
      <c r="D1579" s="99" t="s">
        <v>551</v>
      </c>
      <c r="E1579" s="105">
        <v>41.45</v>
      </c>
      <c r="F1579" s="104" t="s">
        <v>315</v>
      </c>
      <c r="G1579" s="79"/>
    </row>
    <row r="1580" spans="2:7" ht="13">
      <c r="B1580" s="132" t="s">
        <v>206</v>
      </c>
      <c r="C1580" s="99" t="s">
        <v>207</v>
      </c>
      <c r="D1580" s="99" t="s">
        <v>580</v>
      </c>
      <c r="E1580" s="105">
        <v>17.02</v>
      </c>
      <c r="F1580" s="104" t="s">
        <v>315</v>
      </c>
      <c r="G1580" s="79"/>
    </row>
    <row r="1581" spans="2:7" ht="13">
      <c r="B1581" s="99" t="s">
        <v>534</v>
      </c>
      <c r="C1581" s="99" t="s">
        <v>59</v>
      </c>
      <c r="E1581" s="105">
        <f>2139.72-SUM(E1569:E1580)</f>
        <v>1517.8399999999997</v>
      </c>
      <c r="F1581" s="79"/>
      <c r="G1581" s="79"/>
    </row>
    <row r="1582" spans="2:7" ht="13">
      <c r="B1582" s="99" t="s">
        <v>534</v>
      </c>
      <c r="C1582" s="99" t="s">
        <v>59</v>
      </c>
      <c r="E1582" s="105">
        <v>267.88</v>
      </c>
      <c r="F1582" s="79"/>
      <c r="G1582" s="79"/>
    </row>
    <row r="1583" spans="2:7" ht="13">
      <c r="B1583" s="99" t="s">
        <v>534</v>
      </c>
      <c r="C1583" s="99" t="s">
        <v>59</v>
      </c>
      <c r="D1583" s="99" t="s">
        <v>553</v>
      </c>
      <c r="E1583" s="105">
        <v>47.11</v>
      </c>
      <c r="F1583" s="104" t="s">
        <v>315</v>
      </c>
      <c r="G1583" s="79"/>
    </row>
    <row r="1584" spans="2:7" ht="13">
      <c r="B1584" s="99" t="s">
        <v>534</v>
      </c>
      <c r="C1584" s="99" t="s">
        <v>59</v>
      </c>
      <c r="E1584" s="105">
        <f>812.66-SUM(E1585:E1587)</f>
        <v>537.04</v>
      </c>
      <c r="F1584" s="79"/>
      <c r="G1584" s="79"/>
    </row>
    <row r="1585" spans="2:7" ht="13">
      <c r="B1585" s="99" t="s">
        <v>121</v>
      </c>
      <c r="C1585" s="99" t="s">
        <v>57</v>
      </c>
      <c r="D1585" s="99" t="s">
        <v>580</v>
      </c>
      <c r="E1585" s="105">
        <f>(16.24*2)+(26.64*2)</f>
        <v>85.759999999999991</v>
      </c>
      <c r="F1585" s="79"/>
      <c r="G1585" s="79"/>
    </row>
    <row r="1586" spans="2:7" ht="13">
      <c r="B1586" s="99" t="s">
        <v>534</v>
      </c>
      <c r="C1586" s="99" t="s">
        <v>59</v>
      </c>
      <c r="D1586" s="99" t="s">
        <v>553</v>
      </c>
      <c r="E1586" s="105">
        <f>19.93*6</f>
        <v>119.58</v>
      </c>
      <c r="F1586" s="79"/>
      <c r="G1586" s="79"/>
    </row>
    <row r="1587" spans="2:7" ht="13">
      <c r="B1587" s="99" t="s">
        <v>587</v>
      </c>
      <c r="C1587" s="99" t="s">
        <v>726</v>
      </c>
      <c r="D1587" s="99" t="s">
        <v>580</v>
      </c>
      <c r="E1587" s="105">
        <f>35.14*2</f>
        <v>70.28</v>
      </c>
      <c r="F1587" s="79"/>
      <c r="G1587" s="79"/>
    </row>
    <row r="1588" spans="2:7" ht="13">
      <c r="B1588" s="99" t="s">
        <v>534</v>
      </c>
      <c r="C1588" s="99" t="s">
        <v>59</v>
      </c>
      <c r="E1588" s="105">
        <f>503.52-SUM(E1589:E1591)</f>
        <v>247.85</v>
      </c>
      <c r="F1588" s="79"/>
      <c r="G1588" s="79"/>
    </row>
    <row r="1589" spans="2:7" ht="13">
      <c r="B1589" s="99" t="s">
        <v>534</v>
      </c>
      <c r="C1589" s="99" t="s">
        <v>553</v>
      </c>
      <c r="E1589" s="105">
        <f>(47.11*2)+91.36</f>
        <v>185.57999999999998</v>
      </c>
      <c r="F1589" s="104" t="s">
        <v>315</v>
      </c>
      <c r="G1589" s="79"/>
    </row>
    <row r="1590" spans="2:7" ht="13">
      <c r="B1590" s="99" t="s">
        <v>675</v>
      </c>
      <c r="C1590" s="99" t="s">
        <v>306</v>
      </c>
      <c r="D1590" s="99" t="s">
        <v>580</v>
      </c>
      <c r="E1590" s="105">
        <f>32.09</f>
        <v>32.090000000000003</v>
      </c>
      <c r="F1590" s="104" t="s">
        <v>315</v>
      </c>
      <c r="G1590" s="104" t="s">
        <v>315</v>
      </c>
    </row>
    <row r="1591" spans="2:7" ht="13">
      <c r="B1591" s="99" t="s">
        <v>534</v>
      </c>
      <c r="C1591" s="99" t="s">
        <v>59</v>
      </c>
      <c r="D1591" s="99" t="s">
        <v>441</v>
      </c>
      <c r="E1591" s="105">
        <f>28.98+9.02</f>
        <v>38</v>
      </c>
      <c r="F1591" s="104" t="s">
        <v>315</v>
      </c>
      <c r="G1591" s="79"/>
    </row>
    <row r="1592" spans="2:7" ht="13">
      <c r="B1592" s="99" t="s">
        <v>462</v>
      </c>
      <c r="C1592" s="99" t="s">
        <v>78</v>
      </c>
      <c r="E1592" s="105">
        <v>42.74</v>
      </c>
      <c r="F1592" s="79"/>
      <c r="G1592" s="79"/>
    </row>
    <row r="1593" spans="2:7" ht="13">
      <c r="B1593" s="99" t="s">
        <v>462</v>
      </c>
      <c r="C1593" s="99" t="s">
        <v>441</v>
      </c>
      <c r="E1593" s="114">
        <f>26.54+48.26+318.9+86.72</f>
        <v>480.41999999999996</v>
      </c>
      <c r="F1593" s="79"/>
      <c r="G1593" s="79"/>
    </row>
    <row r="1594" spans="2:7" ht="13">
      <c r="B1594" s="99" t="s">
        <v>462</v>
      </c>
      <c r="C1594" s="99" t="s">
        <v>78</v>
      </c>
      <c r="E1594" s="105">
        <f>237.54+113.26+28.05</f>
        <v>378.85</v>
      </c>
      <c r="F1594" s="79"/>
      <c r="G1594" s="79"/>
    </row>
    <row r="1595" spans="2:7" ht="13">
      <c r="B1595" s="99" t="s">
        <v>106</v>
      </c>
      <c r="C1595" s="99" t="s">
        <v>341</v>
      </c>
      <c r="D1595" s="99" t="s">
        <v>727</v>
      </c>
      <c r="E1595" s="105">
        <v>75.34</v>
      </c>
      <c r="F1595" s="79"/>
      <c r="G1595" s="104" t="s">
        <v>315</v>
      </c>
    </row>
    <row r="1596" spans="2:7" ht="13">
      <c r="B1596" s="99" t="s">
        <v>106</v>
      </c>
      <c r="C1596" s="99" t="s">
        <v>341</v>
      </c>
      <c r="D1596" s="99" t="s">
        <v>727</v>
      </c>
      <c r="E1596" s="105">
        <v>386.28</v>
      </c>
      <c r="F1596" s="79"/>
      <c r="G1596" s="104" t="s">
        <v>315</v>
      </c>
    </row>
    <row r="1597" spans="2:7" ht="13">
      <c r="B1597" s="99" t="s">
        <v>106</v>
      </c>
      <c r="C1597" s="99" t="s">
        <v>341</v>
      </c>
      <c r="D1597" s="99" t="s">
        <v>727</v>
      </c>
      <c r="E1597" s="105">
        <v>144.84</v>
      </c>
      <c r="F1597" s="79"/>
      <c r="G1597" s="104" t="s">
        <v>315</v>
      </c>
    </row>
    <row r="1598" spans="2:7" ht="13">
      <c r="B1598" s="99" t="s">
        <v>106</v>
      </c>
      <c r="C1598" s="99" t="s">
        <v>341</v>
      </c>
      <c r="D1598" s="99" t="s">
        <v>727</v>
      </c>
      <c r="E1598" s="105">
        <v>408.86</v>
      </c>
      <c r="F1598" s="79"/>
      <c r="G1598" s="104" t="s">
        <v>315</v>
      </c>
    </row>
    <row r="1599" spans="2:7" ht="13">
      <c r="B1599" s="99" t="s">
        <v>119</v>
      </c>
      <c r="C1599" s="99" t="s">
        <v>728</v>
      </c>
      <c r="D1599" s="99" t="s">
        <v>729</v>
      </c>
      <c r="E1599" s="105">
        <v>708.09</v>
      </c>
      <c r="F1599" s="104" t="s">
        <v>315</v>
      </c>
      <c r="G1599" s="104" t="s">
        <v>315</v>
      </c>
    </row>
    <row r="1600" spans="2:7" ht="13">
      <c r="B1600" s="99" t="s">
        <v>110</v>
      </c>
      <c r="C1600" s="99" t="s">
        <v>341</v>
      </c>
      <c r="D1600" s="99" t="s">
        <v>727</v>
      </c>
      <c r="E1600" s="105">
        <v>200.5</v>
      </c>
      <c r="F1600" s="79"/>
      <c r="G1600" s="104" t="s">
        <v>315</v>
      </c>
    </row>
    <row r="1601" spans="2:7" ht="13">
      <c r="B1601" s="99" t="s">
        <v>110</v>
      </c>
      <c r="C1601" s="99" t="s">
        <v>341</v>
      </c>
      <c r="D1601" s="99" t="s">
        <v>727</v>
      </c>
      <c r="E1601" s="105">
        <v>129.30000000000001</v>
      </c>
      <c r="F1601" s="79"/>
      <c r="G1601" s="104" t="s">
        <v>315</v>
      </c>
    </row>
    <row r="1602" spans="2:7" ht="13">
      <c r="B1602" s="99" t="s">
        <v>110</v>
      </c>
      <c r="C1602" s="99" t="s">
        <v>341</v>
      </c>
      <c r="D1602" s="99" t="s">
        <v>727</v>
      </c>
      <c r="E1602" s="105">
        <v>160.05000000000001</v>
      </c>
      <c r="F1602" s="79"/>
      <c r="G1602" s="104" t="s">
        <v>315</v>
      </c>
    </row>
    <row r="1603" spans="2:7" ht="13">
      <c r="B1603" s="99" t="s">
        <v>110</v>
      </c>
      <c r="C1603" s="99" t="s">
        <v>341</v>
      </c>
      <c r="D1603" s="99" t="s">
        <v>727</v>
      </c>
      <c r="E1603" s="105">
        <v>150.15</v>
      </c>
      <c r="F1603" s="79"/>
      <c r="G1603" s="104" t="s">
        <v>315</v>
      </c>
    </row>
    <row r="1604" spans="2:7" ht="13">
      <c r="B1604" s="99" t="s">
        <v>110</v>
      </c>
      <c r="C1604" s="99" t="s">
        <v>341</v>
      </c>
      <c r="D1604" s="99" t="s">
        <v>727</v>
      </c>
      <c r="E1604" s="105">
        <v>39</v>
      </c>
      <c r="F1604" s="79"/>
      <c r="G1604" s="104" t="s">
        <v>315</v>
      </c>
    </row>
    <row r="1605" spans="2:7" ht="13">
      <c r="B1605" s="99" t="s">
        <v>617</v>
      </c>
      <c r="C1605" s="99" t="s">
        <v>62</v>
      </c>
      <c r="E1605" s="105">
        <v>380.31</v>
      </c>
      <c r="F1605" s="79"/>
      <c r="G1605" s="79"/>
    </row>
    <row r="1606" spans="2:7" ht="13">
      <c r="B1606" s="99" t="s">
        <v>617</v>
      </c>
      <c r="C1606" s="99" t="s">
        <v>62</v>
      </c>
      <c r="E1606" s="105">
        <v>502.18</v>
      </c>
      <c r="F1606" s="79"/>
      <c r="G1606" s="79"/>
    </row>
    <row r="1607" spans="2:7" ht="13">
      <c r="B1607" s="99" t="s">
        <v>730</v>
      </c>
      <c r="C1607" s="99" t="s">
        <v>70</v>
      </c>
      <c r="E1607" s="105">
        <v>1298.03</v>
      </c>
      <c r="F1607" s="79"/>
      <c r="G1607" s="79"/>
    </row>
    <row r="1608" spans="2:7" ht="13">
      <c r="B1608" s="99" t="s">
        <v>730</v>
      </c>
      <c r="C1608" s="99" t="s">
        <v>70</v>
      </c>
      <c r="E1608" s="105">
        <v>1088.02</v>
      </c>
      <c r="F1608" s="79"/>
      <c r="G1608" s="79"/>
    </row>
    <row r="1609" spans="2:7" ht="13">
      <c r="B1609" s="99" t="s">
        <v>65</v>
      </c>
      <c r="C1609" s="99" t="s">
        <v>66</v>
      </c>
      <c r="D1609" s="99" t="s">
        <v>731</v>
      </c>
      <c r="E1609" s="105">
        <v>55.88</v>
      </c>
      <c r="F1609" s="79"/>
      <c r="G1609" s="104" t="s">
        <v>315</v>
      </c>
    </row>
    <row r="1610" spans="2:7" ht="13">
      <c r="B1610" s="99" t="s">
        <v>65</v>
      </c>
      <c r="C1610" s="99" t="s">
        <v>66</v>
      </c>
      <c r="D1610" s="99" t="s">
        <v>732</v>
      </c>
      <c r="E1610" s="105">
        <v>85</v>
      </c>
      <c r="F1610" s="79"/>
      <c r="G1610" s="104" t="s">
        <v>315</v>
      </c>
    </row>
    <row r="1611" spans="2:7" ht="13">
      <c r="B1611" s="99" t="s">
        <v>65</v>
      </c>
      <c r="C1611" s="99" t="s">
        <v>57</v>
      </c>
      <c r="D1611" s="99" t="s">
        <v>733</v>
      </c>
      <c r="E1611" s="105">
        <v>34.22</v>
      </c>
      <c r="F1611" s="79"/>
      <c r="G1611" s="104" t="s">
        <v>315</v>
      </c>
    </row>
    <row r="1612" spans="2:7" ht="13">
      <c r="B1612" s="99" t="s">
        <v>65</v>
      </c>
      <c r="C1612" s="99" t="s">
        <v>112</v>
      </c>
      <c r="E1612" s="114">
        <f>(30.12*2)+26.42</f>
        <v>86.66</v>
      </c>
      <c r="F1612" s="104" t="s">
        <v>315</v>
      </c>
      <c r="G1612" s="79"/>
    </row>
    <row r="1613" spans="2:7" ht="13">
      <c r="B1613" s="99" t="s">
        <v>65</v>
      </c>
      <c r="C1613" s="99" t="s">
        <v>66</v>
      </c>
      <c r="E1613" s="114">
        <f>1182.01-E1609-E1610-E1611-E1612</f>
        <v>920.24999999999989</v>
      </c>
      <c r="F1613" s="79"/>
      <c r="G1613" s="79"/>
    </row>
    <row r="1614" spans="2:7" ht="13">
      <c r="B1614" s="99" t="s">
        <v>65</v>
      </c>
      <c r="C1614" s="99" t="s">
        <v>66</v>
      </c>
      <c r="E1614" s="105">
        <v>148.47999999999999</v>
      </c>
      <c r="F1614" s="79"/>
      <c r="G1614" s="79"/>
    </row>
    <row r="1615" spans="2:7" ht="13">
      <c r="B1615" s="99" t="s">
        <v>65</v>
      </c>
      <c r="C1615" s="99" t="s">
        <v>66</v>
      </c>
      <c r="D1615" s="99" t="s">
        <v>734</v>
      </c>
      <c r="E1615" s="105">
        <v>121.5</v>
      </c>
      <c r="F1615" s="79"/>
      <c r="G1615" s="104" t="s">
        <v>315</v>
      </c>
    </row>
    <row r="1616" spans="2:7" ht="13">
      <c r="B1616" s="99" t="s">
        <v>65</v>
      </c>
      <c r="C1616" s="99" t="s">
        <v>444</v>
      </c>
      <c r="E1616" s="105">
        <v>49.98</v>
      </c>
      <c r="F1616" s="79"/>
      <c r="G1616" s="79"/>
    </row>
    <row r="1617" spans="2:7" ht="13">
      <c r="B1617" s="99" t="s">
        <v>65</v>
      </c>
      <c r="C1617" s="99" t="s">
        <v>66</v>
      </c>
      <c r="E1617" s="114">
        <f>796.87-E1616</f>
        <v>746.89</v>
      </c>
      <c r="F1617" s="79"/>
      <c r="G1617" s="79"/>
    </row>
    <row r="1618" spans="2:7" ht="13">
      <c r="B1618" s="99" t="s">
        <v>65</v>
      </c>
      <c r="C1618" s="99" t="s">
        <v>66</v>
      </c>
      <c r="D1618" s="99" t="s">
        <v>734</v>
      </c>
      <c r="E1618" s="114">
        <f>194.4</f>
        <v>194.4</v>
      </c>
      <c r="F1618" s="79"/>
      <c r="G1618" s="104" t="s">
        <v>315</v>
      </c>
    </row>
    <row r="1619" spans="2:7" ht="13">
      <c r="B1619" s="99" t="s">
        <v>65</v>
      </c>
      <c r="C1619" s="99" t="s">
        <v>66</v>
      </c>
      <c r="E1619" s="105">
        <v>534</v>
      </c>
      <c r="F1619" s="79"/>
      <c r="G1619" s="79"/>
    </row>
    <row r="1620" spans="2:7" ht="13">
      <c r="B1620" s="99" t="s">
        <v>65</v>
      </c>
      <c r="C1620" s="99" t="s">
        <v>70</v>
      </c>
      <c r="D1620" s="99" t="s">
        <v>735</v>
      </c>
      <c r="E1620" s="105">
        <v>29.85</v>
      </c>
      <c r="F1620" s="79"/>
      <c r="G1620" s="104" t="s">
        <v>315</v>
      </c>
    </row>
    <row r="1621" spans="2:7" ht="13">
      <c r="B1621" s="99" t="s">
        <v>65</v>
      </c>
      <c r="C1621" s="99" t="s">
        <v>66</v>
      </c>
      <c r="D1621" s="99" t="s">
        <v>736</v>
      </c>
      <c r="E1621" s="105">
        <v>34.380000000000003</v>
      </c>
      <c r="F1621" s="79"/>
      <c r="G1621" s="104" t="s">
        <v>315</v>
      </c>
    </row>
    <row r="1622" spans="2:7" ht="13">
      <c r="B1622" s="99" t="s">
        <v>65</v>
      </c>
      <c r="C1622" s="99" t="s">
        <v>66</v>
      </c>
      <c r="D1622" s="99" t="s">
        <v>734</v>
      </c>
      <c r="E1622" s="105">
        <v>227.4</v>
      </c>
      <c r="F1622" s="79"/>
      <c r="G1622" s="104" t="s">
        <v>315</v>
      </c>
    </row>
    <row r="1623" spans="2:7" ht="13">
      <c r="B1623" s="99" t="s">
        <v>65</v>
      </c>
      <c r="C1623" s="99" t="s">
        <v>66</v>
      </c>
      <c r="E1623" s="114">
        <f>740.07-E1620-E1621-E1622</f>
        <v>448.44000000000005</v>
      </c>
      <c r="F1623" s="79"/>
      <c r="G1623" s="79"/>
    </row>
    <row r="1624" spans="2:7" ht="13">
      <c r="B1624" s="99" t="s">
        <v>65</v>
      </c>
      <c r="C1624" s="99" t="s">
        <v>63</v>
      </c>
      <c r="D1624" s="99" t="s">
        <v>737</v>
      </c>
      <c r="E1624" s="105">
        <v>296</v>
      </c>
      <c r="F1624" s="104" t="s">
        <v>315</v>
      </c>
      <c r="G1624" s="104" t="s">
        <v>315</v>
      </c>
    </row>
    <row r="1625" spans="2:7" ht="13">
      <c r="B1625" s="99" t="s">
        <v>65</v>
      </c>
      <c r="C1625" s="99" t="s">
        <v>97</v>
      </c>
      <c r="E1625" s="105">
        <v>61.88</v>
      </c>
      <c r="F1625" s="79"/>
      <c r="G1625" s="79"/>
    </row>
    <row r="1626" spans="2:7" ht="13">
      <c r="B1626" s="99" t="s">
        <v>738</v>
      </c>
      <c r="C1626" s="99" t="s">
        <v>62</v>
      </c>
      <c r="E1626" s="105">
        <v>182</v>
      </c>
      <c r="F1626" s="79"/>
      <c r="G1626" s="79"/>
    </row>
    <row r="1627" spans="2:7" ht="13">
      <c r="B1627" s="99" t="s">
        <v>738</v>
      </c>
      <c r="C1627" s="99" t="s">
        <v>62</v>
      </c>
      <c r="E1627" s="105">
        <v>104</v>
      </c>
      <c r="F1627" s="79"/>
      <c r="G1627" s="79"/>
    </row>
    <row r="1628" spans="2:7" ht="13">
      <c r="B1628" s="99" t="s">
        <v>738</v>
      </c>
      <c r="C1628" s="99" t="s">
        <v>62</v>
      </c>
      <c r="E1628" s="105">
        <v>144</v>
      </c>
      <c r="F1628" s="79"/>
      <c r="G1628" s="79"/>
    </row>
    <row r="1629" spans="2:7" ht="13">
      <c r="B1629" s="99" t="s">
        <v>55</v>
      </c>
      <c r="C1629" s="99" t="s">
        <v>556</v>
      </c>
      <c r="E1629" s="105">
        <v>15.18</v>
      </c>
      <c r="F1629" s="79"/>
      <c r="G1629" s="79"/>
    </row>
    <row r="1630" spans="2:7" ht="13">
      <c r="B1630" s="99" t="s">
        <v>55</v>
      </c>
      <c r="C1630" s="99" t="s">
        <v>59</v>
      </c>
      <c r="E1630" s="114">
        <f>353.06-E1629</f>
        <v>337.88</v>
      </c>
      <c r="F1630" s="79"/>
      <c r="G1630" s="79"/>
    </row>
    <row r="1631" spans="2:7" ht="13">
      <c r="B1631" s="99" t="s">
        <v>134</v>
      </c>
      <c r="C1631" s="99" t="s">
        <v>112</v>
      </c>
      <c r="E1631" s="114">
        <f>350.81</f>
        <v>350.81</v>
      </c>
      <c r="F1631" s="104" t="s">
        <v>315</v>
      </c>
      <c r="G1631" s="79"/>
    </row>
    <row r="1632" spans="2:7" ht="13">
      <c r="B1632" s="99" t="s">
        <v>134</v>
      </c>
      <c r="C1632" s="99" t="s">
        <v>431</v>
      </c>
      <c r="E1632" s="105">
        <v>12.91</v>
      </c>
      <c r="F1632" s="104" t="s">
        <v>315</v>
      </c>
      <c r="G1632" s="79"/>
    </row>
    <row r="1633" spans="1:26" ht="13">
      <c r="B1633" s="99" t="s">
        <v>65</v>
      </c>
      <c r="C1633" s="99" t="s">
        <v>66</v>
      </c>
      <c r="D1633" s="99" t="s">
        <v>739</v>
      </c>
      <c r="E1633" s="105">
        <v>48.4</v>
      </c>
      <c r="F1633" s="79"/>
      <c r="G1633" s="104" t="s">
        <v>315</v>
      </c>
    </row>
    <row r="1634" spans="1:26" ht="13">
      <c r="B1634" s="99" t="s">
        <v>65</v>
      </c>
      <c r="C1634" s="99" t="s">
        <v>306</v>
      </c>
      <c r="E1634" s="114">
        <f>7.25*2</f>
        <v>14.5</v>
      </c>
      <c r="F1634" s="104" t="s">
        <v>315</v>
      </c>
      <c r="G1634" s="79"/>
    </row>
    <row r="1635" spans="1:26" ht="13">
      <c r="B1635" s="99" t="s">
        <v>65</v>
      </c>
      <c r="C1635" s="99" t="s">
        <v>57</v>
      </c>
      <c r="E1635" s="114">
        <f>34.99+19</f>
        <v>53.99</v>
      </c>
      <c r="F1635" s="79"/>
      <c r="G1635" s="79"/>
    </row>
    <row r="1636" spans="1:26" ht="13">
      <c r="B1636" s="99" t="s">
        <v>65</v>
      </c>
      <c r="C1636" s="99" t="s">
        <v>63</v>
      </c>
      <c r="D1636" s="99" t="s">
        <v>740</v>
      </c>
      <c r="E1636" s="105">
        <v>69.13</v>
      </c>
      <c r="F1636" s="79"/>
      <c r="G1636" s="104" t="s">
        <v>315</v>
      </c>
    </row>
    <row r="1637" spans="1:26" ht="13">
      <c r="B1637" s="99" t="s">
        <v>65</v>
      </c>
      <c r="C1637" s="99" t="s">
        <v>73</v>
      </c>
      <c r="E1637" s="114">
        <f>83.4</f>
        <v>83.4</v>
      </c>
      <c r="F1637" s="79"/>
      <c r="G1637" s="79"/>
    </row>
    <row r="1638" spans="1:26" ht="13">
      <c r="B1638" s="99" t="s">
        <v>65</v>
      </c>
      <c r="C1638" s="99" t="s">
        <v>66</v>
      </c>
      <c r="E1638" s="114">
        <f>563.52-E1633-E1634-E1635-E1636-E1636</f>
        <v>308.37</v>
      </c>
      <c r="F1638" s="79"/>
      <c r="G1638" s="79"/>
    </row>
    <row r="1639" spans="1:26" ht="13">
      <c r="A1639" s="49"/>
      <c r="B1639" s="49"/>
      <c r="C1639" s="49"/>
      <c r="D1639" s="49"/>
      <c r="E1639" s="119">
        <f>SUM(E1396:E1638)</f>
        <v>73853.350000000006</v>
      </c>
      <c r="F1639" s="135"/>
      <c r="G1639" s="135"/>
      <c r="H1639" s="119">
        <f>E1634+E1631+E1612+E1590+E1527+E1508+E1506+E1499+E1492+E1483+E1480+E1465+E1460+E1447+E1444+E1441+E1431+E1425+SUM(E1396:E1407)</f>
        <v>14803.730000000003</v>
      </c>
      <c r="I1639" s="119">
        <f>E1578+E1566+E1511+E1462+E1448+E1429</f>
        <v>732.99</v>
      </c>
      <c r="J1639" s="49"/>
      <c r="K1639" s="119">
        <f>E1528+E1515+E1488+E1482+E1469+E1470+E1464+E1454+E1452+E1449</f>
        <v>1045.03</v>
      </c>
      <c r="L1639" s="49"/>
      <c r="M1639" s="119">
        <f>E1629</f>
        <v>15.18</v>
      </c>
      <c r="N1639" s="119">
        <f>E1599+E1577+E1567+E1559+E1497+E1490+E1475</f>
        <v>1228.03</v>
      </c>
      <c r="O1639" s="119">
        <f>E1591+E1529+E1509+E1485+E1463+E1446+E1440+E1430</f>
        <v>1879.1599999999999</v>
      </c>
      <c r="P1639" s="49"/>
      <c r="Q1639" s="119">
        <f>E1586+E1583+E1579+E1570+E1555+E1554+E1531+E1512+E1501+E1436+E1419</f>
        <v>806.81</v>
      </c>
      <c r="R1639" s="49"/>
      <c r="S1639" s="49"/>
      <c r="T1639" s="49"/>
      <c r="U1639" s="49"/>
      <c r="V1639" s="49"/>
      <c r="W1639" s="49"/>
      <c r="X1639" s="49"/>
      <c r="Y1639" s="49"/>
      <c r="Z1639" s="49"/>
    </row>
    <row r="1640" spans="1:26" ht="13">
      <c r="A1640" s="99" t="s">
        <v>741</v>
      </c>
      <c r="B1640" s="99" t="s">
        <v>742</v>
      </c>
      <c r="C1640" s="99" t="s">
        <v>112</v>
      </c>
      <c r="E1640" s="105">
        <v>682.42</v>
      </c>
      <c r="F1640" s="104" t="s">
        <v>315</v>
      </c>
      <c r="G1640" s="79"/>
    </row>
    <row r="1641" spans="1:26" ht="13">
      <c r="B1641" s="99" t="s">
        <v>742</v>
      </c>
      <c r="C1641" s="99" t="s">
        <v>112</v>
      </c>
      <c r="E1641" s="105">
        <v>46.42</v>
      </c>
      <c r="F1641" s="104" t="s">
        <v>315</v>
      </c>
      <c r="G1641" s="79"/>
    </row>
    <row r="1642" spans="1:26" ht="13">
      <c r="B1642" s="99" t="s">
        <v>742</v>
      </c>
      <c r="C1642" s="99" t="s">
        <v>112</v>
      </c>
      <c r="D1642" s="99" t="s">
        <v>743</v>
      </c>
      <c r="E1642" s="105">
        <v>16.68</v>
      </c>
      <c r="F1642" s="104" t="s">
        <v>315</v>
      </c>
      <c r="G1642" s="104" t="s">
        <v>315</v>
      </c>
    </row>
    <row r="1643" spans="1:26" ht="13">
      <c r="B1643" s="99" t="s">
        <v>742</v>
      </c>
      <c r="C1643" s="99" t="s">
        <v>112</v>
      </c>
      <c r="E1643" s="114">
        <f>5019.1-E1642</f>
        <v>5002.42</v>
      </c>
      <c r="F1643" s="79"/>
      <c r="G1643" s="79"/>
    </row>
    <row r="1644" spans="1:26" ht="13">
      <c r="B1644" s="99" t="s">
        <v>742</v>
      </c>
      <c r="C1644" s="99" t="s">
        <v>112</v>
      </c>
      <c r="E1644" s="105">
        <v>13.13</v>
      </c>
      <c r="F1644" s="79"/>
      <c r="G1644" s="79"/>
    </row>
    <row r="1645" spans="1:26" ht="13">
      <c r="B1645" s="99" t="s">
        <v>742</v>
      </c>
      <c r="C1645" s="99" t="s">
        <v>112</v>
      </c>
      <c r="E1645" s="105">
        <v>519.94000000000005</v>
      </c>
      <c r="F1645" s="79"/>
      <c r="G1645" s="79"/>
    </row>
    <row r="1646" spans="1:26" ht="13">
      <c r="B1646" s="99" t="s">
        <v>742</v>
      </c>
      <c r="C1646" s="99" t="s">
        <v>112</v>
      </c>
      <c r="E1646" s="105">
        <v>4714.6899999999996</v>
      </c>
      <c r="F1646" s="79"/>
      <c r="G1646" s="79"/>
    </row>
    <row r="1647" spans="1:26" ht="13">
      <c r="B1647" s="99" t="s">
        <v>742</v>
      </c>
      <c r="C1647" s="99" t="s">
        <v>112</v>
      </c>
      <c r="E1647" s="105">
        <v>1262.73</v>
      </c>
      <c r="F1647" s="79"/>
      <c r="G1647" s="79"/>
    </row>
    <row r="1648" spans="1:26" ht="13">
      <c r="B1648" s="99" t="s">
        <v>742</v>
      </c>
      <c r="C1648" s="99" t="s">
        <v>112</v>
      </c>
      <c r="E1648" s="105">
        <v>55.62</v>
      </c>
      <c r="F1648" s="79"/>
      <c r="G1648" s="79"/>
    </row>
    <row r="1649" spans="2:7" ht="13">
      <c r="B1649" s="99" t="s">
        <v>742</v>
      </c>
      <c r="C1649" s="99" t="s">
        <v>112</v>
      </c>
      <c r="E1649" s="105">
        <v>403.54</v>
      </c>
      <c r="F1649" s="79"/>
      <c r="G1649" s="79"/>
    </row>
    <row r="1650" spans="2:7" ht="13">
      <c r="B1650" s="99" t="s">
        <v>742</v>
      </c>
      <c r="C1650" s="99" t="s">
        <v>112</v>
      </c>
      <c r="E1650" s="105">
        <v>88.62</v>
      </c>
      <c r="F1650" s="79"/>
      <c r="G1650" s="79"/>
    </row>
    <row r="1651" spans="2:7" ht="13">
      <c r="B1651" s="99" t="s">
        <v>742</v>
      </c>
      <c r="C1651" s="99" t="s">
        <v>112</v>
      </c>
      <c r="E1651" s="105">
        <v>942.81</v>
      </c>
      <c r="F1651" s="79"/>
      <c r="G1651" s="79"/>
    </row>
    <row r="1652" spans="2:7" ht="13">
      <c r="B1652" s="99" t="s">
        <v>742</v>
      </c>
      <c r="C1652" s="99" t="s">
        <v>112</v>
      </c>
      <c r="E1652" s="105">
        <v>58.05</v>
      </c>
      <c r="F1652" s="79"/>
      <c r="G1652" s="79"/>
    </row>
    <row r="1653" spans="2:7" ht="13">
      <c r="B1653" s="99" t="s">
        <v>742</v>
      </c>
      <c r="C1653" s="99" t="s">
        <v>112</v>
      </c>
      <c r="E1653" s="105">
        <v>2562.23</v>
      </c>
      <c r="F1653" s="79"/>
      <c r="G1653" s="79"/>
    </row>
    <row r="1654" spans="2:7" ht="13">
      <c r="B1654" s="99" t="s">
        <v>742</v>
      </c>
      <c r="C1654" s="99" t="s">
        <v>112</v>
      </c>
      <c r="E1654" s="105">
        <v>594.55999999999995</v>
      </c>
      <c r="F1654" s="79"/>
      <c r="G1654" s="79"/>
    </row>
    <row r="1655" spans="2:7" ht="13">
      <c r="B1655" s="99" t="s">
        <v>742</v>
      </c>
      <c r="C1655" s="99" t="s">
        <v>112</v>
      </c>
      <c r="E1655" s="105">
        <v>748.02</v>
      </c>
      <c r="F1655" s="79"/>
      <c r="G1655" s="79"/>
    </row>
    <row r="1656" spans="2:7" ht="13">
      <c r="B1656" s="99" t="s">
        <v>742</v>
      </c>
      <c r="C1656" s="99" t="s">
        <v>112</v>
      </c>
      <c r="E1656" s="105">
        <v>408.44</v>
      </c>
      <c r="F1656" s="79"/>
      <c r="G1656" s="79"/>
    </row>
    <row r="1657" spans="2:7" ht="13">
      <c r="B1657" s="99" t="s">
        <v>89</v>
      </c>
      <c r="C1657" s="99" t="s">
        <v>57</v>
      </c>
      <c r="D1657" s="99" t="s">
        <v>105</v>
      </c>
      <c r="E1657" s="105">
        <v>289.44</v>
      </c>
      <c r="F1657" s="79"/>
      <c r="G1657" s="104" t="s">
        <v>315</v>
      </c>
    </row>
    <row r="1658" spans="2:7" ht="13">
      <c r="B1658" s="99" t="s">
        <v>89</v>
      </c>
      <c r="C1658" s="99" t="s">
        <v>57</v>
      </c>
      <c r="D1658" s="99" t="s">
        <v>105</v>
      </c>
      <c r="E1658" s="105">
        <v>261</v>
      </c>
      <c r="F1658" s="79"/>
      <c r="G1658" s="104" t="s">
        <v>315</v>
      </c>
    </row>
    <row r="1659" spans="2:7" ht="13">
      <c r="B1659" s="99" t="s">
        <v>89</v>
      </c>
      <c r="C1659" s="99" t="s">
        <v>57</v>
      </c>
      <c r="D1659" s="99" t="s">
        <v>105</v>
      </c>
      <c r="E1659" s="105">
        <v>69.819999999999993</v>
      </c>
      <c r="F1659" s="79"/>
      <c r="G1659" s="104" t="s">
        <v>315</v>
      </c>
    </row>
    <row r="1660" spans="2:7" ht="13">
      <c r="B1660" s="99" t="s">
        <v>89</v>
      </c>
      <c r="C1660" s="99" t="s">
        <v>57</v>
      </c>
      <c r="D1660" s="99" t="s">
        <v>105</v>
      </c>
      <c r="E1660" s="105">
        <v>503.85</v>
      </c>
      <c r="F1660" s="79"/>
      <c r="G1660" s="104" t="s">
        <v>315</v>
      </c>
    </row>
    <row r="1661" spans="2:7" ht="13">
      <c r="B1661" s="99" t="s">
        <v>89</v>
      </c>
      <c r="C1661" s="99" t="s">
        <v>57</v>
      </c>
      <c r="D1661" s="99" t="s">
        <v>105</v>
      </c>
      <c r="E1661" s="105">
        <v>130.09</v>
      </c>
      <c r="F1661" s="79"/>
      <c r="G1661" s="104" t="s">
        <v>315</v>
      </c>
    </row>
    <row r="1662" spans="2:7" ht="13">
      <c r="B1662" s="99" t="s">
        <v>89</v>
      </c>
      <c r="C1662" s="99" t="s">
        <v>57</v>
      </c>
      <c r="D1662" s="99" t="s">
        <v>105</v>
      </c>
      <c r="E1662" s="105">
        <v>115.26</v>
      </c>
      <c r="F1662" s="79"/>
      <c r="G1662" s="104" t="s">
        <v>315</v>
      </c>
    </row>
    <row r="1663" spans="2:7" ht="13">
      <c r="B1663" s="99" t="s">
        <v>89</v>
      </c>
      <c r="C1663" s="99" t="s">
        <v>57</v>
      </c>
      <c r="D1663" s="99" t="s">
        <v>105</v>
      </c>
      <c r="E1663" s="105">
        <v>682.69</v>
      </c>
      <c r="F1663" s="79"/>
      <c r="G1663" s="104" t="s">
        <v>315</v>
      </c>
    </row>
    <row r="1664" spans="2:7" ht="13">
      <c r="B1664" s="99" t="s">
        <v>89</v>
      </c>
      <c r="C1664" s="99" t="s">
        <v>57</v>
      </c>
      <c r="D1664" s="99" t="s">
        <v>105</v>
      </c>
      <c r="E1664" s="105">
        <v>27.96</v>
      </c>
      <c r="F1664" s="79"/>
      <c r="G1664" s="104" t="s">
        <v>315</v>
      </c>
    </row>
    <row r="1665" spans="2:7" ht="13">
      <c r="B1665" s="99" t="s">
        <v>89</v>
      </c>
      <c r="C1665" s="99" t="s">
        <v>57</v>
      </c>
      <c r="D1665" s="99" t="s">
        <v>105</v>
      </c>
      <c r="E1665" s="105">
        <v>153.28</v>
      </c>
      <c r="F1665" s="79"/>
      <c r="G1665" s="104" t="s">
        <v>315</v>
      </c>
    </row>
    <row r="1666" spans="2:7" ht="13">
      <c r="B1666" s="99" t="s">
        <v>89</v>
      </c>
      <c r="C1666" s="99" t="s">
        <v>57</v>
      </c>
      <c r="D1666" s="99" t="s">
        <v>105</v>
      </c>
      <c r="E1666" s="105">
        <v>245.05</v>
      </c>
      <c r="F1666" s="79"/>
      <c r="G1666" s="104" t="s">
        <v>315</v>
      </c>
    </row>
    <row r="1667" spans="2:7" ht="13">
      <c r="B1667" s="99" t="s">
        <v>89</v>
      </c>
      <c r="C1667" s="99" t="s">
        <v>57</v>
      </c>
      <c r="D1667" s="99" t="s">
        <v>105</v>
      </c>
      <c r="E1667" s="105">
        <v>628.01</v>
      </c>
      <c r="F1667" s="79"/>
      <c r="G1667" s="104" t="s">
        <v>315</v>
      </c>
    </row>
    <row r="1668" spans="2:7" ht="13">
      <c r="B1668" s="99" t="s">
        <v>55</v>
      </c>
      <c r="C1668" s="99" t="s">
        <v>66</v>
      </c>
      <c r="D1668" s="99" t="s">
        <v>744</v>
      </c>
      <c r="E1668" s="114">
        <f>166.52</f>
        <v>166.52</v>
      </c>
      <c r="F1668" s="79"/>
      <c r="G1668" s="104" t="s">
        <v>315</v>
      </c>
    </row>
    <row r="1669" spans="2:7" ht="13">
      <c r="B1669" s="99" t="s">
        <v>55</v>
      </c>
      <c r="C1669" s="99" t="s">
        <v>66</v>
      </c>
      <c r="E1669" s="114">
        <f>2597.55-E1668</f>
        <v>2431.0300000000002</v>
      </c>
      <c r="F1669" s="79"/>
      <c r="G1669" s="79"/>
    </row>
    <row r="1670" spans="2:7" ht="13">
      <c r="B1670" s="99" t="s">
        <v>55</v>
      </c>
      <c r="C1670" s="99" t="s">
        <v>70</v>
      </c>
      <c r="E1670" s="114">
        <f>80.07</f>
        <v>80.069999999999993</v>
      </c>
      <c r="F1670" s="79"/>
      <c r="G1670" s="79"/>
    </row>
    <row r="1671" spans="2:7" ht="13">
      <c r="B1671" s="99" t="s">
        <v>55</v>
      </c>
      <c r="C1671" s="99" t="s">
        <v>93</v>
      </c>
      <c r="E1671" s="105">
        <v>39.46</v>
      </c>
      <c r="F1671" s="79"/>
      <c r="G1671" s="79"/>
    </row>
    <row r="1672" spans="2:7" ht="13">
      <c r="B1672" s="99" t="s">
        <v>55</v>
      </c>
      <c r="C1672" s="99" t="s">
        <v>63</v>
      </c>
      <c r="D1672" s="99" t="s">
        <v>306</v>
      </c>
      <c r="E1672" s="114">
        <f>92.34+102.36+114.96+51.18+103.44+50.3</f>
        <v>514.57999999999993</v>
      </c>
      <c r="F1672" s="104" t="s">
        <v>315</v>
      </c>
      <c r="G1672" s="79"/>
    </row>
    <row r="1673" spans="2:7" ht="13">
      <c r="B1673" s="99" t="s">
        <v>55</v>
      </c>
      <c r="C1673" s="99" t="s">
        <v>63</v>
      </c>
      <c r="D1673" s="99" t="s">
        <v>566</v>
      </c>
      <c r="E1673" s="105">
        <v>904.96</v>
      </c>
      <c r="F1673" s="104" t="s">
        <v>315</v>
      </c>
      <c r="G1673" s="79"/>
    </row>
    <row r="1674" spans="2:7" ht="13">
      <c r="B1674" s="99" t="s">
        <v>55</v>
      </c>
      <c r="C1674" s="99" t="s">
        <v>97</v>
      </c>
      <c r="E1674" s="114">
        <f>2218.98-E1672-E1673</f>
        <v>799.44</v>
      </c>
      <c r="F1674" s="79"/>
      <c r="G1674" s="79"/>
    </row>
    <row r="1675" spans="2:7" ht="13">
      <c r="B1675" s="99" t="s">
        <v>55</v>
      </c>
      <c r="C1675" s="99" t="s">
        <v>59</v>
      </c>
      <c r="D1675" s="99" t="s">
        <v>556</v>
      </c>
      <c r="E1675" s="114">
        <f>29.83+9.4+45.28+24.57+68.34+20.39+67.01+14.88+52.9+1.92+31.44</f>
        <v>365.96</v>
      </c>
      <c r="F1675" s="104" t="s">
        <v>315</v>
      </c>
      <c r="G1675" s="79"/>
    </row>
    <row r="1676" spans="2:7" ht="13">
      <c r="B1676" s="99" t="s">
        <v>55</v>
      </c>
      <c r="C1676" s="99" t="s">
        <v>59</v>
      </c>
      <c r="D1676" s="99" t="s">
        <v>441</v>
      </c>
      <c r="E1676" s="114">
        <f>117.77+18.33+29.31+15.9+37.48+37.42+37.52+135.68+164.05+44.41</f>
        <v>637.87</v>
      </c>
      <c r="F1676" s="104" t="s">
        <v>315</v>
      </c>
      <c r="G1676" s="79"/>
    </row>
    <row r="1677" spans="2:7" ht="13">
      <c r="B1677" s="99" t="s">
        <v>55</v>
      </c>
      <c r="C1677" s="99" t="s">
        <v>59</v>
      </c>
      <c r="D1677" s="99" t="s">
        <v>444</v>
      </c>
      <c r="E1677" s="114">
        <f>46.23+103.02+78.04+16.74</f>
        <v>244.03000000000003</v>
      </c>
      <c r="F1677" s="104" t="s">
        <v>315</v>
      </c>
      <c r="G1677" s="79"/>
    </row>
    <row r="1678" spans="2:7" ht="13">
      <c r="B1678" s="99" t="s">
        <v>55</v>
      </c>
      <c r="C1678" s="99" t="s">
        <v>59</v>
      </c>
      <c r="D1678" s="99" t="s">
        <v>306</v>
      </c>
      <c r="E1678" s="114">
        <f>36.76+136.15+44.44+59.95+74.48</f>
        <v>351.78000000000003</v>
      </c>
      <c r="F1678" s="104" t="s">
        <v>315</v>
      </c>
      <c r="G1678" s="79"/>
    </row>
    <row r="1679" spans="2:7" ht="13">
      <c r="B1679" s="99" t="s">
        <v>55</v>
      </c>
      <c r="C1679" s="99" t="s">
        <v>59</v>
      </c>
      <c r="D1679" s="99" t="s">
        <v>449</v>
      </c>
      <c r="E1679" s="105">
        <v>46.83</v>
      </c>
      <c r="F1679" s="104" t="s">
        <v>315</v>
      </c>
      <c r="G1679" s="79"/>
    </row>
    <row r="1680" spans="2:7" ht="13">
      <c r="B1680" s="99" t="s">
        <v>55</v>
      </c>
      <c r="C1680" s="99" t="s">
        <v>59</v>
      </c>
      <c r="E1680" s="114">
        <f>2107.19-E1675-E1676-E1677-E1678-E1679</f>
        <v>460.72000000000014</v>
      </c>
      <c r="F1680" s="79"/>
      <c r="G1680" s="79"/>
    </row>
    <row r="1681" spans="2:7" ht="13">
      <c r="B1681" s="99" t="s">
        <v>55</v>
      </c>
      <c r="C1681" s="99" t="s">
        <v>57</v>
      </c>
      <c r="E1681" s="114">
        <f>1446.17</f>
        <v>1446.17</v>
      </c>
      <c r="F1681" s="79"/>
      <c r="G1681" s="79"/>
    </row>
    <row r="1682" spans="2:7" ht="13">
      <c r="B1682" s="99" t="s">
        <v>55</v>
      </c>
      <c r="C1682" s="99" t="s">
        <v>112</v>
      </c>
      <c r="D1682" s="99" t="s">
        <v>745</v>
      </c>
      <c r="E1682" s="105">
        <v>650.5</v>
      </c>
      <c r="F1682" s="104" t="s">
        <v>315</v>
      </c>
      <c r="G1682" s="104" t="s">
        <v>315</v>
      </c>
    </row>
    <row r="1683" spans="2:7" ht="13">
      <c r="B1683" s="99" t="s">
        <v>55</v>
      </c>
      <c r="C1683" s="99" t="s">
        <v>70</v>
      </c>
      <c r="E1683" s="105">
        <v>538.55999999999995</v>
      </c>
      <c r="F1683" s="79"/>
      <c r="G1683" s="79"/>
    </row>
    <row r="1684" spans="2:7" ht="13">
      <c r="B1684" s="99" t="s">
        <v>55</v>
      </c>
      <c r="C1684" s="99" t="s">
        <v>59</v>
      </c>
      <c r="E1684" s="105">
        <v>17.05</v>
      </c>
      <c r="F1684" s="79"/>
      <c r="G1684" s="79"/>
    </row>
    <row r="1685" spans="2:7" ht="13">
      <c r="B1685" s="99" t="s">
        <v>55</v>
      </c>
      <c r="C1685" s="99" t="s">
        <v>57</v>
      </c>
      <c r="E1685" s="105">
        <v>15.49</v>
      </c>
      <c r="F1685" s="79"/>
      <c r="G1685" s="79"/>
    </row>
    <row r="1686" spans="2:7" ht="13">
      <c r="B1686" s="99" t="s">
        <v>55</v>
      </c>
      <c r="C1686" s="99" t="s">
        <v>62</v>
      </c>
      <c r="E1686" s="105">
        <v>91.47</v>
      </c>
      <c r="F1686" s="79"/>
      <c r="G1686" s="79"/>
    </row>
    <row r="1687" spans="2:7" ht="13">
      <c r="B1687" s="99" t="s">
        <v>55</v>
      </c>
      <c r="C1687" s="99" t="s">
        <v>57</v>
      </c>
      <c r="E1687" s="105">
        <v>68.7</v>
      </c>
      <c r="F1687" s="79"/>
      <c r="G1687" s="79"/>
    </row>
    <row r="1688" spans="2:7" ht="13">
      <c r="B1688" s="99" t="s">
        <v>55</v>
      </c>
      <c r="C1688" s="99" t="s">
        <v>112</v>
      </c>
      <c r="E1688" s="105">
        <v>49.41</v>
      </c>
      <c r="F1688" s="79"/>
      <c r="G1688" s="79"/>
    </row>
    <row r="1689" spans="2:7" ht="13">
      <c r="B1689" s="99" t="s">
        <v>55</v>
      </c>
      <c r="C1689" s="99" t="s">
        <v>97</v>
      </c>
      <c r="E1689" s="105">
        <v>173.35</v>
      </c>
      <c r="F1689" s="79"/>
      <c r="G1689" s="79"/>
    </row>
    <row r="1690" spans="2:7" ht="13">
      <c r="B1690" s="99" t="s">
        <v>55</v>
      </c>
      <c r="C1690" s="99" t="s">
        <v>62</v>
      </c>
      <c r="E1690" s="105">
        <v>767.55</v>
      </c>
      <c r="F1690" s="79"/>
      <c r="G1690" s="79"/>
    </row>
    <row r="1691" spans="2:7" ht="13">
      <c r="B1691" s="99" t="s">
        <v>55</v>
      </c>
      <c r="C1691" s="99" t="s">
        <v>59</v>
      </c>
      <c r="D1691" s="99" t="s">
        <v>194</v>
      </c>
      <c r="E1691" s="114">
        <f>67.55+55.64</f>
        <v>123.19</v>
      </c>
      <c r="F1691" s="104" t="s">
        <v>315</v>
      </c>
      <c r="G1691" s="79"/>
    </row>
    <row r="1692" spans="2:7" ht="13">
      <c r="B1692" s="99" t="s">
        <v>55</v>
      </c>
      <c r="C1692" s="99" t="s">
        <v>59</v>
      </c>
      <c r="E1692" s="114">
        <f>289.05-E1691</f>
        <v>165.86</v>
      </c>
      <c r="F1692" s="79"/>
      <c r="G1692" s="79"/>
    </row>
    <row r="1693" spans="2:7" ht="13">
      <c r="B1693" s="99" t="s">
        <v>55</v>
      </c>
      <c r="C1693" s="99" t="s">
        <v>57</v>
      </c>
      <c r="D1693" s="99" t="s">
        <v>449</v>
      </c>
      <c r="E1693" s="114">
        <f>127.59</f>
        <v>127.59</v>
      </c>
      <c r="F1693" s="104" t="s">
        <v>315</v>
      </c>
      <c r="G1693" s="79"/>
    </row>
    <row r="1694" spans="2:7" ht="13">
      <c r="B1694" s="99" t="s">
        <v>55</v>
      </c>
      <c r="C1694" s="99" t="s">
        <v>57</v>
      </c>
      <c r="E1694" s="105">
        <v>54.59</v>
      </c>
      <c r="F1694" s="79"/>
      <c r="G1694" s="79"/>
    </row>
    <row r="1695" spans="2:7" ht="13">
      <c r="B1695" s="99" t="s">
        <v>55</v>
      </c>
      <c r="C1695" s="99" t="s">
        <v>59</v>
      </c>
      <c r="D1695" s="99" t="s">
        <v>647</v>
      </c>
      <c r="E1695" s="105">
        <v>106.97</v>
      </c>
      <c r="F1695" s="79"/>
      <c r="G1695" s="79"/>
    </row>
    <row r="1696" spans="2:7" ht="13">
      <c r="B1696" s="99" t="s">
        <v>55</v>
      </c>
      <c r="C1696" s="99" t="s">
        <v>59</v>
      </c>
      <c r="D1696" s="99" t="s">
        <v>446</v>
      </c>
      <c r="E1696" s="105">
        <v>27.94</v>
      </c>
      <c r="F1696" s="79"/>
      <c r="G1696" s="79"/>
    </row>
    <row r="1697" spans="2:7" ht="13">
      <c r="B1697" s="99" t="s">
        <v>55</v>
      </c>
      <c r="C1697" s="99" t="s">
        <v>59</v>
      </c>
      <c r="E1697" s="105">
        <v>16.47</v>
      </c>
      <c r="F1697" s="79"/>
      <c r="G1697" s="79"/>
    </row>
    <row r="1698" spans="2:7" ht="13">
      <c r="B1698" s="99" t="s">
        <v>55</v>
      </c>
      <c r="C1698" s="99" t="s">
        <v>112</v>
      </c>
      <c r="D1698" s="99" t="s">
        <v>745</v>
      </c>
      <c r="E1698" s="105">
        <v>78.06</v>
      </c>
      <c r="F1698" s="104" t="s">
        <v>315</v>
      </c>
      <c r="G1698" s="104" t="s">
        <v>315</v>
      </c>
    </row>
    <row r="1699" spans="2:7" ht="13">
      <c r="B1699" s="99" t="s">
        <v>55</v>
      </c>
      <c r="C1699" s="99" t="s">
        <v>57</v>
      </c>
      <c r="E1699" s="105">
        <v>175.57</v>
      </c>
      <c r="F1699" s="79"/>
      <c r="G1699" s="79"/>
    </row>
    <row r="1700" spans="2:7" ht="13">
      <c r="B1700" s="99" t="s">
        <v>55</v>
      </c>
      <c r="C1700" s="99" t="s">
        <v>66</v>
      </c>
      <c r="E1700" s="105">
        <v>340.19</v>
      </c>
      <c r="F1700" s="79"/>
      <c r="G1700" s="79"/>
    </row>
    <row r="1701" spans="2:7" ht="13">
      <c r="B1701" s="99" t="s">
        <v>55</v>
      </c>
      <c r="C1701" s="99" t="s">
        <v>97</v>
      </c>
      <c r="E1701" s="105">
        <v>35.4</v>
      </c>
      <c r="F1701" s="79"/>
      <c r="G1701" s="79"/>
    </row>
    <row r="1702" spans="2:7" ht="13">
      <c r="B1702" s="99" t="s">
        <v>55</v>
      </c>
      <c r="C1702" s="99" t="s">
        <v>63</v>
      </c>
      <c r="D1702" s="99" t="s">
        <v>566</v>
      </c>
      <c r="E1702" s="105">
        <v>293.22000000000003</v>
      </c>
      <c r="F1702" s="79"/>
      <c r="G1702" s="79"/>
    </row>
    <row r="1703" spans="2:7" ht="13">
      <c r="B1703" s="99" t="s">
        <v>55</v>
      </c>
      <c r="C1703" s="99" t="s">
        <v>63</v>
      </c>
      <c r="D1703" s="99" t="s">
        <v>306</v>
      </c>
      <c r="E1703" s="114">
        <f>75.52+40.67</f>
        <v>116.19</v>
      </c>
      <c r="F1703" s="79"/>
      <c r="G1703" s="79"/>
    </row>
    <row r="1704" spans="2:7" ht="13">
      <c r="B1704" s="99" t="s">
        <v>55</v>
      </c>
      <c r="C1704" s="99" t="s">
        <v>62</v>
      </c>
      <c r="E1704" s="105">
        <v>50.4</v>
      </c>
      <c r="F1704" s="79"/>
      <c r="G1704" s="79"/>
    </row>
    <row r="1705" spans="2:7" ht="13">
      <c r="B1705" s="99" t="s">
        <v>55</v>
      </c>
      <c r="C1705" s="99" t="s">
        <v>59</v>
      </c>
      <c r="D1705" s="99" t="s">
        <v>112</v>
      </c>
      <c r="E1705" s="114">
        <f>24.34+36.7</f>
        <v>61.040000000000006</v>
      </c>
      <c r="F1705" s="79"/>
      <c r="G1705" s="79"/>
    </row>
    <row r="1706" spans="2:7" ht="13">
      <c r="B1706" s="99" t="s">
        <v>55</v>
      </c>
      <c r="C1706" s="99" t="s">
        <v>59</v>
      </c>
      <c r="D1706" s="99" t="s">
        <v>556</v>
      </c>
      <c r="E1706" s="114">
        <f>14.88+21.63</f>
        <v>36.51</v>
      </c>
      <c r="F1706" s="79"/>
      <c r="G1706" s="79"/>
    </row>
    <row r="1707" spans="2:7" ht="13">
      <c r="B1707" s="99" t="s">
        <v>55</v>
      </c>
      <c r="C1707" s="99" t="s">
        <v>59</v>
      </c>
      <c r="D1707" s="99" t="s">
        <v>441</v>
      </c>
      <c r="E1707" s="114">
        <f>23.01+58.07+67.84</f>
        <v>148.92000000000002</v>
      </c>
      <c r="F1707" s="79"/>
      <c r="G1707" s="79"/>
    </row>
    <row r="1708" spans="2:7" ht="13">
      <c r="B1708" s="99" t="s">
        <v>55</v>
      </c>
      <c r="C1708" s="99" t="s">
        <v>59</v>
      </c>
      <c r="D1708" s="99" t="s">
        <v>449</v>
      </c>
      <c r="E1708" s="105">
        <v>140.49</v>
      </c>
      <c r="F1708" s="79"/>
      <c r="G1708" s="79"/>
    </row>
    <row r="1709" spans="2:7" ht="13">
      <c r="B1709" s="99" t="s">
        <v>55</v>
      </c>
      <c r="C1709" s="99" t="s">
        <v>59</v>
      </c>
      <c r="E1709" s="114">
        <f>407.32-E1705-E1706-E1707-E1708</f>
        <v>20.359999999999957</v>
      </c>
      <c r="F1709" s="79"/>
      <c r="G1709" s="79"/>
    </row>
    <row r="1710" spans="2:7" ht="13">
      <c r="B1710" s="99" t="s">
        <v>55</v>
      </c>
      <c r="C1710" s="99" t="s">
        <v>57</v>
      </c>
      <c r="E1710" s="105">
        <v>175.57</v>
      </c>
      <c r="F1710" s="79"/>
      <c r="G1710" s="79"/>
    </row>
    <row r="1711" spans="2:7" ht="13">
      <c r="B1711" s="99" t="s">
        <v>55</v>
      </c>
      <c r="C1711" s="99" t="s">
        <v>112</v>
      </c>
      <c r="D1711" s="99" t="s">
        <v>745</v>
      </c>
      <c r="E1711" s="114"/>
      <c r="F1711" s="79"/>
      <c r="G1711" s="79"/>
    </row>
    <row r="1712" spans="2:7" ht="13">
      <c r="B1712" s="99" t="s">
        <v>55</v>
      </c>
      <c r="C1712" s="99" t="s">
        <v>66</v>
      </c>
      <c r="E1712" s="105">
        <v>500.62</v>
      </c>
      <c r="F1712" s="79"/>
      <c r="G1712" s="79"/>
    </row>
    <row r="1713" spans="2:7" ht="13">
      <c r="B1713" s="99" t="s">
        <v>55</v>
      </c>
      <c r="C1713" s="99" t="s">
        <v>62</v>
      </c>
      <c r="E1713" s="105">
        <v>61.11</v>
      </c>
      <c r="F1713" s="79"/>
      <c r="G1713" s="79"/>
    </row>
    <row r="1714" spans="2:7" ht="13">
      <c r="B1714" s="99" t="s">
        <v>55</v>
      </c>
      <c r="C1714" s="99" t="s">
        <v>59</v>
      </c>
      <c r="D1714" s="99" t="s">
        <v>112</v>
      </c>
      <c r="E1714" s="114">
        <f>44.74+55.52+67.76</f>
        <v>168.02</v>
      </c>
      <c r="F1714" s="79"/>
      <c r="G1714" s="79"/>
    </row>
    <row r="1715" spans="2:7" ht="13">
      <c r="B1715" s="99" t="s">
        <v>55</v>
      </c>
      <c r="C1715" s="99" t="s">
        <v>59</v>
      </c>
      <c r="D1715" s="99" t="s">
        <v>556</v>
      </c>
      <c r="E1715" s="114">
        <f>7.17+10.49+68.34+17.12</f>
        <v>103.12</v>
      </c>
      <c r="F1715" s="79"/>
      <c r="G1715" s="79"/>
    </row>
    <row r="1716" spans="2:7" ht="13">
      <c r="B1716" s="99" t="s">
        <v>55</v>
      </c>
      <c r="C1716" s="99" t="s">
        <v>59</v>
      </c>
      <c r="D1716" s="99" t="s">
        <v>442</v>
      </c>
      <c r="E1716" s="105">
        <v>16.3</v>
      </c>
      <c r="F1716" s="79"/>
      <c r="G1716" s="79"/>
    </row>
    <row r="1717" spans="2:7" ht="13">
      <c r="B1717" s="99" t="s">
        <v>55</v>
      </c>
      <c r="C1717" s="99" t="s">
        <v>59</v>
      </c>
      <c r="D1717" s="99" t="s">
        <v>441</v>
      </c>
      <c r="E1717" s="105">
        <v>65.62</v>
      </c>
      <c r="F1717" s="79"/>
      <c r="G1717" s="79"/>
    </row>
    <row r="1718" spans="2:7" ht="13">
      <c r="B1718" s="99" t="s">
        <v>55</v>
      </c>
      <c r="C1718" s="99" t="s">
        <v>59</v>
      </c>
      <c r="E1718" s="114">
        <f>792.07-E1715-E1714-E1716-E1717</f>
        <v>439.01000000000005</v>
      </c>
      <c r="F1718" s="79"/>
      <c r="G1718" s="79"/>
    </row>
    <row r="1719" spans="2:7" ht="13">
      <c r="B1719" s="99" t="s">
        <v>55</v>
      </c>
      <c r="C1719" s="99" t="s">
        <v>57</v>
      </c>
      <c r="D1719" s="99" t="s">
        <v>449</v>
      </c>
      <c r="E1719" s="114">
        <f>(17.99)*2</f>
        <v>35.979999999999997</v>
      </c>
      <c r="F1719" s="79"/>
      <c r="G1719" s="79"/>
    </row>
    <row r="1720" spans="2:7" ht="13">
      <c r="B1720" s="99" t="s">
        <v>55</v>
      </c>
      <c r="C1720" s="99" t="s">
        <v>57</v>
      </c>
      <c r="D1720" s="99" t="s">
        <v>746</v>
      </c>
      <c r="E1720" s="105">
        <v>16.03</v>
      </c>
      <c r="F1720" s="79"/>
      <c r="G1720" s="79"/>
    </row>
    <row r="1721" spans="2:7" ht="13">
      <c r="B1721" s="99" t="s">
        <v>55</v>
      </c>
      <c r="C1721" s="99" t="s">
        <v>57</v>
      </c>
      <c r="E1721" s="114">
        <f>1411.85-E1719-E1720</f>
        <v>1359.84</v>
      </c>
      <c r="F1721" s="79"/>
      <c r="G1721" s="79"/>
    </row>
    <row r="1722" spans="2:7" ht="13">
      <c r="B1722" s="99" t="s">
        <v>55</v>
      </c>
      <c r="C1722" s="99" t="s">
        <v>62</v>
      </c>
      <c r="D1722" s="99" t="s">
        <v>747</v>
      </c>
      <c r="E1722" s="105">
        <v>84.2</v>
      </c>
      <c r="F1722" s="104" t="s">
        <v>315</v>
      </c>
      <c r="G1722" s="79"/>
    </row>
    <row r="1723" spans="2:7" ht="13">
      <c r="B1723" s="99" t="s">
        <v>55</v>
      </c>
      <c r="C1723" s="99" t="s">
        <v>59</v>
      </c>
      <c r="E1723" s="105">
        <v>102.26</v>
      </c>
      <c r="F1723" s="79"/>
      <c r="G1723" s="79"/>
    </row>
    <row r="1724" spans="2:7" ht="13">
      <c r="B1724" s="99" t="s">
        <v>55</v>
      </c>
      <c r="C1724" s="99" t="s">
        <v>57</v>
      </c>
      <c r="D1724" s="99" t="s">
        <v>449</v>
      </c>
      <c r="E1724" s="114">
        <f>49.6*2</f>
        <v>99.2</v>
      </c>
      <c r="F1724" s="104" t="s">
        <v>315</v>
      </c>
      <c r="G1724" s="79"/>
    </row>
    <row r="1725" spans="2:7" ht="13">
      <c r="B1725" s="99" t="s">
        <v>55</v>
      </c>
      <c r="C1725" s="99" t="s">
        <v>57</v>
      </c>
      <c r="D1725" s="99" t="s">
        <v>746</v>
      </c>
      <c r="E1725" s="105">
        <v>32.06</v>
      </c>
      <c r="F1725" s="79"/>
      <c r="G1725" s="104" t="s">
        <v>315</v>
      </c>
    </row>
    <row r="1726" spans="2:7" ht="13">
      <c r="B1726" s="99" t="s">
        <v>55</v>
      </c>
      <c r="C1726" s="99" t="s">
        <v>57</v>
      </c>
      <c r="E1726" s="114">
        <f>310.94-E1724-E1725</f>
        <v>179.68</v>
      </c>
      <c r="F1726" s="79"/>
      <c r="G1726" s="79"/>
    </row>
    <row r="1727" spans="2:7" ht="13">
      <c r="B1727" s="99" t="s">
        <v>55</v>
      </c>
      <c r="C1727" s="99" t="s">
        <v>62</v>
      </c>
      <c r="E1727" s="105">
        <v>94.86</v>
      </c>
      <c r="F1727" s="79"/>
      <c r="G1727" s="79"/>
    </row>
    <row r="1728" spans="2:7" ht="13">
      <c r="B1728" s="99" t="s">
        <v>55</v>
      </c>
      <c r="C1728" s="99" t="s">
        <v>66</v>
      </c>
      <c r="D1728" s="99" t="s">
        <v>744</v>
      </c>
      <c r="E1728" s="105">
        <v>249.78</v>
      </c>
      <c r="F1728" s="79"/>
      <c r="G1728" s="104" t="s">
        <v>315</v>
      </c>
    </row>
    <row r="1729" spans="2:7" ht="13">
      <c r="B1729" s="99" t="s">
        <v>55</v>
      </c>
      <c r="C1729" s="99" t="s">
        <v>66</v>
      </c>
      <c r="E1729" s="114">
        <f>3971.34-E1728</f>
        <v>3721.56</v>
      </c>
      <c r="F1729" s="79"/>
      <c r="G1729" s="79"/>
    </row>
    <row r="1730" spans="2:7" ht="13">
      <c r="B1730" s="99" t="s">
        <v>55</v>
      </c>
      <c r="C1730" s="99" t="s">
        <v>70</v>
      </c>
      <c r="E1730" s="105">
        <v>204.24</v>
      </c>
      <c r="F1730" s="79"/>
      <c r="G1730" s="79"/>
    </row>
    <row r="1731" spans="2:7" ht="13">
      <c r="B1731" s="99" t="s">
        <v>55</v>
      </c>
      <c r="C1731" s="99" t="s">
        <v>63</v>
      </c>
      <c r="D1731" s="99" t="s">
        <v>112</v>
      </c>
      <c r="E1731" s="114">
        <f>23.09+68.24+44.1+129.3+86.43</f>
        <v>351.16</v>
      </c>
      <c r="F1731" s="104" t="s">
        <v>315</v>
      </c>
      <c r="G1731" s="79"/>
    </row>
    <row r="1732" spans="2:7" ht="13">
      <c r="B1732" s="99" t="s">
        <v>55</v>
      </c>
      <c r="C1732" s="99" t="s">
        <v>63</v>
      </c>
      <c r="E1732" s="114">
        <f>874.85-E1731</f>
        <v>523.69000000000005</v>
      </c>
      <c r="F1732" s="79"/>
      <c r="G1732" s="79"/>
    </row>
    <row r="1733" spans="2:7" ht="13">
      <c r="B1733" s="99" t="s">
        <v>55</v>
      </c>
      <c r="C1733" s="99" t="s">
        <v>59</v>
      </c>
      <c r="D1733" s="99" t="s">
        <v>440</v>
      </c>
      <c r="E1733" s="114">
        <f>104.13+173.08+29.31+37.34+48.15+74.84+252.9+185.8+41.99+49.94+32.47+90.72+164.05+27</f>
        <v>1311.72</v>
      </c>
      <c r="F1733" s="104" t="s">
        <v>315</v>
      </c>
      <c r="G1733" s="79"/>
    </row>
    <row r="1734" spans="2:7" ht="13">
      <c r="B1734" s="99" t="s">
        <v>55</v>
      </c>
      <c r="C1734" s="99" t="s">
        <v>59</v>
      </c>
      <c r="D1734" s="99" t="s">
        <v>444</v>
      </c>
      <c r="E1734" s="114">
        <f>14.25+15.41+17.17</f>
        <v>46.83</v>
      </c>
      <c r="F1734" s="104" t="s">
        <v>315</v>
      </c>
      <c r="G1734" s="79"/>
    </row>
    <row r="1735" spans="2:7" ht="13">
      <c r="B1735" s="99" t="s">
        <v>55</v>
      </c>
      <c r="C1735" s="99" t="s">
        <v>59</v>
      </c>
      <c r="D1735" s="99" t="s">
        <v>556</v>
      </c>
      <c r="E1735" s="114">
        <f>6.86+8.19+8.11+69.06</f>
        <v>92.22</v>
      </c>
      <c r="F1735" s="104" t="s">
        <v>315</v>
      </c>
      <c r="G1735" s="79"/>
    </row>
    <row r="1736" spans="2:7" ht="13">
      <c r="B1736" s="99" t="s">
        <v>55</v>
      </c>
      <c r="C1736" s="99" t="s">
        <v>59</v>
      </c>
      <c r="D1736" s="99" t="s">
        <v>112</v>
      </c>
      <c r="E1736" s="114">
        <f>81.69+38.94</f>
        <v>120.63</v>
      </c>
      <c r="F1736" s="104" t="s">
        <v>315</v>
      </c>
      <c r="G1736" s="79"/>
    </row>
    <row r="1737" spans="2:7" ht="13">
      <c r="B1737" s="99" t="s">
        <v>55</v>
      </c>
      <c r="C1737" s="99" t="s">
        <v>59</v>
      </c>
      <c r="D1737" s="99" t="s">
        <v>708</v>
      </c>
      <c r="E1737" s="105">
        <v>45.66</v>
      </c>
      <c r="F1737" s="104" t="s">
        <v>315</v>
      </c>
      <c r="G1737" s="79"/>
    </row>
    <row r="1738" spans="2:7" ht="13">
      <c r="B1738" s="99" t="s">
        <v>55</v>
      </c>
      <c r="C1738" s="99" t="s">
        <v>59</v>
      </c>
      <c r="E1738" s="114">
        <f>2186.58-E1733-E1734-E1735-E1736-E1737</f>
        <v>569.51999999999987</v>
      </c>
      <c r="F1738" s="79"/>
      <c r="G1738" s="79"/>
    </row>
    <row r="1739" spans="2:7" ht="13">
      <c r="B1739" s="99" t="s">
        <v>55</v>
      </c>
      <c r="C1739" s="99" t="s">
        <v>57</v>
      </c>
      <c r="E1739" s="105">
        <v>2174.17</v>
      </c>
      <c r="F1739" s="79"/>
      <c r="G1739" s="79"/>
    </row>
    <row r="1740" spans="2:7" ht="13">
      <c r="B1740" s="99" t="s">
        <v>55</v>
      </c>
      <c r="C1740" s="99" t="s">
        <v>112</v>
      </c>
      <c r="D1740" s="99" t="s">
        <v>745</v>
      </c>
      <c r="E1740" s="105">
        <v>520.4</v>
      </c>
      <c r="F1740" s="104" t="s">
        <v>315</v>
      </c>
      <c r="G1740" s="104" t="s">
        <v>315</v>
      </c>
    </row>
    <row r="1741" spans="2:7" ht="13">
      <c r="B1741" s="99" t="s">
        <v>55</v>
      </c>
      <c r="C1741" s="99" t="s">
        <v>63</v>
      </c>
      <c r="D1741" s="99" t="s">
        <v>112</v>
      </c>
      <c r="E1741" s="105">
        <v>299.5</v>
      </c>
      <c r="F1741" s="79"/>
      <c r="G1741" s="79"/>
    </row>
    <row r="1742" spans="2:7" ht="13">
      <c r="B1742" s="99" t="s">
        <v>55</v>
      </c>
      <c r="C1742" s="99" t="s">
        <v>62</v>
      </c>
      <c r="D1742" s="99" t="s">
        <v>683</v>
      </c>
      <c r="E1742" s="105">
        <v>117.88</v>
      </c>
      <c r="F1742" s="79"/>
      <c r="G1742" s="79"/>
    </row>
    <row r="1743" spans="2:7" ht="13">
      <c r="B1743" s="99" t="s">
        <v>55</v>
      </c>
      <c r="C1743" s="99" t="s">
        <v>62</v>
      </c>
      <c r="E1743" s="105">
        <v>65.88</v>
      </c>
      <c r="F1743" s="79"/>
      <c r="G1743" s="79"/>
    </row>
    <row r="1744" spans="2:7" ht="13">
      <c r="B1744" s="99" t="s">
        <v>55</v>
      </c>
      <c r="C1744" s="99" t="s">
        <v>59</v>
      </c>
      <c r="E1744" s="105">
        <v>94.44</v>
      </c>
      <c r="F1744" s="79"/>
      <c r="G1744" s="79"/>
    </row>
    <row r="1745" spans="2:7" ht="13">
      <c r="B1745" s="99" t="s">
        <v>55</v>
      </c>
      <c r="C1745" s="99" t="s">
        <v>57</v>
      </c>
      <c r="E1745" s="105">
        <v>183.37</v>
      </c>
      <c r="F1745" s="79"/>
      <c r="G1745" s="79"/>
    </row>
    <row r="1746" spans="2:7" ht="13">
      <c r="B1746" s="99" t="s">
        <v>55</v>
      </c>
      <c r="C1746" s="99" t="s">
        <v>112</v>
      </c>
      <c r="E1746" s="105">
        <v>70.349999999999994</v>
      </c>
      <c r="F1746" s="79"/>
      <c r="G1746" s="79"/>
    </row>
    <row r="1747" spans="2:7" ht="13">
      <c r="B1747" s="99" t="s">
        <v>55</v>
      </c>
      <c r="C1747" s="99" t="s">
        <v>63</v>
      </c>
      <c r="E1747" s="105">
        <v>28.98</v>
      </c>
      <c r="F1747" s="79"/>
      <c r="G1747" s="79"/>
    </row>
    <row r="1748" spans="2:7" ht="13">
      <c r="B1748" s="99" t="s">
        <v>55</v>
      </c>
      <c r="C1748" s="99" t="s">
        <v>66</v>
      </c>
      <c r="E1748" s="105">
        <v>217.62</v>
      </c>
      <c r="F1748" s="79"/>
      <c r="G1748" s="79"/>
    </row>
    <row r="1749" spans="2:7" ht="13">
      <c r="B1749" s="99" t="s">
        <v>55</v>
      </c>
      <c r="C1749" s="99" t="s">
        <v>70</v>
      </c>
      <c r="E1749" s="105">
        <v>457.92</v>
      </c>
      <c r="F1749" s="79"/>
      <c r="G1749" s="79"/>
    </row>
    <row r="1750" spans="2:7" ht="13">
      <c r="B1750" s="99" t="s">
        <v>55</v>
      </c>
      <c r="C1750" s="99" t="s">
        <v>63</v>
      </c>
      <c r="D1750" s="99" t="s">
        <v>306</v>
      </c>
      <c r="E1750" s="105">
        <v>399.64</v>
      </c>
      <c r="F1750" s="104" t="s">
        <v>315</v>
      </c>
      <c r="G1750" s="79"/>
    </row>
    <row r="1751" spans="2:7" ht="13">
      <c r="B1751" s="99" t="s">
        <v>55</v>
      </c>
      <c r="C1751" s="99" t="s">
        <v>59</v>
      </c>
      <c r="D1751" s="99" t="s">
        <v>441</v>
      </c>
      <c r="E1751" s="114">
        <f>17.92+41.99+262.48</f>
        <v>322.39000000000004</v>
      </c>
      <c r="F1751" s="104" t="s">
        <v>315</v>
      </c>
      <c r="G1751" s="79"/>
    </row>
    <row r="1752" spans="2:7" ht="13">
      <c r="B1752" s="99" t="s">
        <v>55</v>
      </c>
      <c r="C1752" s="99" t="s">
        <v>59</v>
      </c>
      <c r="D1752" s="99" t="s">
        <v>748</v>
      </c>
      <c r="E1752" s="114">
        <f>179.32+68.34+69.09</f>
        <v>316.75</v>
      </c>
      <c r="F1752" s="104" t="s">
        <v>315</v>
      </c>
      <c r="G1752" s="79"/>
    </row>
    <row r="1753" spans="2:7" ht="13">
      <c r="B1753" s="99" t="s">
        <v>55</v>
      </c>
      <c r="C1753" s="99" t="s">
        <v>59</v>
      </c>
      <c r="D1753" s="99" t="s">
        <v>112</v>
      </c>
      <c r="E1753" s="105">
        <v>46.38</v>
      </c>
      <c r="F1753" s="104" t="s">
        <v>315</v>
      </c>
      <c r="G1753" s="79"/>
    </row>
    <row r="1754" spans="2:7" ht="13">
      <c r="B1754" s="99" t="s">
        <v>55</v>
      </c>
      <c r="C1754" s="99" t="s">
        <v>59</v>
      </c>
      <c r="E1754" s="114">
        <f>816.08-E1753-E1752-E1751</f>
        <v>130.56</v>
      </c>
      <c r="F1754" s="79"/>
      <c r="G1754" s="79"/>
    </row>
    <row r="1755" spans="2:7" ht="13">
      <c r="B1755" s="99" t="s">
        <v>55</v>
      </c>
      <c r="C1755" s="99" t="s">
        <v>57</v>
      </c>
      <c r="E1755" s="105">
        <v>758.58</v>
      </c>
      <c r="F1755" s="79"/>
      <c r="G1755" s="79"/>
    </row>
    <row r="1756" spans="2:7" ht="13">
      <c r="B1756" s="99" t="s">
        <v>55</v>
      </c>
      <c r="C1756" s="99" t="s">
        <v>112</v>
      </c>
      <c r="D1756" s="99" t="s">
        <v>745</v>
      </c>
      <c r="E1756" s="105">
        <v>195.15</v>
      </c>
      <c r="F1756" s="104" t="s">
        <v>315</v>
      </c>
      <c r="G1756" s="104" t="s">
        <v>315</v>
      </c>
    </row>
    <row r="1757" spans="2:7" ht="13">
      <c r="B1757" s="99" t="s">
        <v>55</v>
      </c>
      <c r="C1757" s="99" t="s">
        <v>59</v>
      </c>
      <c r="D1757" s="99" t="s">
        <v>557</v>
      </c>
      <c r="E1757" s="105">
        <v>235.54</v>
      </c>
      <c r="F1757" s="104" t="s">
        <v>315</v>
      </c>
      <c r="G1757" s="79"/>
    </row>
    <row r="1758" spans="2:7" ht="13">
      <c r="B1758" s="99" t="s">
        <v>55</v>
      </c>
      <c r="C1758" s="99" t="s">
        <v>63</v>
      </c>
      <c r="E1758" s="105">
        <v>58.25</v>
      </c>
      <c r="F1758" s="79"/>
      <c r="G1758" s="79"/>
    </row>
    <row r="1759" spans="2:7" ht="13">
      <c r="B1759" s="99" t="s">
        <v>55</v>
      </c>
      <c r="C1759" s="99" t="s">
        <v>62</v>
      </c>
      <c r="D1759" s="99" t="s">
        <v>749</v>
      </c>
      <c r="E1759" s="105">
        <v>173.88</v>
      </c>
      <c r="F1759" s="104" t="s">
        <v>315</v>
      </c>
      <c r="G1759" s="79"/>
    </row>
    <row r="1760" spans="2:7" ht="13">
      <c r="B1760" s="99" t="s">
        <v>55</v>
      </c>
      <c r="C1760" s="99" t="s">
        <v>62</v>
      </c>
      <c r="E1760" s="114">
        <f>461.03-E1759</f>
        <v>287.14999999999998</v>
      </c>
      <c r="F1760" s="79"/>
      <c r="G1760" s="79"/>
    </row>
    <row r="1761" spans="2:7" ht="13">
      <c r="B1761" s="99" t="s">
        <v>55</v>
      </c>
      <c r="C1761" s="99" t="s">
        <v>59</v>
      </c>
      <c r="D1761" s="99" t="s">
        <v>112</v>
      </c>
      <c r="E1761" s="114">
        <f>14.55+67.55</f>
        <v>82.1</v>
      </c>
      <c r="F1761" s="104" t="s">
        <v>315</v>
      </c>
      <c r="G1761" s="79"/>
    </row>
    <row r="1762" spans="2:7" ht="13">
      <c r="B1762" s="99" t="s">
        <v>55</v>
      </c>
      <c r="C1762" s="99" t="s">
        <v>59</v>
      </c>
      <c r="D1762" s="99" t="s">
        <v>750</v>
      </c>
      <c r="E1762" s="105">
        <v>12.79</v>
      </c>
      <c r="F1762" s="104" t="s">
        <v>315</v>
      </c>
      <c r="G1762" s="79"/>
    </row>
    <row r="1763" spans="2:7" ht="13">
      <c r="B1763" s="99" t="s">
        <v>55</v>
      </c>
      <c r="C1763" s="99" t="s">
        <v>59</v>
      </c>
      <c r="E1763" s="114">
        <f>404.91-E1761-E1762</f>
        <v>310.02000000000004</v>
      </c>
      <c r="F1763" s="79"/>
      <c r="G1763" s="79"/>
    </row>
    <row r="1764" spans="2:7" ht="13">
      <c r="B1764" s="99" t="s">
        <v>55</v>
      </c>
      <c r="C1764" s="99" t="s">
        <v>57</v>
      </c>
      <c r="D1764" s="99" t="s">
        <v>449</v>
      </c>
      <c r="E1764" s="105">
        <v>146.04</v>
      </c>
      <c r="F1764" s="104" t="s">
        <v>315</v>
      </c>
      <c r="G1764" s="79"/>
    </row>
    <row r="1765" spans="2:7" ht="13">
      <c r="B1765" s="99" t="s">
        <v>55</v>
      </c>
      <c r="C1765" s="99" t="s">
        <v>566</v>
      </c>
      <c r="E1765" s="105">
        <v>226.24</v>
      </c>
      <c r="F1765" s="104" t="s">
        <v>315</v>
      </c>
      <c r="G1765" s="79"/>
    </row>
    <row r="1766" spans="2:7" ht="13">
      <c r="B1766" s="99" t="s">
        <v>55</v>
      </c>
      <c r="C1766" s="99" t="s">
        <v>66</v>
      </c>
      <c r="E1766" s="105">
        <v>846.27</v>
      </c>
      <c r="F1766" s="79"/>
      <c r="G1766" s="79"/>
    </row>
    <row r="1767" spans="2:7" ht="13">
      <c r="B1767" s="99" t="s">
        <v>55</v>
      </c>
      <c r="C1767" s="99" t="s">
        <v>63</v>
      </c>
      <c r="E1767" s="105">
        <v>80.489999999999995</v>
      </c>
      <c r="F1767" s="79"/>
      <c r="G1767" s="79"/>
    </row>
    <row r="1768" spans="2:7" ht="13">
      <c r="B1768" s="99" t="s">
        <v>55</v>
      </c>
      <c r="C1768" s="99" t="s">
        <v>59</v>
      </c>
      <c r="D1768" s="99" t="s">
        <v>441</v>
      </c>
      <c r="E1768" s="105">
        <f>117.77+29.31+16.05+37.3+49.98</f>
        <v>250.41</v>
      </c>
      <c r="F1768" s="104" t="s">
        <v>315</v>
      </c>
      <c r="G1768" s="79"/>
    </row>
    <row r="1769" spans="2:7" ht="13">
      <c r="B1769" s="99" t="s">
        <v>55</v>
      </c>
      <c r="C1769" s="99" t="s">
        <v>648</v>
      </c>
      <c r="D1769" s="99" t="s">
        <v>751</v>
      </c>
      <c r="E1769" s="105">
        <v>62.31</v>
      </c>
      <c r="F1769" s="104" t="s">
        <v>315</v>
      </c>
      <c r="G1769" s="104" t="s">
        <v>315</v>
      </c>
    </row>
    <row r="1770" spans="2:7" ht="13">
      <c r="B1770" s="99" t="s">
        <v>55</v>
      </c>
      <c r="C1770" s="99" t="s">
        <v>59</v>
      </c>
      <c r="D1770" s="99" t="s">
        <v>112</v>
      </c>
      <c r="E1770" s="105">
        <f>87.31+59.95+19.47</f>
        <v>166.73</v>
      </c>
      <c r="F1770" s="104" t="s">
        <v>315</v>
      </c>
      <c r="G1770" s="79"/>
    </row>
    <row r="1771" spans="2:7" ht="13">
      <c r="B1771" s="99" t="s">
        <v>55</v>
      </c>
      <c r="C1771" s="99" t="s">
        <v>59</v>
      </c>
      <c r="D1771" s="99" t="s">
        <v>229</v>
      </c>
      <c r="E1771" s="114">
        <f>16.74+58.53</f>
        <v>75.27</v>
      </c>
      <c r="F1771" s="104" t="s">
        <v>315</v>
      </c>
      <c r="G1771" s="79"/>
    </row>
    <row r="1772" spans="2:7" ht="13">
      <c r="B1772" s="99" t="s">
        <v>55</v>
      </c>
      <c r="C1772" s="99" t="s">
        <v>59</v>
      </c>
      <c r="D1772" s="99" t="s">
        <v>748</v>
      </c>
      <c r="E1772" s="114">
        <f>10.29+23.02</f>
        <v>33.31</v>
      </c>
      <c r="F1772" s="104" t="s">
        <v>315</v>
      </c>
      <c r="G1772" s="79"/>
    </row>
    <row r="1773" spans="2:7" ht="13">
      <c r="B1773" s="99" t="s">
        <v>55</v>
      </c>
      <c r="C1773" s="99" t="s">
        <v>59</v>
      </c>
      <c r="E1773" s="114">
        <f>735.73-E1772-E1771-E1770-E1769-E1768</f>
        <v>147.70000000000007</v>
      </c>
      <c r="F1773" s="79"/>
      <c r="G1773" s="79"/>
    </row>
    <row r="1774" spans="2:7" ht="13">
      <c r="B1774" s="99" t="s">
        <v>55</v>
      </c>
      <c r="C1774" s="99" t="s">
        <v>57</v>
      </c>
      <c r="E1774" s="114">
        <f>661.92</f>
        <v>661.92</v>
      </c>
      <c r="F1774" s="79"/>
      <c r="G1774" s="79"/>
    </row>
    <row r="1775" spans="2:7" ht="13">
      <c r="B1775" s="99" t="s">
        <v>55</v>
      </c>
      <c r="C1775" s="99" t="s">
        <v>59</v>
      </c>
      <c r="E1775" s="105">
        <v>108.46</v>
      </c>
      <c r="F1775" s="79"/>
      <c r="G1775" s="79"/>
    </row>
    <row r="1776" spans="2:7" ht="13">
      <c r="B1776" s="99" t="s">
        <v>55</v>
      </c>
      <c r="C1776" s="99" t="s">
        <v>62</v>
      </c>
      <c r="D1776" s="99" t="s">
        <v>561</v>
      </c>
      <c r="E1776" s="114">
        <f>33.86</f>
        <v>33.86</v>
      </c>
      <c r="F1776" s="104" t="s">
        <v>315</v>
      </c>
      <c r="G1776" s="79"/>
    </row>
    <row r="1777" spans="2:7" ht="13">
      <c r="B1777" s="99" t="s">
        <v>55</v>
      </c>
      <c r="C1777" s="99" t="s">
        <v>59</v>
      </c>
      <c r="D1777" s="99" t="s">
        <v>440</v>
      </c>
      <c r="E1777" s="105">
        <v>14.42</v>
      </c>
      <c r="F1777" s="104" t="s">
        <v>315</v>
      </c>
      <c r="G1777" s="79"/>
    </row>
    <row r="1778" spans="2:7" ht="13">
      <c r="B1778" s="99" t="s">
        <v>55</v>
      </c>
      <c r="C1778" s="99" t="s">
        <v>59</v>
      </c>
      <c r="E1778" s="114">
        <f>94.45-E1777</f>
        <v>80.03</v>
      </c>
      <c r="F1778" s="79"/>
      <c r="G1778" s="79"/>
    </row>
    <row r="1779" spans="2:7" ht="13">
      <c r="B1779" s="99" t="s">
        <v>55</v>
      </c>
      <c r="C1779" s="99" t="s">
        <v>57</v>
      </c>
      <c r="E1779" s="114">
        <f>27.72+22.9</f>
        <v>50.62</v>
      </c>
      <c r="F1779" s="79"/>
      <c r="G1779" s="79"/>
    </row>
    <row r="1780" spans="2:7" ht="13">
      <c r="B1780" s="99" t="s">
        <v>55</v>
      </c>
      <c r="C1780" s="99" t="s">
        <v>57</v>
      </c>
      <c r="D1780" s="99" t="s">
        <v>449</v>
      </c>
      <c r="E1780" s="114">
        <f>24.8+24.8</f>
        <v>49.6</v>
      </c>
      <c r="F1780" s="104" t="s">
        <v>315</v>
      </c>
      <c r="G1780" s="79"/>
    </row>
    <row r="1781" spans="2:7" ht="13">
      <c r="B1781" s="99" t="s">
        <v>64</v>
      </c>
      <c r="C1781" s="99" t="s">
        <v>62</v>
      </c>
      <c r="E1781" s="105">
        <v>214.55</v>
      </c>
      <c r="F1781" s="79"/>
      <c r="G1781" s="79"/>
    </row>
    <row r="1782" spans="2:7" ht="13">
      <c r="B1782" s="99" t="s">
        <v>64</v>
      </c>
      <c r="C1782" s="99" t="s">
        <v>62</v>
      </c>
      <c r="E1782" s="105">
        <v>628.70000000000005</v>
      </c>
      <c r="F1782" s="79"/>
      <c r="G1782" s="79"/>
    </row>
    <row r="1783" spans="2:7" ht="13">
      <c r="B1783" s="99" t="s">
        <v>64</v>
      </c>
      <c r="C1783" s="99" t="s">
        <v>62</v>
      </c>
      <c r="E1783" s="105">
        <v>820.98</v>
      </c>
      <c r="F1783" s="79"/>
      <c r="G1783" s="79"/>
    </row>
    <row r="1784" spans="2:7" ht="13">
      <c r="B1784" s="99" t="s">
        <v>64</v>
      </c>
      <c r="C1784" s="99" t="s">
        <v>62</v>
      </c>
      <c r="E1784" s="105">
        <v>222.84</v>
      </c>
      <c r="F1784" s="79"/>
      <c r="G1784" s="79"/>
    </row>
    <row r="1785" spans="2:7" ht="13">
      <c r="B1785" s="99" t="s">
        <v>64</v>
      </c>
      <c r="C1785" s="99" t="s">
        <v>62</v>
      </c>
      <c r="E1785" s="105">
        <v>198.08</v>
      </c>
      <c r="F1785" s="79"/>
      <c r="G1785" s="79"/>
    </row>
    <row r="1786" spans="2:7" ht="13">
      <c r="B1786" s="99" t="s">
        <v>64</v>
      </c>
      <c r="C1786" s="99" t="s">
        <v>62</v>
      </c>
      <c r="E1786" s="105">
        <v>419.17</v>
      </c>
      <c r="F1786" s="79"/>
      <c r="G1786" s="79"/>
    </row>
    <row r="1787" spans="2:7" ht="13">
      <c r="B1787" s="99" t="s">
        <v>64</v>
      </c>
      <c r="C1787" s="99" t="s">
        <v>62</v>
      </c>
      <c r="E1787" s="105">
        <v>400.8</v>
      </c>
      <c r="F1787" s="79"/>
      <c r="G1787" s="79"/>
    </row>
    <row r="1788" spans="2:7" ht="13">
      <c r="B1788" s="99" t="s">
        <v>58</v>
      </c>
      <c r="C1788" s="99" t="s">
        <v>59</v>
      </c>
      <c r="D1788" s="99" t="s">
        <v>752</v>
      </c>
      <c r="E1788" s="114">
        <f>68.55</f>
        <v>68.55</v>
      </c>
      <c r="F1788" s="104" t="s">
        <v>315</v>
      </c>
      <c r="G1788" s="79"/>
    </row>
    <row r="1789" spans="2:7" ht="13">
      <c r="B1789" s="99" t="s">
        <v>58</v>
      </c>
      <c r="C1789" s="99" t="s">
        <v>59</v>
      </c>
      <c r="E1789" s="114">
        <f>1590.55-E1788-11.7-51.36-25.6-26.64-23.7</f>
        <v>1383</v>
      </c>
      <c r="F1789" s="79"/>
      <c r="G1789" s="79"/>
    </row>
    <row r="1790" spans="2:7" ht="13">
      <c r="B1790" s="99" t="s">
        <v>58</v>
      </c>
      <c r="C1790" s="99" t="s">
        <v>59</v>
      </c>
      <c r="D1790" s="99" t="s">
        <v>752</v>
      </c>
      <c r="E1790" s="105">
        <f>136.05+14.64+28.92</f>
        <v>179.61</v>
      </c>
      <c r="F1790" s="104" t="s">
        <v>315</v>
      </c>
      <c r="G1790" s="79"/>
    </row>
    <row r="1791" spans="2:7" ht="13">
      <c r="B1791" s="99" t="s">
        <v>58</v>
      </c>
      <c r="C1791" s="99" t="s">
        <v>59</v>
      </c>
      <c r="E1791" s="114">
        <f>6043.45-E1790-122.22-40.38-15.92-27.36-3.35-E1792-12.24-9.24-27.48-46.56-14.94-59.95-19.28-22.8-18.9-50.66-54.62-38.94-121-46.32-28.62-41.1-25.22-14.16-6.23</f>
        <v>4975.1600000000026</v>
      </c>
      <c r="F1791" s="79"/>
      <c r="G1791" s="79"/>
    </row>
    <row r="1792" spans="2:7" ht="13">
      <c r="B1792" s="99" t="s">
        <v>58</v>
      </c>
      <c r="C1792" s="99" t="s">
        <v>59</v>
      </c>
      <c r="D1792" s="99" t="s">
        <v>553</v>
      </c>
      <c r="E1792" s="114">
        <f>21.19</f>
        <v>21.19</v>
      </c>
      <c r="F1792" s="104" t="s">
        <v>315</v>
      </c>
      <c r="G1792" s="79"/>
    </row>
    <row r="1793" spans="2:7" ht="13">
      <c r="B1793" s="99" t="s">
        <v>753</v>
      </c>
      <c r="C1793" s="99" t="s">
        <v>62</v>
      </c>
      <c r="E1793" s="105">
        <v>599.79</v>
      </c>
      <c r="F1793" s="79"/>
      <c r="G1793" s="79"/>
    </row>
    <row r="1794" spans="2:7" ht="13">
      <c r="B1794" s="99" t="s">
        <v>753</v>
      </c>
      <c r="C1794" s="99" t="s">
        <v>62</v>
      </c>
      <c r="E1794" s="105">
        <v>597.02</v>
      </c>
      <c r="F1794" s="79"/>
      <c r="G1794" s="79"/>
    </row>
    <row r="1795" spans="2:7" ht="13">
      <c r="B1795" s="99" t="s">
        <v>753</v>
      </c>
      <c r="C1795" s="99" t="s">
        <v>62</v>
      </c>
      <c r="E1795" s="105">
        <v>647.12</v>
      </c>
      <c r="F1795" s="79"/>
      <c r="G1795" s="79"/>
    </row>
    <row r="1796" spans="2:7" ht="13">
      <c r="B1796" s="99" t="s">
        <v>753</v>
      </c>
      <c r="C1796" s="99" t="s">
        <v>62</v>
      </c>
      <c r="E1796" s="105">
        <v>245.7</v>
      </c>
      <c r="F1796" s="79"/>
      <c r="G1796" s="79"/>
    </row>
    <row r="1797" spans="2:7" ht="13">
      <c r="B1797" s="99" t="s">
        <v>86</v>
      </c>
      <c r="C1797" s="99" t="s">
        <v>754</v>
      </c>
      <c r="D1797" s="99" t="s">
        <v>571</v>
      </c>
      <c r="E1797" s="114">
        <f>77.9+62.6</f>
        <v>140.5</v>
      </c>
      <c r="F1797" s="104" t="s">
        <v>315</v>
      </c>
      <c r="G1797" s="104" t="s">
        <v>315</v>
      </c>
    </row>
    <row r="1798" spans="2:7" ht="13">
      <c r="B1798" s="99" t="s">
        <v>86</v>
      </c>
      <c r="C1798" s="99" t="s">
        <v>755</v>
      </c>
      <c r="D1798" s="99" t="s">
        <v>571</v>
      </c>
      <c r="E1798" s="114">
        <f>53</f>
        <v>53</v>
      </c>
      <c r="F1798" s="104" t="s">
        <v>315</v>
      </c>
      <c r="G1798" s="104" t="s">
        <v>315</v>
      </c>
    </row>
    <row r="1799" spans="2:7" ht="13">
      <c r="B1799" s="99" t="s">
        <v>86</v>
      </c>
      <c r="C1799" s="99" t="s">
        <v>290</v>
      </c>
      <c r="D1799" s="99" t="s">
        <v>571</v>
      </c>
      <c r="E1799" s="114">
        <f>37.6</f>
        <v>37.6</v>
      </c>
      <c r="F1799" s="104" t="s">
        <v>315</v>
      </c>
      <c r="G1799" s="104" t="s">
        <v>315</v>
      </c>
    </row>
    <row r="1800" spans="2:7" ht="13">
      <c r="B1800" s="99" t="s">
        <v>86</v>
      </c>
      <c r="C1800" s="99" t="s">
        <v>573</v>
      </c>
      <c r="D1800" s="99" t="s">
        <v>571</v>
      </c>
      <c r="E1800" s="114">
        <f>100+87.9+135+30</f>
        <v>352.9</v>
      </c>
      <c r="F1800" s="104" t="s">
        <v>315</v>
      </c>
      <c r="G1800" s="104" t="s">
        <v>315</v>
      </c>
    </row>
    <row r="1801" spans="2:7" ht="13">
      <c r="B1801" s="99" t="s">
        <v>86</v>
      </c>
      <c r="C1801" s="99" t="s">
        <v>574</v>
      </c>
      <c r="D1801" s="99" t="s">
        <v>571</v>
      </c>
      <c r="E1801" s="114">
        <f>81.9</f>
        <v>81.900000000000006</v>
      </c>
      <c r="F1801" s="104" t="s">
        <v>315</v>
      </c>
      <c r="G1801" s="104" t="s">
        <v>315</v>
      </c>
    </row>
    <row r="1802" spans="2:7" ht="13">
      <c r="B1802" s="99" t="s">
        <v>218</v>
      </c>
      <c r="C1802" s="99" t="s">
        <v>655</v>
      </c>
      <c r="D1802" s="99" t="s">
        <v>571</v>
      </c>
      <c r="E1802" s="105">
        <f>31.3+30.3+30.3</f>
        <v>91.9</v>
      </c>
      <c r="F1802" s="104" t="s">
        <v>315</v>
      </c>
      <c r="G1802" s="104" t="s">
        <v>315</v>
      </c>
    </row>
    <row r="1803" spans="2:7" ht="13">
      <c r="B1803" s="99" t="s">
        <v>575</v>
      </c>
      <c r="C1803" s="99" t="s">
        <v>655</v>
      </c>
      <c r="D1803" s="99" t="s">
        <v>571</v>
      </c>
      <c r="E1803" s="105">
        <v>23.4</v>
      </c>
      <c r="F1803" s="104" t="s">
        <v>315</v>
      </c>
      <c r="G1803" s="104" t="s">
        <v>315</v>
      </c>
    </row>
    <row r="1804" spans="2:7" ht="13">
      <c r="B1804" s="99" t="s">
        <v>86</v>
      </c>
      <c r="C1804" s="99" t="s">
        <v>756</v>
      </c>
      <c r="D1804" s="99" t="s">
        <v>571</v>
      </c>
      <c r="E1804" s="105">
        <v>25.9</v>
      </c>
      <c r="F1804" s="104" t="s">
        <v>315</v>
      </c>
      <c r="G1804" s="104" t="s">
        <v>315</v>
      </c>
    </row>
    <row r="1805" spans="2:7" ht="13">
      <c r="B1805" s="99" t="s">
        <v>86</v>
      </c>
      <c r="C1805" s="99" t="s">
        <v>59</v>
      </c>
      <c r="E1805" s="114">
        <f>44.62+23.46+52.78+49.02</f>
        <v>169.88</v>
      </c>
      <c r="F1805" s="79"/>
      <c r="G1805" s="79"/>
    </row>
    <row r="1806" spans="2:7" ht="13">
      <c r="B1806" s="99" t="s">
        <v>534</v>
      </c>
      <c r="C1806" s="99" t="s">
        <v>59</v>
      </c>
      <c r="E1806" s="114">
        <f>2303.03-E1807-22.94-11.47-11.47-9.58-10.28</f>
        <v>2205.4300000000003</v>
      </c>
      <c r="F1806" s="79"/>
      <c r="G1806" s="79"/>
    </row>
    <row r="1807" spans="2:7" ht="13">
      <c r="B1807" s="99" t="s">
        <v>534</v>
      </c>
      <c r="C1807" s="99" t="s">
        <v>59</v>
      </c>
      <c r="D1807" s="99" t="s">
        <v>444</v>
      </c>
      <c r="E1807" s="114">
        <f>10.62*3</f>
        <v>31.86</v>
      </c>
      <c r="F1807" s="104" t="s">
        <v>315</v>
      </c>
      <c r="G1807" s="79"/>
    </row>
    <row r="1808" spans="2:7" ht="13">
      <c r="B1808" s="99" t="s">
        <v>534</v>
      </c>
      <c r="C1808" s="99" t="s">
        <v>59</v>
      </c>
      <c r="D1808" s="99" t="s">
        <v>552</v>
      </c>
      <c r="E1808" s="114">
        <f>38.52*2</f>
        <v>77.040000000000006</v>
      </c>
      <c r="F1808" s="104" t="s">
        <v>315</v>
      </c>
      <c r="G1808" s="79"/>
    </row>
    <row r="1809" spans="2:7" ht="13">
      <c r="B1809" s="99" t="s">
        <v>534</v>
      </c>
      <c r="C1809" s="99" t="s">
        <v>59</v>
      </c>
      <c r="E1809" s="105">
        <v>336.4</v>
      </c>
      <c r="F1809" s="79"/>
      <c r="G1809" s="79"/>
    </row>
    <row r="1810" spans="2:7" ht="13">
      <c r="B1810" s="99" t="s">
        <v>534</v>
      </c>
      <c r="C1810" s="99" t="s">
        <v>59</v>
      </c>
      <c r="D1810" s="99" t="s">
        <v>688</v>
      </c>
      <c r="E1810" s="114">
        <f>31.96+72.14+42.95+(10.37*5)</f>
        <v>198.9</v>
      </c>
      <c r="F1810" s="104" t="s">
        <v>315</v>
      </c>
      <c r="G1810" s="79"/>
    </row>
    <row r="1811" spans="2:7" ht="13">
      <c r="B1811" s="99" t="s">
        <v>534</v>
      </c>
      <c r="C1811" s="99" t="s">
        <v>59</v>
      </c>
      <c r="D1811" s="99" t="s">
        <v>553</v>
      </c>
      <c r="E1811" s="114">
        <f>(57.3*2)+47.11+45.68</f>
        <v>207.39</v>
      </c>
      <c r="F1811" s="104" t="s">
        <v>315</v>
      </c>
      <c r="G1811" s="79"/>
    </row>
    <row r="1812" spans="2:7" ht="13">
      <c r="B1812" s="99" t="s">
        <v>534</v>
      </c>
      <c r="C1812" s="99" t="s">
        <v>59</v>
      </c>
      <c r="E1812" s="114">
        <f>652.57-E1810-E1811</f>
        <v>246.28000000000009</v>
      </c>
      <c r="F1812" s="79"/>
      <c r="G1812" s="79"/>
    </row>
    <row r="1813" spans="2:7" ht="13">
      <c r="B1813" s="99" t="s">
        <v>534</v>
      </c>
      <c r="C1813" s="99" t="s">
        <v>59</v>
      </c>
      <c r="D1813" s="99" t="s">
        <v>444</v>
      </c>
      <c r="E1813" s="114">
        <f>9.68</f>
        <v>9.68</v>
      </c>
      <c r="F1813" s="104" t="s">
        <v>315</v>
      </c>
      <c r="G1813" s="79"/>
    </row>
    <row r="1814" spans="2:7" ht="13">
      <c r="B1814" s="99" t="s">
        <v>534</v>
      </c>
      <c r="C1814" s="99" t="s">
        <v>59</v>
      </c>
      <c r="D1814" s="99" t="s">
        <v>757</v>
      </c>
      <c r="E1814" s="114">
        <f>10.37*4</f>
        <v>41.48</v>
      </c>
      <c r="F1814" s="104" t="s">
        <v>315</v>
      </c>
      <c r="G1814" s="79"/>
    </row>
    <row r="1815" spans="2:7" ht="13">
      <c r="B1815" s="99" t="s">
        <v>534</v>
      </c>
      <c r="C1815" s="99" t="s">
        <v>648</v>
      </c>
      <c r="D1815" s="99" t="s">
        <v>758</v>
      </c>
      <c r="E1815" s="105">
        <v>24.36</v>
      </c>
      <c r="F1815" s="104" t="s">
        <v>315</v>
      </c>
      <c r="G1815" s="79"/>
    </row>
    <row r="1816" spans="2:7" ht="13">
      <c r="B1816" s="99" t="s">
        <v>534</v>
      </c>
      <c r="C1816" s="99" t="s">
        <v>59</v>
      </c>
      <c r="E1816" s="114">
        <f>5487-E1817-E1818-E1819-E1820-E1821-8.12</f>
        <v>5141.0000000000009</v>
      </c>
      <c r="F1816" s="79"/>
      <c r="G1816" s="79"/>
    </row>
    <row r="1817" spans="2:7" ht="13">
      <c r="B1817" s="99" t="s">
        <v>534</v>
      </c>
      <c r="C1817" s="99" t="s">
        <v>59</v>
      </c>
      <c r="D1817" s="99" t="s">
        <v>440</v>
      </c>
      <c r="E1817" s="114">
        <f>25.29+49.12</f>
        <v>74.41</v>
      </c>
      <c r="F1817" s="104" t="s">
        <v>315</v>
      </c>
      <c r="G1817" s="79"/>
    </row>
    <row r="1818" spans="2:7" ht="13">
      <c r="B1818" s="99" t="s">
        <v>534</v>
      </c>
      <c r="C1818" s="99" t="s">
        <v>59</v>
      </c>
      <c r="D1818" s="99" t="s">
        <v>553</v>
      </c>
      <c r="E1818" s="114">
        <f>(22.84*2)+13.95+41.85</f>
        <v>101.47999999999999</v>
      </c>
      <c r="F1818" s="104" t="s">
        <v>315</v>
      </c>
      <c r="G1818" s="79"/>
    </row>
    <row r="1819" spans="2:7" ht="13">
      <c r="B1819" s="99" t="s">
        <v>534</v>
      </c>
      <c r="C1819" s="99" t="s">
        <v>59</v>
      </c>
      <c r="D1819" s="99" t="s">
        <v>566</v>
      </c>
      <c r="E1819" s="114">
        <f>22.19</f>
        <v>22.19</v>
      </c>
      <c r="F1819" s="104" t="s">
        <v>315</v>
      </c>
      <c r="G1819" s="79"/>
    </row>
    <row r="1820" spans="2:7" ht="13">
      <c r="B1820" s="99" t="s">
        <v>534</v>
      </c>
      <c r="C1820" s="99" t="s">
        <v>59</v>
      </c>
      <c r="D1820" s="99" t="s">
        <v>683</v>
      </c>
      <c r="E1820" s="114">
        <f>15.79+(14.18*2)+18.65+37.3+18.65</f>
        <v>118.75</v>
      </c>
      <c r="F1820" s="104" t="s">
        <v>315</v>
      </c>
      <c r="G1820" s="79"/>
    </row>
    <row r="1821" spans="2:7" ht="13">
      <c r="B1821" s="99" t="s">
        <v>534</v>
      </c>
      <c r="C1821" s="99" t="s">
        <v>59</v>
      </c>
      <c r="D1821" s="99" t="s">
        <v>444</v>
      </c>
      <c r="E1821" s="114">
        <f>21.05</f>
        <v>21.05</v>
      </c>
      <c r="F1821" s="104" t="s">
        <v>315</v>
      </c>
      <c r="G1821" s="79"/>
    </row>
    <row r="1822" spans="2:7" ht="13">
      <c r="B1822" s="99" t="s">
        <v>534</v>
      </c>
      <c r="C1822" s="99" t="s">
        <v>59</v>
      </c>
      <c r="E1822" s="105">
        <v>10.28</v>
      </c>
      <c r="F1822" s="79"/>
      <c r="G1822" s="79"/>
    </row>
    <row r="1823" spans="2:7" ht="13">
      <c r="B1823" s="99" t="s">
        <v>534</v>
      </c>
      <c r="C1823" s="99" t="s">
        <v>59</v>
      </c>
      <c r="E1823" s="114">
        <f>1775.28-E1824-E1825-E1826-E1827-E1828-E1829-E1830-E1831-E1832</f>
        <v>1270.2500000000005</v>
      </c>
      <c r="F1823" s="79"/>
      <c r="G1823" s="79"/>
    </row>
    <row r="1824" spans="2:7" ht="13">
      <c r="B1824" s="99" t="s">
        <v>534</v>
      </c>
      <c r="C1824" s="99" t="s">
        <v>59</v>
      </c>
      <c r="D1824" s="99" t="s">
        <v>553</v>
      </c>
      <c r="E1824" s="114">
        <f>47.14+22.48+22.48</f>
        <v>92.100000000000009</v>
      </c>
      <c r="F1824" s="104" t="s">
        <v>315</v>
      </c>
      <c r="G1824" s="79"/>
    </row>
    <row r="1825" spans="2:7" ht="13">
      <c r="B1825" s="99" t="s">
        <v>534</v>
      </c>
      <c r="C1825" s="99" t="s">
        <v>59</v>
      </c>
      <c r="D1825" s="99" t="s">
        <v>759</v>
      </c>
      <c r="E1825" s="114">
        <f>33.42+33.42</f>
        <v>66.84</v>
      </c>
      <c r="F1825" s="79"/>
      <c r="G1825" s="104" t="s">
        <v>315</v>
      </c>
    </row>
    <row r="1826" spans="2:7" ht="13">
      <c r="B1826" s="99" t="s">
        <v>534</v>
      </c>
      <c r="C1826" s="99" t="s">
        <v>59</v>
      </c>
      <c r="D1826" s="99" t="s">
        <v>760</v>
      </c>
      <c r="E1826" s="105">
        <v>27.29</v>
      </c>
      <c r="F1826" s="104" t="s">
        <v>315</v>
      </c>
      <c r="G1826" s="79"/>
    </row>
    <row r="1827" spans="2:7" ht="13">
      <c r="B1827" s="99" t="s">
        <v>534</v>
      </c>
      <c r="C1827" s="99" t="s">
        <v>59</v>
      </c>
      <c r="D1827" s="99" t="s">
        <v>718</v>
      </c>
      <c r="E1827" s="105">
        <v>29.83</v>
      </c>
      <c r="F1827" s="104" t="s">
        <v>315</v>
      </c>
      <c r="G1827" s="79"/>
    </row>
    <row r="1828" spans="2:7" ht="13">
      <c r="B1828" s="99" t="s">
        <v>534</v>
      </c>
      <c r="C1828" s="99" t="s">
        <v>59</v>
      </c>
      <c r="D1828" s="99" t="s">
        <v>761</v>
      </c>
      <c r="E1828" s="105">
        <v>28.09</v>
      </c>
      <c r="F1828" s="104" t="s">
        <v>315</v>
      </c>
      <c r="G1828" s="104" t="s">
        <v>315</v>
      </c>
    </row>
    <row r="1829" spans="2:7" ht="13">
      <c r="B1829" s="99" t="s">
        <v>534</v>
      </c>
      <c r="C1829" s="99" t="s">
        <v>59</v>
      </c>
      <c r="D1829" s="99" t="s">
        <v>762</v>
      </c>
      <c r="E1829" s="114">
        <f>15.74*2</f>
        <v>31.48</v>
      </c>
      <c r="F1829" s="104" t="s">
        <v>315</v>
      </c>
      <c r="G1829" s="79"/>
    </row>
    <row r="1830" spans="2:7" ht="13">
      <c r="B1830" s="99" t="s">
        <v>534</v>
      </c>
      <c r="C1830" s="99" t="s">
        <v>59</v>
      </c>
      <c r="D1830" s="99" t="s">
        <v>763</v>
      </c>
      <c r="E1830" s="114">
        <f>26.64*6</f>
        <v>159.84</v>
      </c>
      <c r="F1830" s="79"/>
      <c r="G1830" s="104" t="s">
        <v>315</v>
      </c>
    </row>
    <row r="1831" spans="2:7" ht="13">
      <c r="B1831" s="99" t="s">
        <v>534</v>
      </c>
      <c r="C1831" s="99" t="s">
        <v>59</v>
      </c>
      <c r="D1831" s="99" t="s">
        <v>764</v>
      </c>
      <c r="E1831" s="114">
        <f>15.18*2</f>
        <v>30.36</v>
      </c>
      <c r="F1831" s="104" t="s">
        <v>315</v>
      </c>
      <c r="G1831" s="104" t="s">
        <v>315</v>
      </c>
    </row>
    <row r="1832" spans="2:7" ht="13">
      <c r="B1832" s="99" t="s">
        <v>534</v>
      </c>
      <c r="C1832" s="99" t="s">
        <v>59</v>
      </c>
      <c r="D1832" s="99" t="s">
        <v>444</v>
      </c>
      <c r="E1832" s="114">
        <f>19.6*2</f>
        <v>39.200000000000003</v>
      </c>
      <c r="F1832" s="104" t="s">
        <v>315</v>
      </c>
      <c r="G1832" s="79"/>
    </row>
    <row r="1833" spans="2:7" ht="13">
      <c r="B1833" s="99" t="s">
        <v>765</v>
      </c>
      <c r="C1833" s="99" t="s">
        <v>648</v>
      </c>
      <c r="E1833" s="114">
        <f>86.72</f>
        <v>86.72</v>
      </c>
      <c r="F1833" s="104" t="s">
        <v>315</v>
      </c>
      <c r="G1833" s="79"/>
    </row>
    <row r="1834" spans="2:7" ht="13">
      <c r="B1834" s="99" t="s">
        <v>765</v>
      </c>
      <c r="C1834" s="99" t="s">
        <v>766</v>
      </c>
      <c r="E1834" s="105">
        <v>752.38</v>
      </c>
      <c r="F1834" s="79"/>
      <c r="G1834" s="79"/>
    </row>
    <row r="1835" spans="2:7" ht="13">
      <c r="B1835" s="99" t="s">
        <v>767</v>
      </c>
      <c r="C1835" s="99" t="s">
        <v>62</v>
      </c>
      <c r="E1835" s="105">
        <v>265.2</v>
      </c>
      <c r="F1835" s="79"/>
      <c r="G1835" s="79"/>
    </row>
    <row r="1836" spans="2:7" ht="13">
      <c r="B1836" s="99" t="s">
        <v>106</v>
      </c>
      <c r="C1836" s="99" t="s">
        <v>341</v>
      </c>
      <c r="D1836" s="99" t="s">
        <v>105</v>
      </c>
      <c r="E1836" s="114">
        <f>153.1</f>
        <v>153.1</v>
      </c>
      <c r="F1836" s="79"/>
      <c r="G1836" s="104" t="s">
        <v>315</v>
      </c>
    </row>
    <row r="1837" spans="2:7" ht="13">
      <c r="B1837" s="99" t="s">
        <v>106</v>
      </c>
      <c r="C1837" s="99" t="s">
        <v>341</v>
      </c>
      <c r="D1837" s="99" t="s">
        <v>105</v>
      </c>
      <c r="E1837" s="114">
        <f>100.74</f>
        <v>100.74</v>
      </c>
      <c r="F1837" s="79"/>
      <c r="G1837" s="104" t="s">
        <v>315</v>
      </c>
    </row>
    <row r="1838" spans="2:7" ht="13">
      <c r="B1838" s="99" t="s">
        <v>106</v>
      </c>
      <c r="C1838" s="99" t="s">
        <v>341</v>
      </c>
      <c r="D1838" s="99" t="s">
        <v>105</v>
      </c>
      <c r="E1838" s="105">
        <v>147.6</v>
      </c>
      <c r="F1838" s="79"/>
      <c r="G1838" s="104" t="s">
        <v>315</v>
      </c>
    </row>
    <row r="1839" spans="2:7" ht="13">
      <c r="B1839" s="99" t="s">
        <v>106</v>
      </c>
      <c r="C1839" s="99" t="s">
        <v>341</v>
      </c>
      <c r="D1839" s="99" t="s">
        <v>105</v>
      </c>
      <c r="E1839" s="105">
        <v>532.71</v>
      </c>
      <c r="F1839" s="79"/>
      <c r="G1839" s="104" t="s">
        <v>315</v>
      </c>
    </row>
    <row r="1840" spans="2:7" ht="13">
      <c r="B1840" s="99" t="s">
        <v>106</v>
      </c>
      <c r="C1840" s="99" t="s">
        <v>341</v>
      </c>
      <c r="D1840" s="99" t="s">
        <v>105</v>
      </c>
      <c r="E1840" s="105">
        <v>122.48</v>
      </c>
      <c r="F1840" s="79"/>
      <c r="G1840" s="104" t="s">
        <v>315</v>
      </c>
    </row>
    <row r="1841" spans="2:7" ht="13">
      <c r="B1841" s="99" t="s">
        <v>106</v>
      </c>
      <c r="C1841" s="99" t="s">
        <v>341</v>
      </c>
      <c r="D1841" s="99" t="s">
        <v>105</v>
      </c>
      <c r="E1841" s="105">
        <v>78.75</v>
      </c>
      <c r="F1841" s="79"/>
      <c r="G1841" s="104" t="s">
        <v>315</v>
      </c>
    </row>
    <row r="1842" spans="2:7" ht="13">
      <c r="B1842" s="99" t="s">
        <v>106</v>
      </c>
      <c r="C1842" s="99" t="s">
        <v>341</v>
      </c>
      <c r="D1842" s="99" t="s">
        <v>105</v>
      </c>
      <c r="E1842" s="114">
        <f>122.48</f>
        <v>122.48</v>
      </c>
      <c r="F1842" s="79"/>
      <c r="G1842" s="104" t="s">
        <v>315</v>
      </c>
    </row>
    <row r="1843" spans="2:7" ht="13">
      <c r="B1843" s="99" t="s">
        <v>110</v>
      </c>
      <c r="C1843" s="99" t="s">
        <v>341</v>
      </c>
      <c r="D1843" s="99" t="s">
        <v>105</v>
      </c>
      <c r="E1843" s="105">
        <v>150.15</v>
      </c>
      <c r="F1843" s="79"/>
      <c r="G1843" s="104" t="s">
        <v>315</v>
      </c>
    </row>
    <row r="1844" spans="2:7" ht="13">
      <c r="B1844" s="99" t="s">
        <v>110</v>
      </c>
      <c r="C1844" s="99" t="s">
        <v>341</v>
      </c>
      <c r="D1844" s="99" t="s">
        <v>105</v>
      </c>
      <c r="E1844" s="105">
        <v>114.3</v>
      </c>
      <c r="F1844" s="79"/>
      <c r="G1844" s="104" t="s">
        <v>315</v>
      </c>
    </row>
    <row r="1845" spans="2:7" ht="13">
      <c r="B1845" s="99" t="s">
        <v>110</v>
      </c>
      <c r="C1845" s="99" t="s">
        <v>341</v>
      </c>
      <c r="D1845" s="99" t="s">
        <v>105</v>
      </c>
      <c r="E1845" s="105">
        <v>169.1</v>
      </c>
      <c r="F1845" s="79"/>
      <c r="G1845" s="104" t="s">
        <v>315</v>
      </c>
    </row>
    <row r="1846" spans="2:7" ht="13">
      <c r="B1846" s="99" t="s">
        <v>110</v>
      </c>
      <c r="C1846" s="99" t="s">
        <v>341</v>
      </c>
      <c r="D1846" s="99" t="s">
        <v>105</v>
      </c>
      <c r="E1846" s="105">
        <v>150.15</v>
      </c>
      <c r="F1846" s="79"/>
      <c r="G1846" s="104" t="s">
        <v>315</v>
      </c>
    </row>
    <row r="1847" spans="2:7" ht="13">
      <c r="B1847" s="99" t="s">
        <v>110</v>
      </c>
      <c r="C1847" s="99" t="s">
        <v>341</v>
      </c>
      <c r="D1847" s="99" t="s">
        <v>105</v>
      </c>
      <c r="E1847" s="105">
        <v>111.44</v>
      </c>
      <c r="F1847" s="79"/>
      <c r="G1847" s="104" t="s">
        <v>315</v>
      </c>
    </row>
    <row r="1848" spans="2:7" ht="13">
      <c r="B1848" s="99" t="s">
        <v>110</v>
      </c>
      <c r="C1848" s="99" t="s">
        <v>341</v>
      </c>
      <c r="D1848" s="99" t="s">
        <v>105</v>
      </c>
      <c r="E1848" s="105">
        <v>205.55</v>
      </c>
      <c r="F1848" s="79"/>
      <c r="G1848" s="104" t="s">
        <v>315</v>
      </c>
    </row>
    <row r="1849" spans="2:7" ht="13">
      <c r="B1849" s="99" t="s">
        <v>67</v>
      </c>
      <c r="C1849" s="99" t="s">
        <v>62</v>
      </c>
      <c r="E1849" s="105">
        <v>385.03</v>
      </c>
      <c r="F1849" s="79"/>
      <c r="G1849" s="79"/>
    </row>
    <row r="1850" spans="2:7" ht="13">
      <c r="B1850" s="99" t="s">
        <v>67</v>
      </c>
      <c r="C1850" s="99" t="s">
        <v>62</v>
      </c>
      <c r="E1850" s="105">
        <v>259.43</v>
      </c>
      <c r="F1850" s="79"/>
      <c r="G1850" s="79"/>
    </row>
    <row r="1851" spans="2:7" ht="13">
      <c r="B1851" s="99" t="s">
        <v>67</v>
      </c>
      <c r="C1851" s="99" t="s">
        <v>62</v>
      </c>
      <c r="E1851" s="105">
        <v>328.69</v>
      </c>
      <c r="F1851" s="79"/>
      <c r="G1851" s="79"/>
    </row>
    <row r="1852" spans="2:7" ht="13">
      <c r="B1852" s="99" t="s">
        <v>768</v>
      </c>
      <c r="C1852" s="99" t="s">
        <v>70</v>
      </c>
      <c r="E1852" s="105">
        <v>2338.6999999999998</v>
      </c>
      <c r="F1852" s="79"/>
      <c r="G1852" s="79"/>
    </row>
    <row r="1853" spans="2:7" ht="13">
      <c r="B1853" s="99" t="s">
        <v>65</v>
      </c>
      <c r="C1853" s="99" t="s">
        <v>442</v>
      </c>
      <c r="D1853" s="99" t="s">
        <v>769</v>
      </c>
      <c r="E1853" s="105">
        <f>43.2+27.94</f>
        <v>71.14</v>
      </c>
      <c r="F1853" s="104" t="s">
        <v>315</v>
      </c>
      <c r="G1853" s="104" t="s">
        <v>315</v>
      </c>
    </row>
    <row r="1854" spans="2:7" ht="13">
      <c r="B1854" s="99" t="s">
        <v>65</v>
      </c>
      <c r="C1854" s="99" t="s">
        <v>59</v>
      </c>
      <c r="E1854" s="114">
        <f>525-E1853</f>
        <v>453.86</v>
      </c>
      <c r="F1854" s="79"/>
      <c r="G1854" s="79"/>
    </row>
    <row r="1855" spans="2:7" ht="13">
      <c r="B1855" s="99" t="s">
        <v>65</v>
      </c>
      <c r="C1855" s="99" t="s">
        <v>66</v>
      </c>
      <c r="E1855" s="105">
        <v>309.60000000000002</v>
      </c>
      <c r="F1855" s="79"/>
      <c r="G1855" s="79"/>
    </row>
    <row r="1856" spans="2:7" ht="13">
      <c r="B1856" s="99" t="s">
        <v>65</v>
      </c>
      <c r="C1856" s="99" t="s">
        <v>66</v>
      </c>
      <c r="D1856" s="99" t="s">
        <v>770</v>
      </c>
      <c r="E1856" s="105">
        <v>121.5</v>
      </c>
      <c r="F1856" s="79"/>
      <c r="G1856" s="104" t="s">
        <v>315</v>
      </c>
    </row>
    <row r="1857" spans="1:26" ht="13">
      <c r="B1857" s="99" t="s">
        <v>65</v>
      </c>
      <c r="C1857" s="99" t="s">
        <v>66</v>
      </c>
      <c r="E1857" s="105">
        <v>140.75</v>
      </c>
      <c r="F1857" s="79"/>
      <c r="G1857" s="79"/>
    </row>
    <row r="1858" spans="1:26" ht="13">
      <c r="B1858" s="99" t="s">
        <v>65</v>
      </c>
      <c r="C1858" s="99" t="s">
        <v>59</v>
      </c>
      <c r="E1858" s="114">
        <f>410.72</f>
        <v>410.72</v>
      </c>
      <c r="F1858" s="79"/>
      <c r="G1858" s="79"/>
    </row>
    <row r="1859" spans="1:26" ht="13">
      <c r="B1859" s="99" t="s">
        <v>65</v>
      </c>
      <c r="C1859" s="99" t="s">
        <v>63</v>
      </c>
      <c r="D1859" s="99" t="s">
        <v>771</v>
      </c>
      <c r="E1859" s="105">
        <v>370</v>
      </c>
      <c r="F1859" s="104" t="s">
        <v>315</v>
      </c>
      <c r="G1859" s="104" t="s">
        <v>315</v>
      </c>
    </row>
    <row r="1860" spans="1:26" ht="13">
      <c r="B1860" s="99" t="s">
        <v>65</v>
      </c>
      <c r="C1860" s="99" t="s">
        <v>66</v>
      </c>
      <c r="D1860" s="99" t="s">
        <v>772</v>
      </c>
      <c r="E1860" s="105">
        <v>647.25</v>
      </c>
      <c r="F1860" s="79"/>
      <c r="G1860" s="104" t="s">
        <v>315</v>
      </c>
    </row>
    <row r="1861" spans="1:26" ht="13">
      <c r="B1861" s="99" t="s">
        <v>65</v>
      </c>
      <c r="C1861" s="99" t="s">
        <v>66</v>
      </c>
      <c r="E1861" s="105">
        <v>201.42</v>
      </c>
      <c r="F1861" s="79"/>
      <c r="G1861" s="79"/>
    </row>
    <row r="1862" spans="1:26" ht="13">
      <c r="B1862" s="99" t="s">
        <v>65</v>
      </c>
      <c r="C1862" s="99" t="s">
        <v>66</v>
      </c>
      <c r="E1862" s="105">
        <v>162.51</v>
      </c>
      <c r="F1862" s="79"/>
      <c r="G1862" s="79"/>
    </row>
    <row r="1863" spans="1:26" ht="13">
      <c r="B1863" s="99" t="s">
        <v>65</v>
      </c>
      <c r="C1863" s="99" t="s">
        <v>57</v>
      </c>
      <c r="D1863" s="99" t="s">
        <v>773</v>
      </c>
      <c r="E1863" s="105">
        <v>76.56</v>
      </c>
      <c r="F1863" s="79"/>
      <c r="G1863" s="104" t="s">
        <v>315</v>
      </c>
    </row>
    <row r="1864" spans="1:26" ht="13">
      <c r="B1864" s="99" t="s">
        <v>65</v>
      </c>
      <c r="C1864" s="99" t="s">
        <v>66</v>
      </c>
      <c r="D1864" s="99" t="s">
        <v>770</v>
      </c>
      <c r="E1864" s="105">
        <v>194.4</v>
      </c>
      <c r="F1864" s="79"/>
      <c r="G1864" s="104" t="s">
        <v>315</v>
      </c>
    </row>
    <row r="1865" spans="1:26" ht="13">
      <c r="B1865" s="99" t="s">
        <v>65</v>
      </c>
      <c r="C1865" s="99" t="s">
        <v>66</v>
      </c>
      <c r="D1865" s="99" t="s">
        <v>774</v>
      </c>
      <c r="E1865" s="105">
        <v>78.25</v>
      </c>
      <c r="F1865" s="79"/>
      <c r="G1865" s="104" t="s">
        <v>315</v>
      </c>
    </row>
    <row r="1866" spans="1:26" ht="13">
      <c r="B1866" s="99" t="s">
        <v>65</v>
      </c>
      <c r="C1866" s="99" t="s">
        <v>66</v>
      </c>
      <c r="E1866" s="114">
        <f>136.17+711.03</f>
        <v>847.19999999999993</v>
      </c>
      <c r="F1866" s="79"/>
      <c r="G1866" s="79"/>
    </row>
    <row r="1867" spans="1:26" ht="13">
      <c r="B1867" s="99" t="s">
        <v>65</v>
      </c>
      <c r="C1867" s="99" t="s">
        <v>66</v>
      </c>
      <c r="E1867" s="105">
        <v>432.33</v>
      </c>
      <c r="F1867" s="79"/>
      <c r="G1867" s="79"/>
    </row>
    <row r="1868" spans="1:26" ht="13">
      <c r="B1868" s="99" t="s">
        <v>775</v>
      </c>
      <c r="C1868" s="99" t="s">
        <v>62</v>
      </c>
      <c r="E1868" s="105">
        <v>312</v>
      </c>
      <c r="F1868" s="79"/>
      <c r="G1868" s="79"/>
    </row>
    <row r="1869" spans="1:26" ht="13">
      <c r="B1869" s="99" t="s">
        <v>775</v>
      </c>
      <c r="C1869" s="99" t="s">
        <v>62</v>
      </c>
      <c r="E1869" s="105">
        <v>168</v>
      </c>
      <c r="F1869" s="79"/>
      <c r="G1869" s="79"/>
    </row>
    <row r="1870" spans="1:26" ht="13">
      <c r="A1870" s="41" t="s">
        <v>776</v>
      </c>
      <c r="B1870" s="49"/>
      <c r="C1870" s="49"/>
      <c r="D1870" s="49"/>
      <c r="E1870" s="119">
        <f>SUM(E1640:E1869)</f>
        <v>90385.779999999912</v>
      </c>
      <c r="F1870" s="135"/>
      <c r="G1870" s="135"/>
      <c r="H1870" s="119">
        <f>E1770+E1761+E1753+E1741+E1736+E1731+E1714+E1705+E1678+E1672+SUM(E1640:E1656)</f>
        <v>20282.239999999998</v>
      </c>
      <c r="I1870" s="119">
        <f>E1832+E1821+E1813+E1807+E1771+E1734+E1677</f>
        <v>467.92</v>
      </c>
      <c r="J1870" s="119">
        <f>E1814+E1808+E1790+E1788+E1737+E1691</f>
        <v>535.53</v>
      </c>
      <c r="K1870" s="119">
        <f>E1810+E1756+E1740+E1716+E1698+E1696+E1682</f>
        <v>1687.25</v>
      </c>
      <c r="L1870" s="49"/>
      <c r="M1870" s="119">
        <f>E1772</f>
        <v>33.31</v>
      </c>
      <c r="N1870" s="119">
        <f>E1831+E1827+E1820+E1776+E1759+E1742+E1722</f>
        <v>588.76</v>
      </c>
      <c r="O1870" s="119">
        <f>E1817+E1777+E1768+E1762+E1757+E1751+E1733+E1717+E1707+E1676</f>
        <v>3074.09</v>
      </c>
      <c r="P1870" s="49"/>
      <c r="Q1870" s="119">
        <f>E1819+E1818+E1811+E1792+E1780+E1764+E1724+E1719+E1708+E1702+E1693+E1679+E1673</f>
        <v>2196.16</v>
      </c>
      <c r="R1870" s="49"/>
      <c r="S1870" s="49"/>
      <c r="T1870" s="49"/>
      <c r="U1870" s="49"/>
      <c r="V1870" s="49"/>
      <c r="W1870" s="49"/>
      <c r="X1870" s="49"/>
      <c r="Y1870" s="49"/>
      <c r="Z1870" s="49"/>
    </row>
    <row r="1871" spans="1:26" ht="13">
      <c r="E1871" s="114"/>
      <c r="F1871" s="79"/>
      <c r="G1871" s="79"/>
    </row>
    <row r="1872" spans="1:26" ht="13">
      <c r="E1872" s="105">
        <f>E1395+E1639+E1870+E972+E737+((E1870+E1639+E1395)/3)</f>
        <v>436653.83333333331</v>
      </c>
      <c r="F1872" s="79"/>
      <c r="G1872" s="79"/>
    </row>
    <row r="1873" spans="5:7" ht="13">
      <c r="E1873" s="114"/>
      <c r="F1873" s="79"/>
      <c r="G1873" s="79"/>
    </row>
    <row r="1874" spans="5:7" ht="13">
      <c r="E1874" s="114"/>
      <c r="F1874" s="79"/>
      <c r="G1874" s="79"/>
    </row>
    <row r="1875" spans="5:7" ht="13">
      <c r="E1875" s="114"/>
      <c r="F1875" s="79"/>
      <c r="G1875" s="79"/>
    </row>
    <row r="1876" spans="5:7" ht="13">
      <c r="E1876" s="114"/>
      <c r="F1876" s="79"/>
      <c r="G1876" s="79"/>
    </row>
    <row r="1877" spans="5:7" ht="13">
      <c r="E1877" s="114"/>
      <c r="F1877" s="79"/>
      <c r="G1877" s="79"/>
    </row>
    <row r="1878" spans="5:7" ht="13">
      <c r="E1878" s="114"/>
      <c r="F1878" s="79"/>
      <c r="G1878" s="79"/>
    </row>
    <row r="1879" spans="5:7" ht="13">
      <c r="E1879" s="114"/>
      <c r="F1879" s="79"/>
      <c r="G1879" s="79"/>
    </row>
    <row r="1880" spans="5:7" ht="13">
      <c r="E1880" s="114"/>
      <c r="F1880" s="79"/>
      <c r="G1880" s="79"/>
    </row>
    <row r="1881" spans="5:7" ht="13">
      <c r="E1881" s="114"/>
      <c r="F1881" s="79"/>
      <c r="G1881" s="79"/>
    </row>
    <row r="1882" spans="5:7" ht="13">
      <c r="E1882" s="114"/>
      <c r="F1882" s="79"/>
      <c r="G1882" s="79"/>
    </row>
    <row r="1883" spans="5:7" ht="13">
      <c r="E1883" s="114"/>
      <c r="F1883" s="79"/>
      <c r="G1883" s="79"/>
    </row>
    <row r="1884" spans="5:7" ht="13">
      <c r="E1884" s="114"/>
      <c r="F1884" s="79"/>
      <c r="G1884" s="79"/>
    </row>
    <row r="1885" spans="5:7" ht="13">
      <c r="E1885" s="114"/>
      <c r="F1885" s="79"/>
      <c r="G1885" s="79"/>
    </row>
    <row r="1886" spans="5:7" ht="13">
      <c r="E1886" s="114"/>
      <c r="F1886" s="79"/>
      <c r="G1886" s="79"/>
    </row>
    <row r="1887" spans="5:7" ht="13">
      <c r="E1887" s="114"/>
      <c r="F1887" s="79"/>
      <c r="G1887" s="79"/>
    </row>
    <row r="1888" spans="5:7" ht="13">
      <c r="E1888" s="114"/>
      <c r="F1888" s="79"/>
      <c r="G1888" s="79"/>
    </row>
    <row r="1889" spans="5:7" ht="13">
      <c r="E1889" s="114"/>
      <c r="F1889" s="79"/>
      <c r="G1889" s="79"/>
    </row>
    <row r="1890" spans="5:7" ht="13">
      <c r="E1890" s="114"/>
      <c r="F1890" s="79"/>
      <c r="G1890" s="79"/>
    </row>
    <row r="1891" spans="5:7" ht="13">
      <c r="E1891" s="114"/>
      <c r="F1891" s="79"/>
      <c r="G1891" s="79"/>
    </row>
    <row r="1892" spans="5:7" ht="13">
      <c r="E1892" s="114"/>
      <c r="F1892" s="79"/>
      <c r="G1892" s="79"/>
    </row>
    <row r="1893" spans="5:7" ht="13">
      <c r="E1893" s="114"/>
      <c r="F1893" s="79"/>
      <c r="G1893" s="79"/>
    </row>
    <row r="1894" spans="5:7" ht="13">
      <c r="E1894" s="114"/>
      <c r="F1894" s="79"/>
      <c r="G1894" s="79"/>
    </row>
    <row r="1895" spans="5:7" ht="13">
      <c r="E1895" s="114"/>
      <c r="F1895" s="79"/>
      <c r="G1895" s="79"/>
    </row>
    <row r="1896" spans="5:7" ht="13">
      <c r="E1896" s="114"/>
      <c r="F1896" s="79"/>
      <c r="G1896" s="79"/>
    </row>
    <row r="1897" spans="5:7" ht="13">
      <c r="E1897" s="114"/>
      <c r="F1897" s="79"/>
      <c r="G1897" s="79"/>
    </row>
    <row r="1898" spans="5:7" ht="13">
      <c r="E1898" s="114"/>
      <c r="F1898" s="79"/>
      <c r="G1898" s="79"/>
    </row>
    <row r="1899" spans="5:7" ht="13">
      <c r="E1899" s="114"/>
      <c r="F1899" s="79"/>
      <c r="G1899" s="79"/>
    </row>
    <row r="1900" spans="5:7" ht="13">
      <c r="E1900" s="114"/>
      <c r="F1900" s="79"/>
      <c r="G1900" s="79"/>
    </row>
    <row r="1901" spans="5:7" ht="13">
      <c r="E1901" s="114"/>
      <c r="F1901" s="79"/>
      <c r="G1901" s="79"/>
    </row>
    <row r="1902" spans="5:7" ht="13">
      <c r="E1902" s="114"/>
      <c r="F1902" s="79"/>
      <c r="G1902" s="79"/>
    </row>
    <row r="1903" spans="5:7" ht="13">
      <c r="E1903" s="114"/>
      <c r="F1903" s="79"/>
      <c r="G1903" s="79"/>
    </row>
    <row r="1904" spans="5:7" ht="13">
      <c r="E1904" s="114"/>
      <c r="F1904" s="79"/>
      <c r="G1904" s="79"/>
    </row>
    <row r="1905" spans="5:7" ht="13">
      <c r="E1905" s="114"/>
      <c r="F1905" s="79"/>
      <c r="G1905" s="79"/>
    </row>
    <row r="1906" spans="5:7" ht="13">
      <c r="E1906" s="114"/>
      <c r="F1906" s="79"/>
      <c r="G1906" s="79"/>
    </row>
    <row r="1907" spans="5:7" ht="13">
      <c r="E1907" s="114"/>
      <c r="F1907" s="79"/>
      <c r="G1907" s="79"/>
    </row>
    <row r="1908" spans="5:7" ht="13">
      <c r="E1908" s="114"/>
      <c r="F1908" s="79"/>
      <c r="G1908" s="79"/>
    </row>
    <row r="1909" spans="5:7" ht="13">
      <c r="E1909" s="114"/>
      <c r="F1909" s="79"/>
      <c r="G1909" s="79"/>
    </row>
    <row r="1910" spans="5:7" ht="13">
      <c r="E1910" s="114"/>
      <c r="F1910" s="79"/>
      <c r="G1910" s="79"/>
    </row>
    <row r="1911" spans="5:7" ht="13">
      <c r="E1911" s="114"/>
      <c r="F1911" s="79"/>
      <c r="G1911" s="79"/>
    </row>
    <row r="1912" spans="5:7" ht="13">
      <c r="E1912" s="114"/>
      <c r="F1912" s="79"/>
      <c r="G1912" s="79"/>
    </row>
    <row r="1913" spans="5:7" ht="13">
      <c r="E1913" s="114"/>
      <c r="F1913" s="79"/>
      <c r="G1913" s="79"/>
    </row>
    <row r="1914" spans="5:7" ht="13">
      <c r="E1914" s="114"/>
      <c r="F1914" s="79"/>
      <c r="G1914" s="79"/>
    </row>
    <row r="1915" spans="5:7" ht="13">
      <c r="E1915" s="114"/>
      <c r="F1915" s="79"/>
      <c r="G1915" s="79"/>
    </row>
    <row r="1916" spans="5:7" ht="13">
      <c r="E1916" s="114"/>
      <c r="F1916" s="79"/>
      <c r="G1916" s="79"/>
    </row>
    <row r="1917" spans="5:7" ht="13">
      <c r="E1917" s="114"/>
      <c r="F1917" s="79"/>
      <c r="G1917" s="79"/>
    </row>
    <row r="1918" spans="5:7" ht="13">
      <c r="E1918" s="114"/>
      <c r="F1918" s="79"/>
      <c r="G1918" s="79"/>
    </row>
    <row r="1919" spans="5:7" ht="13">
      <c r="E1919" s="114"/>
      <c r="F1919" s="79"/>
      <c r="G1919" s="79"/>
    </row>
    <row r="1920" spans="5:7" ht="13">
      <c r="E1920" s="114"/>
      <c r="F1920" s="79"/>
      <c r="G1920" s="79"/>
    </row>
    <row r="1921" spans="5:7" ht="13">
      <c r="E1921" s="114"/>
      <c r="F1921" s="79"/>
      <c r="G1921" s="79"/>
    </row>
    <row r="1922" spans="5:7" ht="13">
      <c r="E1922" s="114"/>
      <c r="F1922" s="79"/>
      <c r="G1922" s="79"/>
    </row>
    <row r="1923" spans="5:7" ht="13">
      <c r="E1923" s="114"/>
      <c r="F1923" s="79"/>
      <c r="G1923" s="79"/>
    </row>
    <row r="1924" spans="5:7" ht="13">
      <c r="E1924" s="114"/>
      <c r="F1924" s="79"/>
      <c r="G1924" s="79"/>
    </row>
    <row r="1925" spans="5:7" ht="13">
      <c r="E1925" s="114"/>
      <c r="F1925" s="79"/>
      <c r="G1925" s="79"/>
    </row>
    <row r="1926" spans="5:7" ht="13">
      <c r="E1926" s="114"/>
      <c r="F1926" s="79"/>
      <c r="G1926" s="79"/>
    </row>
    <row r="1927" spans="5:7" ht="13">
      <c r="E1927" s="114"/>
      <c r="F1927" s="79"/>
      <c r="G1927" s="79"/>
    </row>
    <row r="1928" spans="5:7" ht="13">
      <c r="E1928" s="114"/>
      <c r="F1928" s="79"/>
      <c r="G1928" s="79"/>
    </row>
    <row r="1929" spans="5:7" ht="13">
      <c r="E1929" s="114"/>
      <c r="F1929" s="79"/>
      <c r="G1929" s="79"/>
    </row>
    <row r="1930" spans="5:7" ht="13">
      <c r="E1930" s="114"/>
      <c r="F1930" s="79"/>
      <c r="G1930" s="79"/>
    </row>
    <row r="1931" spans="5:7" ht="13">
      <c r="E1931" s="114"/>
      <c r="F1931" s="79"/>
      <c r="G1931" s="79"/>
    </row>
    <row r="1932" spans="5:7" ht="13">
      <c r="E1932" s="114"/>
      <c r="F1932" s="79"/>
      <c r="G1932" s="79"/>
    </row>
    <row r="1933" spans="5:7" ht="13">
      <c r="E1933" s="114"/>
      <c r="F1933" s="79"/>
      <c r="G1933" s="79"/>
    </row>
    <row r="1934" spans="5:7" ht="13">
      <c r="E1934" s="114"/>
      <c r="F1934" s="79"/>
      <c r="G1934" s="79"/>
    </row>
    <row r="1935" spans="5:7" ht="13">
      <c r="E1935" s="114"/>
      <c r="F1935" s="79"/>
      <c r="G1935" s="79"/>
    </row>
    <row r="1936" spans="5:7" ht="13">
      <c r="E1936" s="114"/>
      <c r="F1936" s="79"/>
      <c r="G1936" s="79"/>
    </row>
    <row r="1937" spans="5:7" ht="13">
      <c r="E1937" s="114"/>
      <c r="F1937" s="79"/>
      <c r="G1937" s="79"/>
    </row>
    <row r="1938" spans="5:7" ht="13">
      <c r="E1938" s="114"/>
      <c r="F1938" s="79"/>
      <c r="G1938" s="79"/>
    </row>
    <row r="1939" spans="5:7" ht="13">
      <c r="E1939" s="114"/>
      <c r="F1939" s="79"/>
      <c r="G1939" s="79"/>
    </row>
    <row r="1940" spans="5:7" ht="13">
      <c r="E1940" s="114"/>
      <c r="F1940" s="79"/>
      <c r="G1940" s="79"/>
    </row>
    <row r="1941" spans="5:7" ht="13">
      <c r="E1941" s="114"/>
      <c r="F1941" s="79"/>
      <c r="G1941" s="79"/>
    </row>
    <row r="1942" spans="5:7" ht="13">
      <c r="E1942" s="114"/>
      <c r="F1942" s="79"/>
      <c r="G1942" s="79"/>
    </row>
    <row r="1943" spans="5:7" ht="13">
      <c r="E1943" s="114"/>
      <c r="F1943" s="79"/>
      <c r="G1943" s="79"/>
    </row>
    <row r="1944" spans="5:7" ht="13">
      <c r="E1944" s="114"/>
      <c r="F1944" s="79"/>
      <c r="G1944" s="79"/>
    </row>
    <row r="1945" spans="5:7" ht="13">
      <c r="E1945" s="114"/>
      <c r="F1945" s="79"/>
      <c r="G1945" s="79"/>
    </row>
    <row r="1946" spans="5:7" ht="13">
      <c r="E1946" s="114"/>
      <c r="F1946" s="79"/>
      <c r="G1946" s="79"/>
    </row>
    <row r="1947" spans="5:7" ht="13">
      <c r="E1947" s="114"/>
      <c r="F1947" s="79"/>
      <c r="G1947" s="79"/>
    </row>
    <row r="1948" spans="5:7" ht="13">
      <c r="E1948" s="114"/>
      <c r="F1948" s="79"/>
      <c r="G1948" s="79"/>
    </row>
    <row r="1949" spans="5:7" ht="13">
      <c r="E1949" s="114"/>
      <c r="F1949" s="79"/>
      <c r="G1949" s="79"/>
    </row>
    <row r="1950" spans="5:7" ht="13">
      <c r="E1950" s="114"/>
      <c r="F1950" s="79"/>
      <c r="G1950" s="79"/>
    </row>
    <row r="1951" spans="5:7" ht="13">
      <c r="E1951" s="114"/>
      <c r="F1951" s="79"/>
      <c r="G1951" s="79"/>
    </row>
    <row r="1952" spans="5:7" ht="13">
      <c r="E1952" s="114"/>
      <c r="F1952" s="79"/>
      <c r="G1952" s="79"/>
    </row>
    <row r="1953" spans="5:7" ht="13">
      <c r="E1953" s="114"/>
      <c r="F1953" s="79"/>
      <c r="G1953" s="79"/>
    </row>
    <row r="1954" spans="5:7" ht="13">
      <c r="E1954" s="114"/>
      <c r="F1954" s="79"/>
      <c r="G1954" s="79"/>
    </row>
    <row r="1955" spans="5:7" ht="13">
      <c r="E1955" s="114"/>
      <c r="F1955" s="79"/>
      <c r="G1955" s="79"/>
    </row>
    <row r="1956" spans="5:7" ht="13">
      <c r="E1956" s="114"/>
      <c r="F1956" s="79"/>
      <c r="G1956" s="79"/>
    </row>
    <row r="1957" spans="5:7" ht="13">
      <c r="E1957" s="114"/>
      <c r="F1957" s="79"/>
      <c r="G1957" s="79"/>
    </row>
    <row r="1958" spans="5:7" ht="13">
      <c r="E1958" s="114"/>
      <c r="F1958" s="79"/>
      <c r="G1958" s="79"/>
    </row>
    <row r="1959" spans="5:7" ht="13">
      <c r="E1959" s="114"/>
      <c r="F1959" s="79"/>
      <c r="G1959" s="79"/>
    </row>
    <row r="1960" spans="5:7" ht="13">
      <c r="E1960" s="114"/>
      <c r="F1960" s="79"/>
      <c r="G1960" s="79"/>
    </row>
    <row r="1961" spans="5:7" ht="13">
      <c r="E1961" s="114"/>
      <c r="F1961" s="79"/>
      <c r="G1961" s="79"/>
    </row>
    <row r="1962" spans="5:7" ht="13">
      <c r="E1962" s="114"/>
      <c r="F1962" s="79"/>
      <c r="G1962" s="79"/>
    </row>
    <row r="1963" spans="5:7" ht="13">
      <c r="E1963" s="114"/>
      <c r="F1963" s="79"/>
      <c r="G1963" s="79"/>
    </row>
    <row r="1964" spans="5:7" ht="13">
      <c r="E1964" s="114"/>
      <c r="F1964" s="79"/>
      <c r="G1964" s="79"/>
    </row>
    <row r="1965" spans="5:7" ht="13">
      <c r="E1965" s="114"/>
      <c r="F1965" s="79"/>
      <c r="G1965" s="79"/>
    </row>
    <row r="1966" spans="5:7" ht="13">
      <c r="E1966" s="114"/>
      <c r="F1966" s="79"/>
      <c r="G1966" s="79"/>
    </row>
    <row r="1967" spans="5:7" ht="13">
      <c r="E1967" s="114"/>
      <c r="F1967" s="79"/>
      <c r="G1967" s="79"/>
    </row>
    <row r="1968" spans="5:7" ht="13">
      <c r="E1968" s="114"/>
      <c r="F1968" s="79"/>
      <c r="G1968" s="79"/>
    </row>
    <row r="1969" spans="5:7" ht="13">
      <c r="E1969" s="114"/>
      <c r="F1969" s="79"/>
      <c r="G1969" s="79"/>
    </row>
    <row r="1970" spans="5:7" ht="13">
      <c r="E1970" s="114"/>
      <c r="F1970" s="79"/>
      <c r="G1970" s="79"/>
    </row>
    <row r="1971" spans="5:7" ht="13">
      <c r="E1971" s="114"/>
      <c r="F1971" s="79"/>
      <c r="G1971" s="79"/>
    </row>
    <row r="1972" spans="5:7" ht="13">
      <c r="E1972" s="114"/>
      <c r="F1972" s="79"/>
      <c r="G1972" s="79"/>
    </row>
    <row r="1973" spans="5:7" ht="13">
      <c r="E1973" s="114"/>
      <c r="F1973" s="79"/>
      <c r="G1973" s="79"/>
    </row>
    <row r="1974" spans="5:7" ht="13">
      <c r="E1974" s="114"/>
      <c r="F1974" s="79"/>
      <c r="G1974" s="79"/>
    </row>
    <row r="1975" spans="5:7" ht="13">
      <c r="E1975" s="114"/>
      <c r="F1975" s="79"/>
      <c r="G1975" s="79"/>
    </row>
    <row r="1976" spans="5:7" ht="13">
      <c r="E1976" s="114"/>
      <c r="F1976" s="79"/>
      <c r="G1976" s="79"/>
    </row>
    <row r="1977" spans="5:7" ht="13">
      <c r="E1977" s="114"/>
      <c r="F1977" s="79"/>
      <c r="G1977" s="79"/>
    </row>
    <row r="1978" spans="5:7" ht="13">
      <c r="E1978" s="114"/>
      <c r="F1978" s="79"/>
      <c r="G1978" s="79"/>
    </row>
    <row r="1979" spans="5:7" ht="13">
      <c r="E1979" s="114"/>
      <c r="F1979" s="79"/>
      <c r="G1979" s="79"/>
    </row>
    <row r="1980" spans="5:7" ht="13">
      <c r="E1980" s="114"/>
      <c r="F1980" s="79"/>
      <c r="G1980" s="79"/>
    </row>
    <row r="1981" spans="5:7" ht="13">
      <c r="E1981" s="114"/>
      <c r="F1981" s="79"/>
      <c r="G1981" s="79"/>
    </row>
    <row r="1982" spans="5:7" ht="13">
      <c r="E1982" s="114"/>
      <c r="F1982" s="79"/>
      <c r="G1982" s="79"/>
    </row>
    <row r="1983" spans="5:7" ht="13">
      <c r="E1983" s="114"/>
      <c r="F1983" s="79"/>
      <c r="G1983" s="79"/>
    </row>
    <row r="1984" spans="5:7" ht="13">
      <c r="E1984" s="114"/>
      <c r="F1984" s="79"/>
      <c r="G1984" s="79"/>
    </row>
    <row r="1985" spans="5:7" ht="13">
      <c r="E1985" s="114"/>
      <c r="F1985" s="79"/>
      <c r="G1985" s="79"/>
    </row>
    <row r="1986" spans="5:7" ht="13">
      <c r="E1986" s="114"/>
      <c r="F1986" s="79"/>
      <c r="G1986" s="79"/>
    </row>
    <row r="1987" spans="5:7" ht="13">
      <c r="E1987" s="114"/>
      <c r="F1987" s="79"/>
      <c r="G1987" s="79"/>
    </row>
    <row r="1988" spans="5:7" ht="13">
      <c r="E1988" s="114"/>
      <c r="F1988" s="79"/>
      <c r="G1988" s="79"/>
    </row>
    <row r="1989" spans="5:7" ht="13">
      <c r="E1989" s="114"/>
      <c r="F1989" s="79"/>
      <c r="G1989" s="79"/>
    </row>
    <row r="1990" spans="5:7" ht="13">
      <c r="E1990" s="114"/>
      <c r="F1990" s="79"/>
      <c r="G1990" s="79"/>
    </row>
    <row r="1991" spans="5:7" ht="13">
      <c r="E1991" s="114"/>
      <c r="F1991" s="79"/>
      <c r="G1991" s="79"/>
    </row>
    <row r="1992" spans="5:7" ht="13">
      <c r="E1992" s="114"/>
      <c r="F1992" s="79"/>
      <c r="G1992" s="79"/>
    </row>
    <row r="1993" spans="5:7" ht="13">
      <c r="E1993" s="114"/>
      <c r="F1993" s="79"/>
      <c r="G1993" s="79"/>
    </row>
    <row r="1994" spans="5:7" ht="13">
      <c r="E1994" s="114"/>
      <c r="F1994" s="79"/>
      <c r="G1994" s="79"/>
    </row>
    <row r="1995" spans="5:7" ht="13">
      <c r="E1995" s="114"/>
      <c r="F1995" s="79"/>
      <c r="G1995" s="79"/>
    </row>
    <row r="1996" spans="5:7" ht="13">
      <c r="E1996" s="114"/>
      <c r="F1996" s="79"/>
      <c r="G1996" s="79"/>
    </row>
    <row r="1997" spans="5:7" ht="13">
      <c r="E1997" s="114"/>
      <c r="F1997" s="79"/>
      <c r="G1997" s="79"/>
    </row>
    <row r="1998" spans="5:7" ht="13">
      <c r="E1998" s="114"/>
      <c r="F1998" s="79"/>
      <c r="G1998" s="79"/>
    </row>
    <row r="1999" spans="5:7" ht="13">
      <c r="E1999" s="114"/>
      <c r="F1999" s="79"/>
      <c r="G1999" s="79"/>
    </row>
    <row r="2000" spans="5:7" ht="13">
      <c r="E2000" s="114"/>
      <c r="F2000" s="79"/>
      <c r="G2000" s="79"/>
    </row>
    <row r="2001" spans="5:7" ht="13">
      <c r="E2001" s="114"/>
      <c r="F2001" s="79"/>
      <c r="G2001" s="79"/>
    </row>
    <row r="2002" spans="5:7" ht="13">
      <c r="E2002" s="114"/>
      <c r="F2002" s="79"/>
      <c r="G2002" s="79"/>
    </row>
    <row r="2003" spans="5:7" ht="13">
      <c r="E2003" s="114"/>
      <c r="F2003" s="79"/>
      <c r="G2003" s="79"/>
    </row>
    <row r="2004" spans="5:7" ht="13">
      <c r="E2004" s="114"/>
      <c r="F2004" s="79"/>
      <c r="G2004" s="79"/>
    </row>
    <row r="2005" spans="5:7" ht="13">
      <c r="E2005" s="114"/>
      <c r="F2005" s="79"/>
      <c r="G2005" s="79"/>
    </row>
    <row r="2006" spans="5:7" ht="13">
      <c r="E2006" s="114"/>
      <c r="F2006" s="79"/>
      <c r="G2006" s="79"/>
    </row>
    <row r="2007" spans="5:7" ht="13">
      <c r="E2007" s="114"/>
      <c r="F2007" s="79"/>
      <c r="G2007" s="79"/>
    </row>
    <row r="2008" spans="5:7" ht="13">
      <c r="E2008" s="114"/>
      <c r="F2008" s="79"/>
      <c r="G2008" s="79"/>
    </row>
    <row r="2009" spans="5:7" ht="13">
      <c r="E2009" s="114"/>
      <c r="F2009" s="79"/>
      <c r="G2009" s="79"/>
    </row>
    <row r="2010" spans="5:7" ht="13">
      <c r="E2010" s="114"/>
      <c r="F2010" s="79"/>
      <c r="G2010" s="79"/>
    </row>
    <row r="2011" spans="5:7" ht="13">
      <c r="E2011" s="114"/>
      <c r="F2011" s="79"/>
      <c r="G2011" s="79"/>
    </row>
    <row r="2012" spans="5:7" ht="13">
      <c r="E2012" s="114"/>
      <c r="F2012" s="79"/>
      <c r="G2012" s="79"/>
    </row>
    <row r="2013" spans="5:7" ht="13">
      <c r="E2013" s="114"/>
      <c r="F2013" s="79"/>
      <c r="G2013" s="79"/>
    </row>
    <row r="2014" spans="5:7" ht="13">
      <c r="E2014" s="114"/>
      <c r="F2014" s="79"/>
      <c r="G2014" s="79"/>
    </row>
    <row r="2015" spans="5:7" ht="13">
      <c r="E2015" s="114"/>
      <c r="F2015" s="79"/>
      <c r="G2015" s="79"/>
    </row>
    <row r="2016" spans="5:7" ht="13">
      <c r="E2016" s="114"/>
      <c r="F2016" s="79"/>
      <c r="G2016" s="79"/>
    </row>
    <row r="2017" spans="5:7" ht="13">
      <c r="E2017" s="114"/>
      <c r="F2017" s="79"/>
      <c r="G2017" s="79"/>
    </row>
    <row r="2018" spans="5:7" ht="13">
      <c r="E2018" s="114"/>
      <c r="F2018" s="79"/>
      <c r="G2018" s="79"/>
    </row>
    <row r="2019" spans="5:7" ht="13">
      <c r="E2019" s="114"/>
      <c r="F2019" s="79"/>
      <c r="G2019" s="79"/>
    </row>
    <row r="2020" spans="5:7" ht="13">
      <c r="E2020" s="114"/>
      <c r="F2020" s="79"/>
      <c r="G2020" s="79"/>
    </row>
    <row r="2021" spans="5:7" ht="13">
      <c r="E2021" s="114"/>
      <c r="F2021" s="79"/>
      <c r="G2021" s="79"/>
    </row>
    <row r="2022" spans="5:7" ht="13">
      <c r="E2022" s="114"/>
      <c r="F2022" s="79"/>
      <c r="G2022" s="79"/>
    </row>
    <row r="2023" spans="5:7" ht="13">
      <c r="E2023" s="114"/>
      <c r="F2023" s="79"/>
      <c r="G2023" s="79"/>
    </row>
    <row r="2024" spans="5:7" ht="13">
      <c r="E2024" s="114"/>
      <c r="F2024" s="79"/>
      <c r="G2024" s="79"/>
    </row>
    <row r="2025" spans="5:7" ht="13">
      <c r="E2025" s="114"/>
      <c r="F2025" s="79"/>
      <c r="G2025" s="79"/>
    </row>
    <row r="2026" spans="5:7" ht="13">
      <c r="E2026" s="114"/>
      <c r="F2026" s="79"/>
      <c r="G2026" s="79"/>
    </row>
    <row r="2027" spans="5:7" ht="13">
      <c r="E2027" s="114"/>
      <c r="F2027" s="79"/>
      <c r="G2027" s="79"/>
    </row>
    <row r="2028" spans="5:7" ht="13">
      <c r="E2028" s="114"/>
      <c r="F2028" s="79"/>
      <c r="G2028" s="79"/>
    </row>
    <row r="2029" spans="5:7" ht="13">
      <c r="E2029" s="114"/>
      <c r="F2029" s="79"/>
      <c r="G2029" s="79"/>
    </row>
    <row r="2030" spans="5:7" ht="13">
      <c r="E2030" s="114"/>
      <c r="F2030" s="79"/>
      <c r="G2030" s="79"/>
    </row>
    <row r="2031" spans="5:7" ht="13">
      <c r="E2031" s="114"/>
      <c r="F2031" s="79"/>
      <c r="G2031" s="79"/>
    </row>
    <row r="2032" spans="5:7" ht="13">
      <c r="E2032" s="114"/>
      <c r="F2032" s="79"/>
      <c r="G2032" s="79"/>
    </row>
    <row r="2033" spans="5:7" ht="13">
      <c r="E2033" s="114"/>
      <c r="F2033" s="79"/>
      <c r="G2033" s="79"/>
    </row>
    <row r="2034" spans="5:7" ht="13">
      <c r="E2034" s="114"/>
      <c r="F2034" s="79"/>
      <c r="G2034" s="79"/>
    </row>
    <row r="2035" spans="5:7" ht="13">
      <c r="E2035" s="114"/>
      <c r="F2035" s="79"/>
      <c r="G2035" s="79"/>
    </row>
    <row r="2036" spans="5:7" ht="13">
      <c r="E2036" s="114"/>
      <c r="F2036" s="79"/>
      <c r="G2036" s="79"/>
    </row>
    <row r="2037" spans="5:7" ht="13">
      <c r="E2037" s="114"/>
      <c r="F2037" s="79"/>
      <c r="G2037" s="79"/>
    </row>
    <row r="2038" spans="5:7" ht="13">
      <c r="E2038" s="114"/>
      <c r="F2038" s="79"/>
      <c r="G2038" s="79"/>
    </row>
    <row r="2039" spans="5:7" ht="13">
      <c r="E2039" s="114"/>
      <c r="F2039" s="79"/>
      <c r="G2039" s="79"/>
    </row>
    <row r="2040" spans="5:7" ht="13">
      <c r="E2040" s="114"/>
      <c r="F2040" s="79"/>
      <c r="G2040" s="79"/>
    </row>
    <row r="2041" spans="5:7" ht="13">
      <c r="E2041" s="114"/>
      <c r="F2041" s="79"/>
      <c r="G2041" s="79"/>
    </row>
    <row r="2042" spans="5:7" ht="13">
      <c r="E2042" s="114"/>
      <c r="F2042" s="79"/>
      <c r="G2042" s="79"/>
    </row>
    <row r="2043" spans="5:7" ht="13">
      <c r="E2043" s="114"/>
      <c r="F2043" s="79"/>
      <c r="G2043" s="79"/>
    </row>
    <row r="2044" spans="5:7" ht="13">
      <c r="E2044" s="114"/>
      <c r="F2044" s="79"/>
      <c r="G2044" s="79"/>
    </row>
    <row r="2045" spans="5:7" ht="13">
      <c r="E2045" s="114"/>
      <c r="F2045" s="79"/>
      <c r="G2045" s="79"/>
    </row>
    <row r="2046" spans="5:7" ht="13">
      <c r="E2046" s="114"/>
      <c r="F2046" s="79"/>
      <c r="G2046" s="79"/>
    </row>
    <row r="2047" spans="5:7" ht="13">
      <c r="E2047" s="114"/>
      <c r="F2047" s="79"/>
      <c r="G2047" s="79"/>
    </row>
    <row r="2048" spans="5:7" ht="13">
      <c r="E2048" s="114"/>
      <c r="F2048" s="79"/>
      <c r="G2048" s="79"/>
    </row>
    <row r="2049" spans="5:7" ht="13">
      <c r="E2049" s="114"/>
      <c r="F2049" s="79"/>
      <c r="G2049" s="79"/>
    </row>
    <row r="2050" spans="5:7" ht="13">
      <c r="E2050" s="114"/>
      <c r="F2050" s="79"/>
      <c r="G2050" s="79"/>
    </row>
    <row r="2051" spans="5:7" ht="13">
      <c r="E2051" s="114"/>
      <c r="F2051" s="79"/>
      <c r="G2051" s="79"/>
    </row>
    <row r="2052" spans="5:7" ht="13">
      <c r="E2052" s="114"/>
      <c r="F2052" s="79"/>
      <c r="G2052" s="79"/>
    </row>
    <row r="2053" spans="5:7" ht="13">
      <c r="E2053" s="114"/>
      <c r="F2053" s="79"/>
      <c r="G2053" s="79"/>
    </row>
    <row r="2054" spans="5:7" ht="13">
      <c r="E2054" s="114"/>
      <c r="F2054" s="79"/>
      <c r="G2054" s="79"/>
    </row>
    <row r="2055" spans="5:7" ht="13">
      <c r="E2055" s="114"/>
      <c r="F2055" s="79"/>
      <c r="G2055" s="79"/>
    </row>
    <row r="2056" spans="5:7" ht="13">
      <c r="E2056" s="114"/>
      <c r="F2056" s="79"/>
      <c r="G2056" s="79"/>
    </row>
    <row r="2057" spans="5:7" ht="13">
      <c r="E2057" s="114"/>
      <c r="F2057" s="79"/>
      <c r="G2057" s="79"/>
    </row>
    <row r="2058" spans="5:7" ht="13">
      <c r="E2058" s="114"/>
      <c r="F2058" s="79"/>
      <c r="G2058" s="79"/>
    </row>
    <row r="2059" spans="5:7" ht="13">
      <c r="E2059" s="114"/>
      <c r="F2059" s="79"/>
      <c r="G2059" s="79"/>
    </row>
    <row r="2060" spans="5:7" ht="13">
      <c r="E2060" s="114"/>
      <c r="F2060" s="79"/>
      <c r="G2060" s="79"/>
    </row>
    <row r="2061" spans="5:7" ht="13">
      <c r="E2061" s="114"/>
      <c r="F2061" s="79"/>
      <c r="G2061" s="79"/>
    </row>
    <row r="2062" spans="5:7" ht="13">
      <c r="E2062" s="114"/>
      <c r="F2062" s="79"/>
      <c r="G2062" s="79"/>
    </row>
    <row r="2063" spans="5:7" ht="13">
      <c r="E2063" s="114"/>
      <c r="F2063" s="79"/>
      <c r="G2063" s="79"/>
    </row>
    <row r="2064" spans="5:7" ht="13">
      <c r="E2064" s="114"/>
      <c r="F2064" s="79"/>
      <c r="G2064" s="79"/>
    </row>
    <row r="2065" spans="5:7" ht="13">
      <c r="E2065" s="114"/>
      <c r="F2065" s="79"/>
      <c r="G2065" s="79"/>
    </row>
    <row r="2066" spans="5:7" ht="13">
      <c r="E2066" s="114"/>
      <c r="F2066" s="79"/>
      <c r="G2066" s="7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D58"/>
  <sheetViews>
    <sheetView workbookViewId="0"/>
  </sheetViews>
  <sheetFormatPr baseColWidth="10" defaultColWidth="14.5" defaultRowHeight="15.75" customHeight="1"/>
  <cols>
    <col min="2" max="2" width="43.6640625" customWidth="1"/>
    <col min="3" max="3" width="29.33203125" customWidth="1"/>
  </cols>
  <sheetData>
    <row r="1" spans="1:4" ht="15.75" customHeight="1">
      <c r="A1" s="99" t="s">
        <v>777</v>
      </c>
      <c r="C1" s="99" t="s">
        <v>261</v>
      </c>
      <c r="D1" s="99" t="s">
        <v>260</v>
      </c>
    </row>
    <row r="2" spans="1:4" ht="15.75" customHeight="1">
      <c r="A2" s="136" t="s">
        <v>778</v>
      </c>
      <c r="C2" s="99" t="s">
        <v>779</v>
      </c>
      <c r="D2" s="99" t="s">
        <v>780</v>
      </c>
    </row>
    <row r="3" spans="1:4" ht="15.75" customHeight="1">
      <c r="A3" s="99" t="s">
        <v>781</v>
      </c>
      <c r="C3" s="99" t="s">
        <v>782</v>
      </c>
      <c r="D3" s="99" t="s">
        <v>783</v>
      </c>
    </row>
    <row r="4" spans="1:4" ht="15.75" customHeight="1">
      <c r="A4" s="99" t="s">
        <v>784</v>
      </c>
      <c r="C4" s="99" t="s">
        <v>259</v>
      </c>
    </row>
    <row r="5" spans="1:4" ht="15.75" customHeight="1">
      <c r="A5" s="137" t="s">
        <v>785</v>
      </c>
      <c r="C5" s="99" t="s">
        <v>786</v>
      </c>
    </row>
    <row r="6" spans="1:4" ht="15.75" customHeight="1">
      <c r="A6" s="138" t="s">
        <v>787</v>
      </c>
      <c r="C6" s="99" t="s">
        <v>788</v>
      </c>
    </row>
    <row r="7" spans="1:4" ht="15.75" customHeight="1">
      <c r="A7" s="56" t="s">
        <v>789</v>
      </c>
      <c r="C7" s="99" t="s">
        <v>790</v>
      </c>
    </row>
    <row r="8" spans="1:4" ht="15.75" customHeight="1">
      <c r="A8" s="136" t="s">
        <v>791</v>
      </c>
      <c r="C8" s="99" t="s">
        <v>792</v>
      </c>
    </row>
    <row r="9" spans="1:4" ht="15.75" customHeight="1">
      <c r="A9" s="99" t="s">
        <v>793</v>
      </c>
      <c r="C9" s="99" t="s">
        <v>794</v>
      </c>
    </row>
    <row r="10" spans="1:4" ht="15.75" customHeight="1">
      <c r="A10" s="99" t="s">
        <v>795</v>
      </c>
    </row>
    <row r="11" spans="1:4" ht="15.75" customHeight="1">
      <c r="A11" s="99" t="s">
        <v>796</v>
      </c>
    </row>
    <row r="12" spans="1:4" ht="15.75" customHeight="1">
      <c r="A12" s="99" t="s">
        <v>797</v>
      </c>
    </row>
    <row r="13" spans="1:4" ht="15.75" customHeight="1">
      <c r="A13" s="99" t="s">
        <v>798</v>
      </c>
    </row>
    <row r="14" spans="1:4" ht="15.75" customHeight="1">
      <c r="A14" s="99" t="s">
        <v>109</v>
      </c>
    </row>
    <row r="15" spans="1:4" ht="15.75" customHeight="1">
      <c r="A15" s="99" t="s">
        <v>799</v>
      </c>
    </row>
    <row r="16" spans="1:4" ht="15.75" customHeight="1">
      <c r="A16" s="99" t="s">
        <v>800</v>
      </c>
    </row>
    <row r="17" spans="1:4" ht="15.75" customHeight="1">
      <c r="A17" s="99" t="s">
        <v>801</v>
      </c>
    </row>
    <row r="18" spans="1:4" ht="15.75" customHeight="1">
      <c r="A18" s="99" t="s">
        <v>802</v>
      </c>
    </row>
    <row r="19" spans="1:4" ht="15.75" customHeight="1">
      <c r="A19" s="99" t="s">
        <v>803</v>
      </c>
    </row>
    <row r="20" spans="1:4" ht="15.75" customHeight="1">
      <c r="A20" s="99" t="s">
        <v>804</v>
      </c>
      <c r="D20" s="99"/>
    </row>
    <row r="21" spans="1:4" ht="15.75" customHeight="1">
      <c r="A21" s="99" t="s">
        <v>805</v>
      </c>
      <c r="D21" s="99"/>
    </row>
    <row r="22" spans="1:4" ht="15.75" customHeight="1">
      <c r="A22" s="99" t="s">
        <v>806</v>
      </c>
    </row>
    <row r="23" spans="1:4" ht="15.75" customHeight="1">
      <c r="A23" s="99" t="s">
        <v>807</v>
      </c>
    </row>
    <row r="24" spans="1:4" ht="15.75" customHeight="1">
      <c r="A24" s="99" t="s">
        <v>808</v>
      </c>
    </row>
    <row r="25" spans="1:4" ht="15.75" customHeight="1">
      <c r="A25" s="99" t="s">
        <v>809</v>
      </c>
    </row>
    <row r="26" spans="1:4" ht="15.75" customHeight="1">
      <c r="A26" s="99" t="s">
        <v>810</v>
      </c>
    </row>
    <row r="27" spans="1:4" ht="15.75" customHeight="1">
      <c r="A27" s="99" t="s">
        <v>811</v>
      </c>
    </row>
    <row r="28" spans="1:4" ht="15.75" customHeight="1">
      <c r="A28" s="99" t="s">
        <v>812</v>
      </c>
    </row>
    <row r="29" spans="1:4" ht="15.75" customHeight="1">
      <c r="A29" s="99" t="s">
        <v>813</v>
      </c>
    </row>
    <row r="30" spans="1:4" ht="15.75" customHeight="1">
      <c r="A30" s="99" t="s">
        <v>814</v>
      </c>
    </row>
    <row r="31" spans="1:4" ht="15.75" customHeight="1">
      <c r="A31" s="136" t="s">
        <v>815</v>
      </c>
    </row>
    <row r="32" spans="1:4" ht="15.75" customHeight="1">
      <c r="A32" s="99" t="s">
        <v>816</v>
      </c>
    </row>
    <row r="33" spans="1:1" ht="15.75" customHeight="1">
      <c r="A33" s="137" t="s">
        <v>817</v>
      </c>
    </row>
    <row r="34" spans="1:1" ht="15.75" customHeight="1">
      <c r="A34" s="99" t="s">
        <v>818</v>
      </c>
    </row>
    <row r="35" spans="1:1" ht="15.75" customHeight="1">
      <c r="A35" s="99" t="s">
        <v>819</v>
      </c>
    </row>
    <row r="36" spans="1:1" ht="15.75" customHeight="1">
      <c r="A36" s="99" t="s">
        <v>820</v>
      </c>
    </row>
    <row r="37" spans="1:1" ht="15.75" customHeight="1">
      <c r="A37" s="137" t="s">
        <v>821</v>
      </c>
    </row>
    <row r="38" spans="1:1" ht="15.75" customHeight="1">
      <c r="A38" s="99" t="s">
        <v>822</v>
      </c>
    </row>
    <row r="39" spans="1:1" ht="15.75" customHeight="1">
      <c r="A39" s="138" t="s">
        <v>823</v>
      </c>
    </row>
    <row r="40" spans="1:1" ht="15.75" customHeight="1">
      <c r="A40" s="137" t="s">
        <v>824</v>
      </c>
    </row>
    <row r="41" spans="1:1" ht="15.75" customHeight="1">
      <c r="A41" s="99" t="s">
        <v>825</v>
      </c>
    </row>
    <row r="42" spans="1:1" ht="15.75" customHeight="1">
      <c r="A42" s="99" t="s">
        <v>826</v>
      </c>
    </row>
    <row r="43" spans="1:1" ht="15.75" customHeight="1">
      <c r="A43" s="99" t="s">
        <v>827</v>
      </c>
    </row>
    <row r="44" spans="1:1" ht="15.75" customHeight="1">
      <c r="A44" s="99" t="s">
        <v>828</v>
      </c>
    </row>
    <row r="45" spans="1:1" ht="15.75" customHeight="1">
      <c r="A45" s="99" t="s">
        <v>829</v>
      </c>
    </row>
    <row r="46" spans="1:1" ht="13">
      <c r="A46" s="137" t="s">
        <v>830</v>
      </c>
    </row>
    <row r="47" spans="1:1" ht="13">
      <c r="A47" s="136" t="s">
        <v>831</v>
      </c>
    </row>
    <row r="48" spans="1:1" ht="13">
      <c r="A48" s="136" t="s">
        <v>832</v>
      </c>
    </row>
    <row r="49" spans="1:1" ht="13">
      <c r="A49" s="137" t="s">
        <v>833</v>
      </c>
    </row>
    <row r="50" spans="1:1" ht="13">
      <c r="A50" s="99" t="s">
        <v>834</v>
      </c>
    </row>
    <row r="51" spans="1:1" ht="13">
      <c r="A51" s="99" t="s">
        <v>835</v>
      </c>
    </row>
    <row r="52" spans="1:1" ht="13">
      <c r="A52" s="136" t="s">
        <v>836</v>
      </c>
    </row>
    <row r="53" spans="1:1" ht="13">
      <c r="A53" s="99" t="s">
        <v>837</v>
      </c>
    </row>
    <row r="54" spans="1:1" ht="13">
      <c r="A54" s="99" t="s">
        <v>838</v>
      </c>
    </row>
    <row r="55" spans="1:1" ht="13">
      <c r="A55" s="137" t="s">
        <v>839</v>
      </c>
    </row>
    <row r="56" spans="1:1" ht="13">
      <c r="A56" s="99" t="s">
        <v>104</v>
      </c>
    </row>
    <row r="57" spans="1:1" ht="13">
      <c r="A57" s="99" t="s">
        <v>840</v>
      </c>
    </row>
    <row r="58" spans="1:1" ht="13">
      <c r="A58" s="99" t="s">
        <v>841</v>
      </c>
    </row>
  </sheetData>
  <hyperlinks>
    <hyperlink ref="A47" r:id="rId1" xr:uid="{00000000-0004-0000-0800-000000000000}"/>
    <hyperlink ref="A48" r:id="rId2" xr:uid="{00000000-0004-0000-0800-000001000000}"/>
    <hyperlink ref="A52" r:id="rId3" xr:uid="{00000000-0004-0000-08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Start</vt:lpstr>
      <vt:lpstr>Instructions</vt:lpstr>
      <vt:lpstr>Standards and Terms</vt:lpstr>
      <vt:lpstr>All Other Purchases</vt:lpstr>
      <vt:lpstr>Certifiedverified purchases</vt:lpstr>
      <vt:lpstr>Plant-based foods</vt:lpstr>
      <vt:lpstr>Institution-affirmed production</vt:lpstr>
      <vt:lpstr>Inventory </vt:lpstr>
      <vt:lpstr>Recognized responses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2022-02-10T17:18:23Z</dcterms:created>
  <dcterms:modified xsi:type="dcterms:W3CDTF">2022-05-12T22:17:57Z</dcterms:modified>
</cp:coreProperties>
</file>