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I:\groups\fac2\engr\ADM\52.x Environmental\52.13 Greenhouse Gases\Balanced Score Card\Reports\"/>
    </mc:Choice>
  </mc:AlternateContent>
  <bookViews>
    <workbookView xWindow="0" yWindow="0" windowWidth="24000" windowHeight="14100" firstSheet="12" activeTab="16"/>
  </bookViews>
  <sheets>
    <sheet name="cover" sheetId="5" r:id="rId1"/>
    <sheet name="contents" sheetId="1" r:id="rId2"/>
    <sheet name="S1 stationary" sheetId="2" r:id="rId3"/>
    <sheet name="S1 mobile" sheetId="11" r:id="rId4"/>
    <sheet name="S1 fugitive" sheetId="15" r:id="rId5"/>
    <sheet name="S2 electricity" sheetId="13" r:id="rId6"/>
    <sheet name="S2 steam" sheetId="18" r:id="rId7"/>
    <sheet name="S3 commuting Seattle" sheetId="22" r:id="rId8"/>
    <sheet name="S3 commuting Bothell" sheetId="27" r:id="rId9"/>
    <sheet name="S3 commuting Tacoma" sheetId="25" r:id="rId10"/>
    <sheet name="S3 professional travel" sheetId="20" r:id="rId11"/>
    <sheet name="S3 off-campus medical" sheetId="17" r:id="rId12"/>
    <sheet name="inventory summary" sheetId="16" r:id="rId13"/>
    <sheet name="inventory database" sheetId="4" r:id="rId14"/>
    <sheet name="sources" sheetId="12" r:id="rId15"/>
    <sheet name="populations" sheetId="28" r:id="rId16"/>
    <sheet name="constants" sheetId="7" r:id="rId17"/>
    <sheet name="lookup" sheetId="26" r:id="rId18"/>
    <sheet name="units" sheetId="10" r:id="rId19"/>
  </sheets>
  <externalReferences>
    <externalReference r:id="rId20"/>
    <externalReference r:id="rId21"/>
  </externalReferences>
  <definedNames>
    <definedName name="acreftTOgal">units!$E$72</definedName>
    <definedName name="acreftTOm3">units!$E$73</definedName>
    <definedName name="acreinTOgal">units!$E$74</definedName>
    <definedName name="acreTOft2">units!$E$50</definedName>
    <definedName name="acreTOha">units!$E$51</definedName>
    <definedName name="acreTOkm2">units!$E$52</definedName>
    <definedName name="acreTOm2">units!$E$53</definedName>
    <definedName name="acreTOmi2">units!$E$54</definedName>
    <definedName name="atmTObar">units!$E$98</definedName>
    <definedName name="atmTOpsi">units!$E$99</definedName>
    <definedName name="barTOPa">units!$E$100</definedName>
    <definedName name="barTOpsi">units!$E$101</definedName>
    <definedName name="bblTOgal">units!$E$75</definedName>
    <definedName name="bblTOL">units!$E$76</definedName>
    <definedName name="Btu.ft3TOMJ.m3">units!$E$207</definedName>
    <definedName name="Btu.hphTOmmBtu.MWh">units!$E$175</definedName>
    <definedName name="Btu.lbTOMJ.kg">units!$E$198</definedName>
    <definedName name="Btu.lbTOmmBtu.ton">units!$E$199</definedName>
    <definedName name="BtuTOcal">units!$E$105</definedName>
    <definedName name="BtuTOJ">units!$E$106</definedName>
    <definedName name="BtuTOkJ">units!$E$107</definedName>
    <definedName name="BtuTOkWh">units!$E$108</definedName>
    <definedName name="BtuTOMJ">units!$E$109</definedName>
    <definedName name="BtuTOtherm">units!$E$110</definedName>
    <definedName name="BtuTOWh">units!$E$111</definedName>
    <definedName name="calTOBtu">units!$E$112</definedName>
    <definedName name="calTOJ">units!$E$113</definedName>
    <definedName name="cmTOin">units!$E$7</definedName>
    <definedName name="CO2.C">[1]ref!$D$5</definedName>
    <definedName name="databaseRecords">'inventory database'!$B$6:$K$82</definedName>
    <definedName name="dayTOmin">units!$E$32</definedName>
    <definedName name="dayTOyr">units!$E$33</definedName>
    <definedName name="dieselDensity">[1]ref!$D$96</definedName>
    <definedName name="dieselHHV">[1]ref!$D$97</definedName>
    <definedName name="efCT05">[2]ef!$C$153</definedName>
    <definedName name="efMT05">[2]ef!$C$103</definedName>
    <definedName name="efSOV05">[2]ef!$C$54</definedName>
    <definedName name="EJTOTWh">units!$E$114</definedName>
    <definedName name="F.C">[1]ref!$D$13</definedName>
    <definedName name="freezeF">[1]ref!$D$14</definedName>
    <definedName name="ft2TOm2">units!$E$55</definedName>
    <definedName name="ft2TOyd2">units!$E$56</definedName>
    <definedName name="ft3TOgal">units!$E$77</definedName>
    <definedName name="ft3TOL">units!$E$78</definedName>
    <definedName name="ft3TOm3">units!$E$79</definedName>
    <definedName name="ftTOm">units!$E$8</definedName>
    <definedName name="g.hphTOlb.MWh">units!$E$183</definedName>
    <definedName name="g.kWhTOlb.MWh">units!$E$184</definedName>
    <definedName name="galTOacreft">units!$E$80</definedName>
    <definedName name="galTOacrein">units!$E$81</definedName>
    <definedName name="galTObbl">units!$E$82</definedName>
    <definedName name="galTOL">units!$E$83</definedName>
    <definedName name="galTOliter">units!$E$83</definedName>
    <definedName name="galTOm3">units!$E$84</definedName>
    <definedName name="gasconstant">[1]ref!$F$34</definedName>
    <definedName name="gasolineHHV">[1]ref!$D$103</definedName>
    <definedName name="ggeTOBtu">units!$E$115</definedName>
    <definedName name="ggeTOtherm">units!$E$116</definedName>
    <definedName name="GJ.hrTOMW">units!$E$157</definedName>
    <definedName name="GJTOmmBtu">units!$E$118</definedName>
    <definedName name="GJTOMWh">units!$E$117</definedName>
    <definedName name="GJTOtherm">units!$E$119</definedName>
    <definedName name="gpmTOliter.s">units!$E$170</definedName>
    <definedName name="gTOlb">units!$E$16</definedName>
    <definedName name="GWTOkW">units!$E$158</definedName>
    <definedName name="GWTOquad.yr">units!$E$159</definedName>
    <definedName name="GWTOTWh.yr">units!$E$160</definedName>
    <definedName name="haTOacre">units!$E$57</definedName>
    <definedName name="haTOkm2">units!$E$58</definedName>
    <definedName name="hpTOkW">units!$E$161</definedName>
    <definedName name="hrTOday">units!$E$34</definedName>
    <definedName name="hrTOmin">units!$E$35</definedName>
    <definedName name="hrTOs">units!$E$36</definedName>
    <definedName name="hrTOyr">units!$E$37</definedName>
    <definedName name="inTOcm">units!$E$9</definedName>
    <definedName name="inTOmm">units!$E$10</definedName>
    <definedName name="JTOBtu">units!$E$120</definedName>
    <definedName name="JTOcal">units!$E$121</definedName>
    <definedName name="JTOWh">units!$E$122</definedName>
    <definedName name="K0degC">[1]ref!$F$35</definedName>
    <definedName name="K15degC">[1]ref!$F$36</definedName>
    <definedName name="K60degF">[1]ref!$D$37</definedName>
    <definedName name="kcalTOMJ">units!$E$123</definedName>
    <definedName name="kg.GJTOlb.MWh">units!$E$185</definedName>
    <definedName name="kgTOg">units!$E$17</definedName>
    <definedName name="kgTOlb">units!$E$18</definedName>
    <definedName name="kJ.kWhTOmmBtu.MWh">units!$E$176</definedName>
    <definedName name="kJTOBtu">units!$E$124</definedName>
    <definedName name="km.lTOmi.gal">units!$E$211</definedName>
    <definedName name="km2TOacre">units!$E$59</definedName>
    <definedName name="km2TOha">units!$E$60</definedName>
    <definedName name="km2TOm2">units!$E$61</definedName>
    <definedName name="km2TOmi2">units!$E$62</definedName>
    <definedName name="kmTOmi">units!$E$11</definedName>
    <definedName name="kWh.tonTOMJ.kg">units!$E$200</definedName>
    <definedName name="kWhTOBtu">units!$E$125</definedName>
    <definedName name="kWhTOMJ">units!$E$126</definedName>
    <definedName name="kWTOhp">units!$E$162</definedName>
    <definedName name="L.sTOgpm">units!$E$171</definedName>
    <definedName name="lb.mmBtuTOMg.mmBtu">units!$E$186</definedName>
    <definedName name="lb.mmBtuTOng.J">units!$E$187</definedName>
    <definedName name="lb.mmBtuTOTg.quad">units!$E$188</definedName>
    <definedName name="lb.MWhTOg.hph">units!$E$189</definedName>
    <definedName name="lb.MWhTOg.kWh">units!$E$190</definedName>
    <definedName name="lb.MWhTOkg.GJ">units!$E$191</definedName>
    <definedName name="lb.MWhTOton.GWh">units!$E$192</definedName>
    <definedName name="lbTOg">units!$E$19</definedName>
    <definedName name="lbTOkg">units!$E$20</definedName>
    <definedName name="lbTOMg">units!$E$21</definedName>
    <definedName name="lbTON">units!$E$95</definedName>
    <definedName name="lbTOoz">units!$E$25</definedName>
    <definedName name="lbTOton">units!$E$22</definedName>
    <definedName name="LTOft3">units!$E$85</definedName>
    <definedName name="LTOgal">units!$E$86</definedName>
    <definedName name="LTOm3">units!$E$87</definedName>
    <definedName name="lu_EmissionFactors">lookup!$B$6:$D$17</definedName>
    <definedName name="m2TOacre">units!$E$63</definedName>
    <definedName name="m2TOft2">units!$E$64</definedName>
    <definedName name="m2TOha">units!$E$65</definedName>
    <definedName name="m2TOkm2">units!$E$66</definedName>
    <definedName name="m3.dayTOgpm">units!$E$172</definedName>
    <definedName name="m3TOacreft">units!$E$88</definedName>
    <definedName name="m3TOft3">units!$E$89</definedName>
    <definedName name="m3TOgal">units!$E$90</definedName>
    <definedName name="m3TOliter">units!$E$91</definedName>
    <definedName name="massC">[1]ref!$F$18</definedName>
    <definedName name="massCH4">[1]ref!$D$26</definedName>
    <definedName name="massCO2">[1]ref!$D$28</definedName>
    <definedName name="massH">[1]ref!$F$19</definedName>
    <definedName name="massN">[1]ref!$F$20</definedName>
    <definedName name="massN2O">[1]ref!$D$29</definedName>
    <definedName name="massO">[1]ref!$F$21</definedName>
    <definedName name="massS">[1]ref!$F$22</definedName>
    <definedName name="mi2TOacre">units!$E$67</definedName>
    <definedName name="mi2TOkm2">units!$E$69</definedName>
    <definedName name="minTOday">units!$E$38</definedName>
    <definedName name="miTOkm">units!$E$12</definedName>
    <definedName name="MJ.hrTOkW">units!$E$163</definedName>
    <definedName name="MJ.kgTOBtu.lb">units!$E$201</definedName>
    <definedName name="MJ.kgTOkWh.ton">units!$E$202</definedName>
    <definedName name="MJ.kgTOmmBtu.ton">units!$E$203</definedName>
    <definedName name="MJ.kWhTOmmBtu.MWh">units!$E$177</definedName>
    <definedName name="MJ.m3TOBtu.ft3">units!$E$208</definedName>
    <definedName name="MJTOBtu">units!$E$127</definedName>
    <definedName name="MJTOkcal">units!$E$129</definedName>
    <definedName name="MJTOkWh">units!$E$128</definedName>
    <definedName name="MJTOMWh">units!$E$130</definedName>
    <definedName name="MJTOtherm">units!$E$131</definedName>
    <definedName name="mmBtu.MWhTOBtu.hph">units!$E$178</definedName>
    <definedName name="mmBtu.MWhTOkJ.kWh">units!$E$179</definedName>
    <definedName name="mmBtu.MWhTOMJ.kWh">units!$E$180</definedName>
    <definedName name="mmBtu.tonTOBtu.lb">units!$E$204</definedName>
    <definedName name="mmBtuTOMJ">units!$E$132</definedName>
    <definedName name="mmBtuTOMWh">units!$E$133</definedName>
    <definedName name="mmBtuTOtherm">units!$E$134</definedName>
    <definedName name="mmBtuTOTJ">units!$E$135</definedName>
    <definedName name="mmTOin">units!$E$13</definedName>
    <definedName name="molVol15degC">[1]ref!$D$39</definedName>
    <definedName name="molVol60degF">[1]ref!$D$40</definedName>
    <definedName name="moTOday">units!$E$39</definedName>
    <definedName name="moTOyr">units!$E$40</definedName>
    <definedName name="MtoeTOGWh">units!$E$136</definedName>
    <definedName name="MtoeTOmmBtu">units!$E$137</definedName>
    <definedName name="MtoeTOTJ">units!$E$138</definedName>
    <definedName name="MWaTOMWh">units!$E$139</definedName>
    <definedName name="MWhTOGJ">units!$E$140</definedName>
    <definedName name="MWhTOmmBtu">units!$E$141</definedName>
    <definedName name="MWhTOMWa">units!$E$142</definedName>
    <definedName name="MWhTOTJ">units!$E$143</definedName>
    <definedName name="MWTOGJ.hr">units!$E$164</definedName>
    <definedName name="MWTOkW">units!$E$165</definedName>
    <definedName name="ng.JTOlb.mmBtu">units!$E$193</definedName>
    <definedName name="ozTOkg">units!$E$26</definedName>
    <definedName name="popSStSea05">[2]pop!$C$32</definedName>
    <definedName name="popStuSea05">[2]pop!$C$17</definedName>
    <definedName name="psiTOPa">units!$E$102</definedName>
    <definedName name="quad.yrTOGW">units!$E$166</definedName>
    <definedName name="quadTOEJ">units!$E$144</definedName>
    <definedName name="quadTOTWh">units!$E$145</definedName>
    <definedName name="sTOday">units!$E$41</definedName>
    <definedName name="sTOhr">units!$E$42</definedName>
    <definedName name="sTOyr">units!$E$43</definedName>
    <definedName name="Tg.quadTOlb.mmBtu">units!$E$194</definedName>
    <definedName name="thermTOBtu">units!$E$146</definedName>
    <definedName name="thermTOGJ">units!$E$147</definedName>
    <definedName name="thermTOkWh">units!$E$148</definedName>
    <definedName name="thermTOMJ">units!$E$149</definedName>
    <definedName name="thermTOTJ">units!$E$150</definedName>
    <definedName name="ton.GWhTOlb.MWh">units!$E$195</definedName>
    <definedName name="tonTOkg">units!$E$28</definedName>
    <definedName name="tonTOlb">units!$E$27</definedName>
    <definedName name="tonTOMg">units!$E$29</definedName>
    <definedName name="tonTOt">units!$E$29</definedName>
    <definedName name="tTOkg">units!$E$23</definedName>
    <definedName name="tTOton">units!$E$24</definedName>
    <definedName name="TWh.yrTOGW">units!$E$167</definedName>
    <definedName name="TWhTOEJ">units!$E$151</definedName>
    <definedName name="TWhTOquad">units!$E$152</definedName>
    <definedName name="WhTOBtu">units!$E$153</definedName>
    <definedName name="WhTOJ">units!$E$154</definedName>
    <definedName name="yd2TOft2">units!$E$68</definedName>
    <definedName name="yd3TOm3">units!$E$92</definedName>
    <definedName name="yrTOday">units!$E$44</definedName>
    <definedName name="yrTOhr">units!$E$45</definedName>
    <definedName name="yrTOmo">units!$E$46</definedName>
    <definedName name="yrTOs">units!$E$47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 i="17" l="1"/>
  <c r="P7" i="17"/>
  <c r="O7" i="17"/>
  <c r="N7" i="17"/>
  <c r="M7" i="17"/>
  <c r="L7" i="17"/>
  <c r="K7" i="17"/>
  <c r="J7" i="17"/>
  <c r="I7" i="17"/>
  <c r="H7" i="17"/>
  <c r="G7" i="17"/>
  <c r="F7" i="17"/>
  <c r="K14" i="17" l="1"/>
  <c r="J14" i="17"/>
  <c r="I14" i="17"/>
  <c r="H14" i="17"/>
  <c r="G14" i="17"/>
  <c r="F14" i="17"/>
  <c r="Q10" i="18" l="1"/>
  <c r="P10" i="18"/>
  <c r="O10" i="18"/>
  <c r="N10" i="18"/>
  <c r="M10" i="18"/>
  <c r="L10" i="18"/>
  <c r="K10" i="18"/>
  <c r="J10" i="18"/>
  <c r="I10" i="18"/>
  <c r="H10" i="18"/>
  <c r="G10" i="18"/>
  <c r="F10" i="18"/>
  <c r="B61" i="4" l="1"/>
  <c r="F93" i="7"/>
  <c r="D18" i="26" l="1"/>
  <c r="R10" i="11" l="1"/>
  <c r="H61" i="4" s="1"/>
  <c r="K61" i="4" s="1"/>
  <c r="R26" i="11"/>
  <c r="F80" i="7" l="1"/>
  <c r="F81" i="7" s="1"/>
  <c r="F76" i="7"/>
  <c r="F75" i="7"/>
  <c r="F71" i="7"/>
  <c r="G34" i="22" l="1"/>
  <c r="F72" i="7"/>
  <c r="F33" i="22" s="1"/>
  <c r="F67" i="7"/>
  <c r="E32" i="22" s="1"/>
  <c r="F34" i="22"/>
  <c r="F62" i="7"/>
  <c r="F64" i="7" s="1"/>
  <c r="D32" i="22" s="1"/>
  <c r="C6" i="25"/>
  <c r="C6" i="27"/>
  <c r="D41" i="22"/>
  <c r="C40" i="22"/>
  <c r="C39" i="22"/>
  <c r="I6" i="28"/>
  <c r="H18" i="28" s="1"/>
  <c r="I5" i="28"/>
  <c r="G17" i="28" s="1"/>
  <c r="H13" i="28"/>
  <c r="G13" i="28"/>
  <c r="F13" i="28"/>
  <c r="C41" i="22" s="1"/>
  <c r="H7" i="28"/>
  <c r="G7" i="28"/>
  <c r="C17" i="27" s="1"/>
  <c r="F7" i="28"/>
  <c r="I12" i="28"/>
  <c r="H24" i="28" s="1"/>
  <c r="I11" i="28"/>
  <c r="G23" i="28" s="1"/>
  <c r="I10" i="28"/>
  <c r="F22" i="28" s="1"/>
  <c r="I9" i="28"/>
  <c r="G21" i="28" s="1"/>
  <c r="F24" i="28" l="1"/>
  <c r="I7" i="28"/>
  <c r="H19" i="28" s="1"/>
  <c r="G22" i="28"/>
  <c r="F17" i="28"/>
  <c r="G18" i="28"/>
  <c r="C32" i="22"/>
  <c r="H17" i="28"/>
  <c r="F18" i="28"/>
  <c r="H23" i="28"/>
  <c r="C17" i="25"/>
  <c r="I13" i="28"/>
  <c r="G25" i="28" s="1"/>
  <c r="H21" i="28"/>
  <c r="F23" i="28"/>
  <c r="G24" i="28"/>
  <c r="F21" i="28"/>
  <c r="H22" i="28"/>
  <c r="G24" i="22"/>
  <c r="G23" i="22"/>
  <c r="G22" i="22"/>
  <c r="G19" i="28" l="1"/>
  <c r="F19" i="28"/>
  <c r="F25" i="28"/>
  <c r="H25" i="28"/>
  <c r="C14" i="27"/>
  <c r="C14" i="25"/>
  <c r="B15" i="4" l="1"/>
  <c r="R19" i="2"/>
  <c r="R18" i="2"/>
  <c r="R17" i="2"/>
  <c r="R16" i="2"/>
  <c r="R15" i="2"/>
  <c r="R14" i="2"/>
  <c r="C22" i="1"/>
  <c r="C20" i="1"/>
  <c r="C18" i="1"/>
  <c r="C4" i="1"/>
  <c r="C21" i="1"/>
  <c r="B1" i="27" l="1"/>
  <c r="C16" i="27"/>
  <c r="C12" i="1"/>
  <c r="C19" i="27" l="1"/>
  <c r="H56" i="4" s="1"/>
  <c r="C18" i="27"/>
  <c r="H55" i="4" s="1"/>
  <c r="J37" i="4"/>
  <c r="J36" i="4"/>
  <c r="J35" i="4"/>
  <c r="D17" i="26"/>
  <c r="J31" i="4" s="1"/>
  <c r="D11" i="26"/>
  <c r="J47" i="4" s="1"/>
  <c r="D15" i="26"/>
  <c r="J17" i="4" s="1"/>
  <c r="J18" i="4" l="1"/>
  <c r="J30" i="4"/>
  <c r="J26" i="4"/>
  <c r="J33" i="4"/>
  <c r="J42" i="4"/>
  <c r="J52" i="4"/>
  <c r="J34" i="4"/>
  <c r="J19" i="4"/>
  <c r="C16" i="25"/>
  <c r="C19" i="25" l="1"/>
  <c r="H60" i="4" s="1"/>
  <c r="C18" i="25"/>
  <c r="H59" i="4" s="1"/>
  <c r="B1" i="25"/>
  <c r="C13" i="1"/>
  <c r="B1" i="22" l="1"/>
  <c r="C11" i="1"/>
  <c r="I24" i="22" l="1"/>
  <c r="H24" i="22"/>
  <c r="F24" i="22"/>
  <c r="E24" i="22"/>
  <c r="D24" i="22"/>
  <c r="C24" i="22"/>
  <c r="I23" i="22"/>
  <c r="H23" i="22"/>
  <c r="F23" i="22"/>
  <c r="E23" i="22"/>
  <c r="D23" i="22"/>
  <c r="C23" i="22"/>
  <c r="I22" i="22"/>
  <c r="H22" i="22"/>
  <c r="F22" i="22"/>
  <c r="E22" i="22"/>
  <c r="D22" i="22"/>
  <c r="C22" i="22"/>
  <c r="H41" i="22"/>
  <c r="G28" i="22" s="1"/>
  <c r="G56" i="22" s="1"/>
  <c r="H42" i="4" s="1"/>
  <c r="D40" i="22"/>
  <c r="H40" i="22" s="1"/>
  <c r="G27" i="22" s="1"/>
  <c r="G55" i="22" s="1"/>
  <c r="H47" i="4" s="1"/>
  <c r="D39" i="22"/>
  <c r="H39" i="22" s="1"/>
  <c r="G26" i="22" s="1"/>
  <c r="G54" i="22" s="1"/>
  <c r="H52" i="4" s="1"/>
  <c r="G41" i="22"/>
  <c r="G40" i="22"/>
  <c r="G39" i="22"/>
  <c r="F26" i="22" l="1"/>
  <c r="C26" i="22"/>
  <c r="C46" i="22" s="1"/>
  <c r="H26" i="22"/>
  <c r="C27" i="22"/>
  <c r="C47" i="22" s="1"/>
  <c r="H27" i="22"/>
  <c r="E28" i="22"/>
  <c r="E48" i="22" s="1"/>
  <c r="D27" i="22"/>
  <c r="D47" i="22" s="1"/>
  <c r="I27" i="22"/>
  <c r="F28" i="22"/>
  <c r="E27" i="22"/>
  <c r="E47" i="22" s="1"/>
  <c r="C28" i="22"/>
  <c r="C48" i="22" s="1"/>
  <c r="H28" i="22"/>
  <c r="D26" i="22"/>
  <c r="D46" i="22" s="1"/>
  <c r="I26" i="22"/>
  <c r="F27" i="22"/>
  <c r="D28" i="22"/>
  <c r="D48" i="22" s="1"/>
  <c r="I28" i="22"/>
  <c r="F51" i="22" l="1"/>
  <c r="H51" i="22" s="1"/>
  <c r="H44" i="4" s="1"/>
  <c r="F47" i="22"/>
  <c r="H47" i="22" s="1"/>
  <c r="H43" i="4" s="1"/>
  <c r="F48" i="22"/>
  <c r="H48" i="22" s="1"/>
  <c r="C7" i="27" s="1"/>
  <c r="H53" i="4" s="1"/>
  <c r="F52" i="22"/>
  <c r="H52" i="22" s="1"/>
  <c r="C8" i="27" s="1"/>
  <c r="H54" i="4" s="1"/>
  <c r="F46" i="22"/>
  <c r="F50" i="22"/>
  <c r="H50" i="22" s="1"/>
  <c r="H49" i="4" s="1"/>
  <c r="G11" i="17"/>
  <c r="H38" i="4" l="1"/>
  <c r="C7" i="25"/>
  <c r="H57" i="4" s="1"/>
  <c r="H39" i="4"/>
  <c r="C8" i="25"/>
  <c r="H58" i="4" s="1"/>
  <c r="Q17" i="17" l="1"/>
  <c r="P17" i="17"/>
  <c r="O17" i="17"/>
  <c r="N17" i="17"/>
  <c r="M17" i="17"/>
  <c r="L17" i="17"/>
  <c r="K17" i="17"/>
  <c r="J17" i="17"/>
  <c r="I17" i="17"/>
  <c r="H17" i="17"/>
  <c r="G17" i="17"/>
  <c r="F17" i="17"/>
  <c r="R17" i="11" l="1"/>
  <c r="H15" i="4" s="1"/>
  <c r="F23" i="16" l="1"/>
  <c r="E23" i="16"/>
  <c r="D23" i="16"/>
  <c r="F22" i="16"/>
  <c r="F21" i="16"/>
  <c r="F17" i="16"/>
  <c r="E17" i="16"/>
  <c r="D17" i="16"/>
  <c r="F16" i="16"/>
  <c r="E16" i="16"/>
  <c r="D16" i="16"/>
  <c r="C16" i="16"/>
  <c r="F15" i="16"/>
  <c r="E15" i="16"/>
  <c r="D15" i="16"/>
  <c r="C15" i="16"/>
  <c r="F14" i="16"/>
  <c r="F10" i="16"/>
  <c r="E10" i="16"/>
  <c r="D10" i="16"/>
  <c r="F9" i="16"/>
  <c r="E9" i="16"/>
  <c r="D9" i="16"/>
  <c r="C9" i="16"/>
  <c r="F8" i="16"/>
  <c r="F7" i="16"/>
  <c r="B1" i="16"/>
  <c r="C16" i="1"/>
  <c r="F11" i="16" l="1"/>
  <c r="F18" i="16"/>
  <c r="F24" i="16"/>
  <c r="G16" i="16"/>
  <c r="G9" i="16"/>
  <c r="G15" i="16"/>
  <c r="B60" i="4"/>
  <c r="B59" i="4"/>
  <c r="B58" i="4"/>
  <c r="B57" i="4"/>
  <c r="B56" i="4"/>
  <c r="B55" i="4"/>
  <c r="B54" i="4"/>
  <c r="B53" i="4"/>
  <c r="F26" i="16" l="1"/>
  <c r="B52" i="4" l="1"/>
  <c r="B51" i="4"/>
  <c r="B50" i="4"/>
  <c r="B49" i="4"/>
  <c r="B48" i="4"/>
  <c r="B47" i="4"/>
  <c r="B46" i="4"/>
  <c r="B45" i="4"/>
  <c r="B44" i="4"/>
  <c r="B43" i="4"/>
  <c r="E115" i="10"/>
  <c r="F86" i="7"/>
  <c r="F87" i="7" s="1"/>
  <c r="F32" i="7" s="1"/>
  <c r="F33" i="7" s="1"/>
  <c r="D16" i="26" s="1"/>
  <c r="F10" i="7"/>
  <c r="F11" i="7" s="1"/>
  <c r="F12" i="7" s="1"/>
  <c r="B42" i="4"/>
  <c r="B41" i="4"/>
  <c r="B40" i="4"/>
  <c r="B39" i="4"/>
  <c r="F19" i="7"/>
  <c r="F20" i="7" s="1"/>
  <c r="F21" i="7" s="1"/>
  <c r="E110" i="10"/>
  <c r="B38" i="4"/>
  <c r="F25" i="7"/>
  <c r="F26" i="7" s="1"/>
  <c r="F27" i="7" s="1"/>
  <c r="C12" i="20"/>
  <c r="C14" i="20" s="1"/>
  <c r="C9" i="20"/>
  <c r="C11" i="20" s="1"/>
  <c r="B1" i="20"/>
  <c r="B37" i="4"/>
  <c r="B36" i="4"/>
  <c r="B35" i="4"/>
  <c r="B34" i="4"/>
  <c r="B33" i="4"/>
  <c r="B32" i="4"/>
  <c r="F18" i="13"/>
  <c r="G18" i="13"/>
  <c r="H18" i="13"/>
  <c r="I18" i="13"/>
  <c r="J18" i="13"/>
  <c r="K18" i="13"/>
  <c r="L18" i="13"/>
  <c r="M18" i="13"/>
  <c r="N18" i="13"/>
  <c r="O18" i="13"/>
  <c r="P18" i="13"/>
  <c r="Q18" i="13"/>
  <c r="R17" i="13"/>
  <c r="R11" i="18"/>
  <c r="R10" i="18"/>
  <c r="R9" i="18"/>
  <c r="B1" i="18"/>
  <c r="F12" i="18"/>
  <c r="G12" i="18"/>
  <c r="H12" i="18"/>
  <c r="I12" i="18"/>
  <c r="J12" i="18"/>
  <c r="K12" i="18"/>
  <c r="L12" i="18"/>
  <c r="M12" i="18"/>
  <c r="N12" i="18"/>
  <c r="O12" i="18"/>
  <c r="P12" i="18"/>
  <c r="Q12" i="18"/>
  <c r="R8" i="18"/>
  <c r="Q21" i="2"/>
  <c r="P21" i="2"/>
  <c r="O21" i="2"/>
  <c r="N21" i="2"/>
  <c r="M21" i="2"/>
  <c r="L21" i="2"/>
  <c r="K21" i="2"/>
  <c r="J21" i="2"/>
  <c r="I21" i="2"/>
  <c r="H21" i="2"/>
  <c r="G21" i="2"/>
  <c r="F21" i="2"/>
  <c r="Q26" i="2"/>
  <c r="P26" i="2"/>
  <c r="O26" i="2"/>
  <c r="N26" i="2"/>
  <c r="M26" i="2"/>
  <c r="L26" i="2"/>
  <c r="K26" i="2"/>
  <c r="J26" i="2"/>
  <c r="I26" i="2"/>
  <c r="H26" i="2"/>
  <c r="G26" i="2"/>
  <c r="F26" i="2"/>
  <c r="R25" i="2"/>
  <c r="B31" i="4"/>
  <c r="B30" i="4"/>
  <c r="B29" i="4"/>
  <c r="B28" i="4"/>
  <c r="B27" i="4"/>
  <c r="R12" i="17"/>
  <c r="H29" i="4" s="1"/>
  <c r="R10" i="17"/>
  <c r="R9" i="17"/>
  <c r="F11" i="17"/>
  <c r="H11" i="17"/>
  <c r="R11" i="17" s="1"/>
  <c r="H28" i="4" s="1"/>
  <c r="I11" i="17"/>
  <c r="J11" i="17"/>
  <c r="K11" i="17"/>
  <c r="L11" i="17"/>
  <c r="M11" i="17"/>
  <c r="N11" i="17"/>
  <c r="O11" i="17"/>
  <c r="P11" i="17"/>
  <c r="Q11" i="17"/>
  <c r="R18" i="17"/>
  <c r="H26" i="4"/>
  <c r="K26" i="4" s="1"/>
  <c r="R17" i="17"/>
  <c r="H25" i="4" s="1"/>
  <c r="B26" i="4"/>
  <c r="B25" i="4"/>
  <c r="B1" i="17"/>
  <c r="R14" i="17"/>
  <c r="H31" i="4" s="1"/>
  <c r="R13" i="17"/>
  <c r="H30" i="4" s="1"/>
  <c r="R7" i="17"/>
  <c r="H27" i="4" s="1"/>
  <c r="F53" i="7"/>
  <c r="D12" i="26" s="1"/>
  <c r="J24" i="4" s="1"/>
  <c r="R32" i="13"/>
  <c r="H24" i="4" s="1"/>
  <c r="B24" i="4"/>
  <c r="B23" i="4"/>
  <c r="B22" i="4"/>
  <c r="R25" i="11"/>
  <c r="H23" i="4" s="1"/>
  <c r="R41" i="2"/>
  <c r="H22" i="4" s="1"/>
  <c r="F49" i="7"/>
  <c r="D10" i="26" s="1"/>
  <c r="R26" i="13"/>
  <c r="H21" i="4" s="1"/>
  <c r="R24" i="13"/>
  <c r="H20" i="4" s="1"/>
  <c r="B21" i="4"/>
  <c r="B20" i="4"/>
  <c r="F13" i="13"/>
  <c r="G13" i="13"/>
  <c r="H13" i="13"/>
  <c r="I13" i="13"/>
  <c r="J13" i="13"/>
  <c r="K13" i="13"/>
  <c r="L13" i="13"/>
  <c r="M13" i="13"/>
  <c r="N13" i="13"/>
  <c r="O13" i="13"/>
  <c r="P13" i="13"/>
  <c r="Q13" i="13"/>
  <c r="R7" i="13"/>
  <c r="H18" i="4" s="1"/>
  <c r="B19" i="4"/>
  <c r="B18" i="4"/>
  <c r="R19" i="11"/>
  <c r="H16" i="4" s="1"/>
  <c r="R16" i="11"/>
  <c r="H14" i="4" s="1"/>
  <c r="B10" i="4"/>
  <c r="B9" i="4"/>
  <c r="R35" i="2"/>
  <c r="H10" i="4" s="1"/>
  <c r="R33" i="2"/>
  <c r="H9" i="4" s="1"/>
  <c r="B1" i="4"/>
  <c r="R9" i="11"/>
  <c r="H13" i="4" s="1"/>
  <c r="R8" i="11"/>
  <c r="H12" i="4" s="1"/>
  <c r="R7" i="11"/>
  <c r="H11" i="4" s="1"/>
  <c r="B17" i="4"/>
  <c r="R20" i="2"/>
  <c r="B16" i="4"/>
  <c r="R13" i="2"/>
  <c r="B14" i="4"/>
  <c r="B13" i="4"/>
  <c r="B12" i="4"/>
  <c r="B11" i="4"/>
  <c r="B8" i="4"/>
  <c r="R8" i="2"/>
  <c r="H7" i="4" s="1"/>
  <c r="B7" i="4"/>
  <c r="B6" i="4"/>
  <c r="R7" i="2"/>
  <c r="H6" i="4" s="1"/>
  <c r="C8" i="15"/>
  <c r="C10" i="15"/>
  <c r="C14" i="15"/>
  <c r="C16" i="15"/>
  <c r="C18" i="15" s="1"/>
  <c r="B1" i="15"/>
  <c r="R12" i="13"/>
  <c r="R11" i="13"/>
  <c r="B1" i="13"/>
  <c r="B1" i="11"/>
  <c r="B1" i="2"/>
  <c r="B1" i="1"/>
  <c r="R12" i="2"/>
  <c r="E24" i="10"/>
  <c r="E57" i="10"/>
  <c r="E11" i="10"/>
  <c r="E211" i="10" s="1"/>
  <c r="E107" i="10"/>
  <c r="E207" i="10" s="1"/>
  <c r="E208" i="10" s="1"/>
  <c r="E204" i="10"/>
  <c r="E199" i="10" s="1"/>
  <c r="E126" i="10"/>
  <c r="E140" i="10" s="1"/>
  <c r="E191" i="10" s="1"/>
  <c r="E185" i="10" s="1"/>
  <c r="E200" i="10"/>
  <c r="E202" i="10" s="1"/>
  <c r="E195" i="10"/>
  <c r="E192" i="10" s="1"/>
  <c r="E18" i="10"/>
  <c r="E194" i="10"/>
  <c r="E188" i="10" s="1"/>
  <c r="E120" i="10"/>
  <c r="E193" i="10" s="1"/>
  <c r="E187" i="10" s="1"/>
  <c r="E184" i="10"/>
  <c r="E190" i="10" s="1"/>
  <c r="E162" i="10"/>
  <c r="E183" i="10" s="1"/>
  <c r="E189" i="10" s="1"/>
  <c r="E21" i="10"/>
  <c r="E186" i="10" s="1"/>
  <c r="E179" i="10"/>
  <c r="E176" i="10" s="1"/>
  <c r="E175" i="10"/>
  <c r="E178" i="10" s="1"/>
  <c r="E171" i="10"/>
  <c r="E172" i="10"/>
  <c r="E37" i="10"/>
  <c r="E167" i="10" s="1"/>
  <c r="E160" i="10" s="1"/>
  <c r="E133" i="10"/>
  <c r="E141" i="10"/>
  <c r="E152" i="10" s="1"/>
  <c r="E145" i="10" s="1"/>
  <c r="E166" i="10" s="1"/>
  <c r="E159" i="10" s="1"/>
  <c r="E157" i="10"/>
  <c r="E164" i="10" s="1"/>
  <c r="E111" i="10"/>
  <c r="E153" i="10"/>
  <c r="E151" i="10"/>
  <c r="E148" i="10"/>
  <c r="E142" i="10"/>
  <c r="E139" i="10"/>
  <c r="E132" i="10"/>
  <c r="E135" i="10" s="1"/>
  <c r="E128" i="10"/>
  <c r="E130" i="10"/>
  <c r="E123" i="10"/>
  <c r="E129" i="10" s="1"/>
  <c r="E127" i="10"/>
  <c r="E125" i="10"/>
  <c r="E122" i="10"/>
  <c r="E121" i="10"/>
  <c r="E112" i="10"/>
  <c r="E109" i="10"/>
  <c r="E91" i="10"/>
  <c r="E90" i="10"/>
  <c r="E89" i="10"/>
  <c r="E88" i="10"/>
  <c r="E86" i="10"/>
  <c r="E82" i="10"/>
  <c r="E81" i="10"/>
  <c r="E80" i="10"/>
  <c r="E76" i="10"/>
  <c r="E67" i="10"/>
  <c r="E64" i="10"/>
  <c r="E63" i="10"/>
  <c r="E60" i="10"/>
  <c r="E59" i="10"/>
  <c r="E56" i="10"/>
  <c r="E47" i="10"/>
  <c r="E43" i="10" s="1"/>
  <c r="E42" i="10"/>
  <c r="E40" i="10"/>
  <c r="E39" i="10"/>
  <c r="E38" i="10"/>
  <c r="E33" i="10"/>
  <c r="E28" i="10"/>
  <c r="E26" i="10"/>
  <c r="E22" i="10"/>
  <c r="E19" i="10"/>
  <c r="E13" i="10"/>
  <c r="E9" i="10"/>
  <c r="E7" i="10" s="1"/>
  <c r="F14" i="7"/>
  <c r="C17" i="1"/>
  <c r="C15" i="1"/>
  <c r="C6" i="1"/>
  <c r="C14" i="1"/>
  <c r="C9" i="1"/>
  <c r="C7" i="1"/>
  <c r="C8" i="1"/>
  <c r="C10" i="1"/>
  <c r="E124" i="10" l="1"/>
  <c r="E118" i="10" s="1"/>
  <c r="E119" i="10" s="1"/>
  <c r="E163" i="10"/>
  <c r="E214" i="10"/>
  <c r="E117" i="10"/>
  <c r="E143" i="10"/>
  <c r="E144" i="10"/>
  <c r="E180" i="10"/>
  <c r="E177" i="10" s="1"/>
  <c r="E198" i="10"/>
  <c r="E201" i="10" s="1"/>
  <c r="E203" i="10" s="1"/>
  <c r="R18" i="13"/>
  <c r="H33" i="4" s="1"/>
  <c r="R13" i="13"/>
  <c r="H19" i="4" s="1"/>
  <c r="K19" i="4" s="1"/>
  <c r="C17" i="15"/>
  <c r="F39" i="7"/>
  <c r="F40" i="7" s="1"/>
  <c r="D14" i="26" s="1"/>
  <c r="J23" i="4" s="1"/>
  <c r="K23" i="4" s="1"/>
  <c r="E8" i="16" s="1"/>
  <c r="F42" i="7"/>
  <c r="F43" i="7" s="1"/>
  <c r="F35" i="7"/>
  <c r="F36" i="7" s="1"/>
  <c r="D13" i="26" s="1"/>
  <c r="J21" i="4"/>
  <c r="K21" i="4" s="1"/>
  <c r="J20" i="4"/>
  <c r="K20" i="4" s="1"/>
  <c r="F15" i="7"/>
  <c r="C11" i="15"/>
  <c r="C15" i="15" s="1"/>
  <c r="J55" i="4"/>
  <c r="J56" i="4"/>
  <c r="E114" i="10"/>
  <c r="J51" i="4"/>
  <c r="J32" i="4"/>
  <c r="J25" i="4"/>
  <c r="K25" i="4" s="1"/>
  <c r="J60" i="4"/>
  <c r="J41" i="4"/>
  <c r="J9" i="4"/>
  <c r="K9" i="4" s="1"/>
  <c r="J27" i="4"/>
  <c r="K27" i="4" s="1"/>
  <c r="J8" i="4"/>
  <c r="J46" i="4"/>
  <c r="J22" i="4"/>
  <c r="K22" i="4" s="1"/>
  <c r="E7" i="16" s="1"/>
  <c r="J6" i="4"/>
  <c r="K6" i="4" s="1"/>
  <c r="J10" i="4"/>
  <c r="K10" i="4" s="1"/>
  <c r="K30" i="4"/>
  <c r="K31" i="4"/>
  <c r="E116" i="10"/>
  <c r="K18" i="4"/>
  <c r="K24" i="4"/>
  <c r="E14" i="16" s="1"/>
  <c r="E18" i="16" s="1"/>
  <c r="C15" i="20"/>
  <c r="C16" i="20" s="1"/>
  <c r="K33" i="4"/>
  <c r="R12" i="18"/>
  <c r="H34" i="4" s="1"/>
  <c r="K34" i="4" s="1"/>
  <c r="C17" i="16" s="1"/>
  <c r="R26" i="2"/>
  <c r="H32" i="4" s="1"/>
  <c r="R21" i="2"/>
  <c r="H8" i="4" s="1"/>
  <c r="E131" i="10"/>
  <c r="E149" i="10" s="1"/>
  <c r="E150" i="10" s="1"/>
  <c r="E147" i="10"/>
  <c r="F37" i="7"/>
  <c r="D6" i="26" s="1"/>
  <c r="J43" i="4" l="1"/>
  <c r="D9" i="26"/>
  <c r="J15" i="4" s="1"/>
  <c r="K15" i="4" s="1"/>
  <c r="J53" i="4"/>
  <c r="J28" i="4"/>
  <c r="K28" i="4" s="1"/>
  <c r="J14" i="4"/>
  <c r="K14" i="4" s="1"/>
  <c r="J16" i="4"/>
  <c r="K16" i="4" s="1"/>
  <c r="J48" i="4"/>
  <c r="C21" i="15"/>
  <c r="C22" i="15" s="1"/>
  <c r="H17" i="4" s="1"/>
  <c r="K17" i="4" s="1"/>
  <c r="C10" i="16" s="1"/>
  <c r="G10" i="16" s="1"/>
  <c r="J57" i="4"/>
  <c r="J38" i="4"/>
  <c r="J13" i="4"/>
  <c r="K13" i="4" s="1"/>
  <c r="C27" i="20"/>
  <c r="C22" i="20"/>
  <c r="C17" i="20"/>
  <c r="K32" i="4"/>
  <c r="K8" i="4"/>
  <c r="J59" i="4"/>
  <c r="J40" i="4"/>
  <c r="J12" i="4"/>
  <c r="K12" i="4" s="1"/>
  <c r="J50" i="4"/>
  <c r="J45" i="4"/>
  <c r="J7" i="4"/>
  <c r="K7" i="4" s="1"/>
  <c r="J29" i="4"/>
  <c r="K29" i="4" s="1"/>
  <c r="J39" i="4"/>
  <c r="J44" i="4"/>
  <c r="J11" i="4"/>
  <c r="K11" i="4" s="1"/>
  <c r="J54" i="4"/>
  <c r="J49" i="4"/>
  <c r="J58" i="4"/>
  <c r="C14" i="16"/>
  <c r="C18" i="16" s="1"/>
  <c r="D7" i="16"/>
  <c r="E11" i="16"/>
  <c r="D14" i="16"/>
  <c r="D18" i="16" s="1"/>
  <c r="G17" i="16"/>
  <c r="D8" i="16" l="1"/>
  <c r="D11" i="16" s="1"/>
  <c r="C23" i="16"/>
  <c r="G23" i="16" s="1"/>
  <c r="C7" i="16"/>
  <c r="G7" i="16" s="1"/>
  <c r="H36" i="4"/>
  <c r="K36" i="4" s="1"/>
  <c r="D22" i="16" s="1"/>
  <c r="H35" i="4"/>
  <c r="K35" i="4" s="1"/>
  <c r="C22" i="16" s="1"/>
  <c r="H37" i="4"/>
  <c r="K37" i="4" s="1"/>
  <c r="E22" i="16" s="1"/>
  <c r="G18" i="16"/>
  <c r="G14" i="16"/>
  <c r="K56" i="4"/>
  <c r="K55" i="4"/>
  <c r="C8" i="16"/>
  <c r="K50" i="4"/>
  <c r="K42" i="4"/>
  <c r="G8" i="16" l="1"/>
  <c r="K45" i="4"/>
  <c r="G22" i="16"/>
  <c r="K52" i="4"/>
  <c r="C11" i="16"/>
  <c r="K58" i="4"/>
  <c r="K54" i="4"/>
  <c r="K41" i="4"/>
  <c r="K39" i="4"/>
  <c r="K51" i="4"/>
  <c r="K44" i="4"/>
  <c r="K49" i="4"/>
  <c r="K43" i="4"/>
  <c r="K46" i="4"/>
  <c r="K47" i="4"/>
  <c r="K60" i="4" l="1"/>
  <c r="G11" i="16"/>
  <c r="K57" i="4"/>
  <c r="K53" i="4"/>
  <c r="K59" i="4"/>
  <c r="K40" i="4"/>
  <c r="K38" i="4"/>
  <c r="D21" i="16" l="1"/>
  <c r="D24" i="16" s="1"/>
  <c r="D26" i="16" s="1"/>
  <c r="E21" i="16"/>
  <c r="E24" i="16" s="1"/>
  <c r="E26" i="16" s="1"/>
  <c r="E26" i="22" l="1"/>
  <c r="E46" i="22" s="1"/>
  <c r="H46" i="22" s="1"/>
  <c r="H48" i="4" s="1"/>
  <c r="K48" i="4" s="1"/>
  <c r="C21" i="16" l="1"/>
  <c r="K83" i="4"/>
  <c r="G21" i="16" l="1"/>
  <c r="C24" i="16"/>
  <c r="G24" i="16" l="1"/>
  <c r="G26" i="16" s="1"/>
  <c r="J26" i="16" s="1"/>
  <c r="C26" i="16"/>
</calcChain>
</file>

<file path=xl/comments1.xml><?xml version="1.0" encoding="utf-8"?>
<comments xmlns="http://schemas.openxmlformats.org/spreadsheetml/2006/main">
  <authors>
    <author>Roel Hammerschlag</author>
  </authors>
  <commentList>
    <comment ref="C9" authorId="0" shapeId="0">
      <text>
        <r>
          <rPr>
            <b/>
            <sz val="8"/>
            <color indexed="81"/>
            <rFont val="Arial"/>
            <family val="2"/>
          </rPr>
          <t>Winter and spring quarter headcounts are for the academic year ENDING in the inventory's calendar year. Summer and fall quarter headcounts are for the academic year BEGINNING in the inventory's calendar year.</t>
        </r>
      </text>
    </comment>
    <comment ref="C10" authorId="0" shapeId="0">
      <text>
        <r>
          <rPr>
            <b/>
            <sz val="8"/>
            <color indexed="81"/>
            <rFont val="Arial"/>
            <family val="2"/>
          </rPr>
          <t>Winter and spring quarter headcounts are for the academic year ENDING in the inventory's calendar year. Summer and fall quarter headcounts are for the academic year BEGINNING in the inventory's calendar year.</t>
        </r>
      </text>
    </comment>
    <comment ref="C11" authorId="0" shapeId="0">
      <text>
        <r>
          <rPr>
            <b/>
            <sz val="8"/>
            <color indexed="81"/>
            <rFont val="Arial"/>
            <family val="2"/>
          </rPr>
          <t>Winter and spring quarter headcounts are for the academic year ENDING in the inventory's calendar year. Summer and fall quarter headcounts are for the academic year BEGINNING in the inventory's calendar year.</t>
        </r>
      </text>
    </comment>
    <comment ref="C12" authorId="0" shapeId="0">
      <text>
        <r>
          <rPr>
            <b/>
            <sz val="8"/>
            <color indexed="81"/>
            <rFont val="Arial"/>
            <family val="2"/>
          </rPr>
          <t>Winter and spring quarter headcounts are for the academic year ENDING in the inventory's calendar year. Summer and fall quarter headcounts are for the academic year BEGINNING in the inventory's calendar year.</t>
        </r>
      </text>
    </comment>
  </commentList>
</comments>
</file>

<file path=xl/sharedStrings.xml><?xml version="1.0" encoding="utf-8"?>
<sst xmlns="http://schemas.openxmlformats.org/spreadsheetml/2006/main" count="1999" uniqueCount="775">
  <si>
    <t>January</t>
  </si>
  <si>
    <t>February</t>
  </si>
  <si>
    <t>March</t>
  </si>
  <si>
    <t>April</t>
  </si>
  <si>
    <t>May</t>
  </si>
  <si>
    <t>June</t>
  </si>
  <si>
    <t>July</t>
  </si>
  <si>
    <t>August</t>
  </si>
  <si>
    <t>September</t>
  </si>
  <si>
    <t>October</t>
  </si>
  <si>
    <t>November</t>
  </si>
  <si>
    <t>December</t>
  </si>
  <si>
    <t>University of Washington Greenhouse Gas Inventory</t>
  </si>
  <si>
    <t>John Chapman
University of Washington
Campus Engineering and Operations
206-543-3860
jchapman@uw.edu</t>
  </si>
  <si>
    <t>Contact 1</t>
  </si>
  <si>
    <t>Contact 2</t>
  </si>
  <si>
    <t>Key</t>
  </si>
  <si>
    <t>constant</t>
  </si>
  <si>
    <t>formula</t>
  </si>
  <si>
    <t>formula with embedded constants</t>
  </si>
  <si>
    <t>input</t>
  </si>
  <si>
    <t>Calendar Year:</t>
  </si>
  <si>
    <t>value</t>
  </si>
  <si>
    <t>units</t>
  </si>
  <si>
    <t>TgC/quad</t>
  </si>
  <si>
    <t>natural gas</t>
  </si>
  <si>
    <t>parameter</t>
  </si>
  <si>
    <t>source</t>
  </si>
  <si>
    <t>therm</t>
  </si>
  <si>
    <t>fuel oil</t>
  </si>
  <si>
    <t>gallon</t>
  </si>
  <si>
    <t>total</t>
  </si>
  <si>
    <t>properties of fuels</t>
  </si>
  <si>
    <t>notes</t>
  </si>
  <si>
    <t>carbon content</t>
  </si>
  <si>
    <t>to</t>
  </si>
  <si>
    <t>emission factors</t>
  </si>
  <si>
    <t>atomic weight, C</t>
  </si>
  <si>
    <t>g/mol</t>
  </si>
  <si>
    <t>atomic weight, O</t>
  </si>
  <si>
    <r>
      <t>molecular weight, CO</t>
    </r>
    <r>
      <rPr>
        <b/>
        <vertAlign val="subscript"/>
        <sz val="10"/>
        <color theme="4" tint="-0.24994659260841701"/>
        <rFont val="Calibri"/>
        <family val="2"/>
        <scheme val="minor"/>
      </rPr>
      <t>2</t>
    </r>
  </si>
  <si>
    <r>
      <t>mass ratio, CO</t>
    </r>
    <r>
      <rPr>
        <b/>
        <vertAlign val="subscript"/>
        <sz val="10"/>
        <color theme="4" tint="-0.24994659260841701"/>
        <rFont val="Calibri"/>
        <family val="2"/>
        <scheme val="minor"/>
      </rPr>
      <t>2</t>
    </r>
    <r>
      <rPr>
        <b/>
        <sz val="10"/>
        <color theme="4" tint="-0.24994659260841701"/>
        <rFont val="Calibri"/>
        <family val="2"/>
        <scheme val="minor"/>
      </rPr>
      <t>/C</t>
    </r>
  </si>
  <si>
    <t>[unitless]</t>
  </si>
  <si>
    <t>mmBtuTOtherm</t>
  </si>
  <si>
    <t>mmBtu</t>
  </si>
  <si>
    <r>
      <t>CO</t>
    </r>
    <r>
      <rPr>
        <b/>
        <vertAlign val="subscript"/>
        <sz val="10"/>
        <color theme="4" tint="-0.24994659260841701"/>
        <rFont val="Calibri"/>
        <family val="2"/>
        <scheme val="minor"/>
      </rPr>
      <t>2</t>
    </r>
    <r>
      <rPr>
        <b/>
        <sz val="10"/>
        <color theme="4" tint="-0.24994659260841701"/>
        <rFont val="Calibri"/>
        <family val="2"/>
        <scheme val="minor"/>
      </rPr>
      <t xml:space="preserve"> @ 100% oxidation</t>
    </r>
  </si>
  <si>
    <r>
      <t>CO</t>
    </r>
    <r>
      <rPr>
        <b/>
        <vertAlign val="subscript"/>
        <sz val="10"/>
        <color theme="4" tint="-0.24994659260841701"/>
        <rFont val="Calibri"/>
        <family val="2"/>
        <scheme val="minor"/>
      </rPr>
      <t>2</t>
    </r>
    <r>
      <rPr>
        <b/>
        <sz val="10"/>
        <color theme="4" tint="-0.24994659260841701"/>
        <rFont val="Calibri"/>
        <family val="2"/>
        <scheme val="minor"/>
      </rPr>
      <t xml:space="preserve"> @ 99% oxidation</t>
    </r>
  </si>
  <si>
    <t>density (nominal)</t>
  </si>
  <si>
    <t>API gravity</t>
  </si>
  <si>
    <t>Annex 2, p. 63</t>
  </si>
  <si>
    <t>kg/L</t>
  </si>
  <si>
    <t>HHV</t>
  </si>
  <si>
    <t>mmBtu/bbl</t>
  </si>
  <si>
    <t>kgC/mmBtu</t>
  </si>
  <si>
    <t>kgC/bbl</t>
  </si>
  <si>
    <t>bblTOgal</t>
  </si>
  <si>
    <t>bbl</t>
  </si>
  <si>
    <t>gal</t>
  </si>
  <si>
    <t>kgC/gal</t>
  </si>
  <si>
    <t>LTOgal</t>
  </si>
  <si>
    <t>L</t>
  </si>
  <si>
    <t>kg/gal</t>
  </si>
  <si>
    <t>"</t>
  </si>
  <si>
    <r>
      <t>kgCO</t>
    </r>
    <r>
      <rPr>
        <b/>
        <vertAlign val="subscript"/>
        <sz val="10"/>
        <color theme="4" tint="-0.24994659260841701"/>
        <rFont val="Calibri"/>
        <family val="2"/>
        <scheme val="minor"/>
      </rPr>
      <t>2</t>
    </r>
    <r>
      <rPr>
        <b/>
        <sz val="10"/>
        <color theme="4" tint="-0.24994659260841701"/>
        <rFont val="Calibri"/>
        <family val="2"/>
        <scheme val="minor"/>
      </rPr>
      <t>/gal</t>
    </r>
  </si>
  <si>
    <t>To convert</t>
  </si>
  <si>
    <t>Multiply</t>
  </si>
  <si>
    <t>from</t>
  </si>
  <si>
    <t>(cell name)</t>
  </si>
  <si>
    <t>by</t>
  </si>
  <si>
    <t>distance</t>
  </si>
  <si>
    <t>cm</t>
  </si>
  <si>
    <t>in</t>
  </si>
  <si>
    <t>cmTOin</t>
  </si>
  <si>
    <t>ft</t>
  </si>
  <si>
    <t>m</t>
  </si>
  <si>
    <t>ftTOm</t>
  </si>
  <si>
    <t>inTOcm</t>
  </si>
  <si>
    <t>mm</t>
  </si>
  <si>
    <t>inTOmm</t>
  </si>
  <si>
    <t>km</t>
  </si>
  <si>
    <t>mi</t>
  </si>
  <si>
    <t>kmTOmi</t>
  </si>
  <si>
    <t>miTOkm</t>
  </si>
  <si>
    <t>mmTOin</t>
  </si>
  <si>
    <t>mass</t>
  </si>
  <si>
    <t>g</t>
  </si>
  <si>
    <t>lb</t>
  </si>
  <si>
    <t>gTOlb</t>
  </si>
  <si>
    <t>kg</t>
  </si>
  <si>
    <t>kgTOg</t>
  </si>
  <si>
    <t>kgTOlb</t>
  </si>
  <si>
    <t>lbTOg</t>
  </si>
  <si>
    <t>lbTOkg</t>
  </si>
  <si>
    <t>t</t>
  </si>
  <si>
    <t>lbTOt</t>
  </si>
  <si>
    <t>ton</t>
  </si>
  <si>
    <t>lbTOton</t>
  </si>
  <si>
    <t>tTOkg</t>
  </si>
  <si>
    <t>tTOton</t>
  </si>
  <si>
    <t>oz</t>
  </si>
  <si>
    <t>lbTOoz</t>
  </si>
  <si>
    <t>ozTOkg</t>
  </si>
  <si>
    <t>tonTOlb</t>
  </si>
  <si>
    <t>tonTOkg</t>
  </si>
  <si>
    <t>tonTOt</t>
  </si>
  <si>
    <t>time</t>
  </si>
  <si>
    <t>day</t>
  </si>
  <si>
    <t>min</t>
  </si>
  <si>
    <t>dayTOmin</t>
  </si>
  <si>
    <t>yr</t>
  </si>
  <si>
    <t>dayTOyr</t>
  </si>
  <si>
    <t>hr</t>
  </si>
  <si>
    <t>hrTOday</t>
  </si>
  <si>
    <t>hrTOmin</t>
  </si>
  <si>
    <t>s</t>
  </si>
  <si>
    <t>hrTOs</t>
  </si>
  <si>
    <t>hrTOyr</t>
  </si>
  <si>
    <t>minTOday</t>
  </si>
  <si>
    <t>mo</t>
  </si>
  <si>
    <t>moTOday</t>
  </si>
  <si>
    <t>moTOyr</t>
  </si>
  <si>
    <t>sTOday</t>
  </si>
  <si>
    <t>sTOhr</t>
  </si>
  <si>
    <t>sTOyr</t>
  </si>
  <si>
    <t>yrTOday</t>
  </si>
  <si>
    <t>yrTOhr</t>
  </si>
  <si>
    <t>yrTOmo</t>
  </si>
  <si>
    <t>yrTOs</t>
  </si>
  <si>
    <t>area (distance x distance)</t>
  </si>
  <si>
    <t>acre</t>
  </si>
  <si>
    <t>ft2</t>
  </si>
  <si>
    <t>acreTOft2</t>
  </si>
  <si>
    <t>ha</t>
  </si>
  <si>
    <t>acreTOha</t>
  </si>
  <si>
    <t>km2</t>
  </si>
  <si>
    <t>acreTOkm2</t>
  </si>
  <si>
    <t>m2</t>
  </si>
  <si>
    <t>acreTOm2</t>
  </si>
  <si>
    <t>mi2</t>
  </si>
  <si>
    <t>acreTOmi2</t>
  </si>
  <si>
    <t>ft2TOm2</t>
  </si>
  <si>
    <t>yd2</t>
  </si>
  <si>
    <t>ft2TOyd2</t>
  </si>
  <si>
    <t>haTOacre</t>
  </si>
  <si>
    <t>haTOkm2</t>
  </si>
  <si>
    <t>km2TOacre</t>
  </si>
  <si>
    <t>km2TOha</t>
  </si>
  <si>
    <t>km2TOm2</t>
  </si>
  <si>
    <t>km2TOmi2</t>
  </si>
  <si>
    <t>m2TOacre</t>
  </si>
  <si>
    <t>m2TOft2</t>
  </si>
  <si>
    <t>m2TOha</t>
  </si>
  <si>
    <t>m2TOkm2</t>
  </si>
  <si>
    <t>mi2TOacre</t>
  </si>
  <si>
    <t>yd2TOft2</t>
  </si>
  <si>
    <t>mi2TOkm2</t>
  </si>
  <si>
    <t>volume (area x distance)</t>
  </si>
  <si>
    <t>acre-ft</t>
  </si>
  <si>
    <t>acreftTOgal</t>
  </si>
  <si>
    <t>m3</t>
  </si>
  <si>
    <t>acreftTOm3</t>
  </si>
  <si>
    <t>acre-in</t>
  </si>
  <si>
    <t>acreinTOgal</t>
  </si>
  <si>
    <t>bblTOL</t>
  </si>
  <si>
    <t>ft3</t>
  </si>
  <si>
    <t>ft3TOgal</t>
  </si>
  <si>
    <t>ft3TOL</t>
  </si>
  <si>
    <t>ft3TOm3</t>
  </si>
  <si>
    <t>galTOacreft</t>
  </si>
  <si>
    <t>galTOacrein</t>
  </si>
  <si>
    <t>galTObbl</t>
  </si>
  <si>
    <t>galTOL</t>
  </si>
  <si>
    <t>galTOm3</t>
  </si>
  <si>
    <t>LTOft3</t>
  </si>
  <si>
    <t>LTOm3</t>
  </si>
  <si>
    <t>m3TOacreft</t>
  </si>
  <si>
    <t>m3TOft3</t>
  </si>
  <si>
    <t>m3TOgal</t>
  </si>
  <si>
    <t>liter</t>
  </si>
  <si>
    <t>m3TOliter</t>
  </si>
  <si>
    <t>yd3</t>
  </si>
  <si>
    <t>yd3TOm3</t>
  </si>
  <si>
    <t>force (mass x acceleration)</t>
  </si>
  <si>
    <t>N</t>
  </si>
  <si>
    <t>lbTON</t>
  </si>
  <si>
    <t>pressure (force/area)</t>
  </si>
  <si>
    <t>atm</t>
  </si>
  <si>
    <t>bar</t>
  </si>
  <si>
    <t>atmTObar</t>
  </si>
  <si>
    <t>psi</t>
  </si>
  <si>
    <t>atmTOpsi</t>
  </si>
  <si>
    <t>Pa</t>
  </si>
  <si>
    <t>barTOPa</t>
  </si>
  <si>
    <t>barTOpsi</t>
  </si>
  <si>
    <t>psiTOPa</t>
  </si>
  <si>
    <t>energy (force x distance)</t>
  </si>
  <si>
    <t>Btu</t>
  </si>
  <si>
    <t>cal</t>
  </si>
  <si>
    <t>BtuTOcal</t>
  </si>
  <si>
    <t>J</t>
  </si>
  <si>
    <t>BtuTOJ</t>
  </si>
  <si>
    <t>kJ</t>
  </si>
  <si>
    <t>BtuTOkJ</t>
  </si>
  <si>
    <t>kWh</t>
  </si>
  <si>
    <t>BtuTOkWh</t>
  </si>
  <si>
    <t>MJ</t>
  </si>
  <si>
    <t>BtuTOMJ</t>
  </si>
  <si>
    <t>Wh</t>
  </si>
  <si>
    <t>BtuTOWh</t>
  </si>
  <si>
    <t>calTOBtu</t>
  </si>
  <si>
    <t>calTOJ</t>
  </si>
  <si>
    <t>EJ</t>
  </si>
  <si>
    <t>TWh</t>
  </si>
  <si>
    <t>EJTOTWh</t>
  </si>
  <si>
    <t>gge</t>
  </si>
  <si>
    <t>GJ</t>
  </si>
  <si>
    <t>MWh</t>
  </si>
  <si>
    <t>GJTOMWh</t>
  </si>
  <si>
    <t>GJTOmmBtu</t>
  </si>
  <si>
    <t>GJTOtherm</t>
  </si>
  <si>
    <t>JTOBtu</t>
  </si>
  <si>
    <t>JTOcal</t>
  </si>
  <si>
    <t>JTOWh</t>
  </si>
  <si>
    <t>kcal</t>
  </si>
  <si>
    <t>kcalTOMJ</t>
  </si>
  <si>
    <t>kJTOBtu</t>
  </si>
  <si>
    <t>kWhTOBtu</t>
  </si>
  <si>
    <t>kWhTOMJ</t>
  </si>
  <si>
    <t>MJTOBtu</t>
  </si>
  <si>
    <t>MJTOkWh</t>
  </si>
  <si>
    <t>MJTOkcal</t>
  </si>
  <si>
    <t>MJTOMWh</t>
  </si>
  <si>
    <t>MJTOtherm</t>
  </si>
  <si>
    <t>mmBtuTOMJ</t>
  </si>
  <si>
    <t>mmBtuTOMWh</t>
  </si>
  <si>
    <t>TJ</t>
  </si>
  <si>
    <t>mmBtuTOTJ</t>
  </si>
  <si>
    <t>Mtoe</t>
  </si>
  <si>
    <t>GWh</t>
  </si>
  <si>
    <t>MtoeTOGWh</t>
  </si>
  <si>
    <t>MtoeTOmmBtu</t>
  </si>
  <si>
    <t>MtoeTOTJ</t>
  </si>
  <si>
    <t>MWa</t>
  </si>
  <si>
    <t>MWaTOMWh</t>
  </si>
  <si>
    <t>MWhTOGJ</t>
  </si>
  <si>
    <t>MWhTOmmBtu</t>
  </si>
  <si>
    <t>MWhTOMWa</t>
  </si>
  <si>
    <t>MWhTOTJ</t>
  </si>
  <si>
    <t>quad</t>
  </si>
  <si>
    <t>quadTOEJ</t>
  </si>
  <si>
    <t>quadTOTWh</t>
  </si>
  <si>
    <t>thermTOBtu</t>
  </si>
  <si>
    <t>thermTOGJ</t>
  </si>
  <si>
    <t>thermTOkWh</t>
  </si>
  <si>
    <t>thermTOMJ</t>
  </si>
  <si>
    <t>thermTOTJ</t>
  </si>
  <si>
    <t>TWhTOEJ</t>
  </si>
  <si>
    <t>TWhTOquad</t>
  </si>
  <si>
    <t>WhTOBtu</t>
  </si>
  <si>
    <t>WhTOJ</t>
  </si>
  <si>
    <t>power (energy/time)</t>
  </si>
  <si>
    <t>GJ/hr</t>
  </si>
  <si>
    <t>MW</t>
  </si>
  <si>
    <t>GJ.hrTOMW</t>
  </si>
  <si>
    <t>GW</t>
  </si>
  <si>
    <t>kW</t>
  </si>
  <si>
    <t>GWTOkW</t>
  </si>
  <si>
    <t>quad/yr</t>
  </si>
  <si>
    <t>GWTOquad.yr</t>
  </si>
  <si>
    <t>TWh/yr</t>
  </si>
  <si>
    <t>GWTOTWh.yr</t>
  </si>
  <si>
    <t>hp</t>
  </si>
  <si>
    <t>hpTOkW</t>
  </si>
  <si>
    <t>kWTOhp</t>
  </si>
  <si>
    <t>MJ/hr</t>
  </si>
  <si>
    <t>MJ.hrTOkW</t>
  </si>
  <si>
    <t>MWTOGJ.hr</t>
  </si>
  <si>
    <t>MWTOkW</t>
  </si>
  <si>
    <t>quad.yrTOGW</t>
  </si>
  <si>
    <t>TWh.yrTOGW</t>
  </si>
  <si>
    <t>flow (volume/time)</t>
  </si>
  <si>
    <t>gpm</t>
  </si>
  <si>
    <t>liter/s</t>
  </si>
  <si>
    <t>gpmTOliter.s</t>
  </si>
  <si>
    <t>L/s</t>
  </si>
  <si>
    <t>L.sTOgpm</t>
  </si>
  <si>
    <t>m3.dayTOgpm</t>
  </si>
  <si>
    <t>heat rate (energy/energy)</t>
  </si>
  <si>
    <t>Btu/hp-h</t>
  </si>
  <si>
    <t>mmBtu/MWh</t>
  </si>
  <si>
    <t>Btu.hphTOmmBtu.MWh</t>
  </si>
  <si>
    <t>kJ/kWh</t>
  </si>
  <si>
    <t>kJ.kWhTOmmBtu.MWh</t>
  </si>
  <si>
    <t>MJ/kWh</t>
  </si>
  <si>
    <t>MJ.kWhTOmmBtu.MWh</t>
  </si>
  <si>
    <t>mmBtu.MWhTOBtu.hph</t>
  </si>
  <si>
    <t>mmBtu.MWhTOkJ.kWh</t>
  </si>
  <si>
    <t>mmBtu.MWhTOMJ.kWh</t>
  </si>
  <si>
    <t>emission rate (mass/energy)</t>
  </si>
  <si>
    <t>g/hp-h</t>
  </si>
  <si>
    <t>lb/MWh</t>
  </si>
  <si>
    <t>g.hphTOlb.MWh</t>
  </si>
  <si>
    <t>g/kWh</t>
  </si>
  <si>
    <t>g.kWhTOlb.MWh</t>
  </si>
  <si>
    <t>kg/GJ</t>
  </si>
  <si>
    <t>kg.GJTOlb.MWh</t>
  </si>
  <si>
    <t>lb/mmBtu</t>
  </si>
  <si>
    <t>t/mmBtu</t>
  </si>
  <si>
    <t>lb.mmBtuTOt.mmBtu</t>
  </si>
  <si>
    <t>ng/J</t>
  </si>
  <si>
    <t>lb.mmBtuTOng.J</t>
  </si>
  <si>
    <t>Tg/quad</t>
  </si>
  <si>
    <t>lb.mmBtuTOTg.quad</t>
  </si>
  <si>
    <t>lb.MWhTOg.hph</t>
  </si>
  <si>
    <t>lb.MWhTOg.kWh</t>
  </si>
  <si>
    <t>lb.MWhTOkg.GJ</t>
  </si>
  <si>
    <t>ton/GWh</t>
  </si>
  <si>
    <t>lb.MWhTOton.GWh</t>
  </si>
  <si>
    <t>ng.JTOlb.mmBtu</t>
  </si>
  <si>
    <t>Tg.quadTOlb.mmBtu</t>
  </si>
  <si>
    <t>ton.GWhTOlb.MWh</t>
  </si>
  <si>
    <t>heating value (energy/mass)</t>
  </si>
  <si>
    <t>Btu/lb</t>
  </si>
  <si>
    <t>MJ/kg</t>
  </si>
  <si>
    <t>Btu.lbTOMJ.kg</t>
  </si>
  <si>
    <t>mmBtu/ton</t>
  </si>
  <si>
    <t>Btu.lbTOmmBtu.ton</t>
  </si>
  <si>
    <t>kWh/ton</t>
  </si>
  <si>
    <t>kWh.tonTOMJ.kg</t>
  </si>
  <si>
    <t>MJ.kgTOBtu.lb</t>
  </si>
  <si>
    <t>MJ.kgTOkWh.ton</t>
  </si>
  <si>
    <t>MJ.kgTOmmBtu.ton</t>
  </si>
  <si>
    <t>mmBtu.tonTOBtu.lb</t>
  </si>
  <si>
    <t>heating value (energy/volume)</t>
  </si>
  <si>
    <t>Btu/ft3</t>
  </si>
  <si>
    <t>MJ/m3</t>
  </si>
  <si>
    <t>Btu.ft3TOMJ.m3</t>
  </si>
  <si>
    <t>MJ.m3TOBtu.ft3</t>
  </si>
  <si>
    <t>fuel efficiency (distance/volume)</t>
  </si>
  <si>
    <t>km/l</t>
  </si>
  <si>
    <t>mi/gal</t>
  </si>
  <si>
    <t>km.lTOmi.gal</t>
  </si>
  <si>
    <t>yield (mass/(area x time))</t>
  </si>
  <si>
    <t>t/ha-yr</t>
  </si>
  <si>
    <t>ton/acre-yr</t>
  </si>
  <si>
    <t>t.hayrTOton.acreyr</t>
  </si>
  <si>
    <t>Notes:</t>
  </si>
  <si>
    <t>Joules are absolute joules (not archaic international joules).</t>
  </si>
  <si>
    <t>"cal" or "calorie" are gram-based calories.  kg-based Calories are referred to as "kcal."</t>
  </si>
  <si>
    <t>Gallons are U.S. liquid gallons (not dry gallons).</t>
  </si>
  <si>
    <t>Barrels are U.S. "blue barrel" oil barrels</t>
  </si>
  <si>
    <t>English system weights are in the avoirdupois system unless noted otherwise.</t>
  </si>
  <si>
    <t>"t" are metric tons; "ton" are English tons (2,000 lb)</t>
  </si>
  <si>
    <t>Central Power Plant</t>
  </si>
  <si>
    <t>HFS</t>
  </si>
  <si>
    <t>hospital laundry</t>
  </si>
  <si>
    <t>UW fleet vehicles</t>
  </si>
  <si>
    <t>diesel</t>
  </si>
  <si>
    <t>B20</t>
  </si>
  <si>
    <t>gasoline</t>
  </si>
  <si>
    <t>distillate fuel oil</t>
  </si>
  <si>
    <t>Annex 2, Table A-27</t>
  </si>
  <si>
    <t>Annex 2, Table A-28 (anno 2003)</t>
  </si>
  <si>
    <t>Annex 2, Table A-35</t>
  </si>
  <si>
    <t>cover</t>
  </si>
  <si>
    <t>contents</t>
  </si>
  <si>
    <t>constants</t>
  </si>
  <si>
    <t>units conversion factors</t>
  </si>
  <si>
    <t>hyperlink</t>
  </si>
  <si>
    <t>Instructions</t>
  </si>
  <si>
    <t>1. Copy this spreadsheet to a new file named &lt;YYYY inventory.xlsb&gt; where YYYY is the calendar year.</t>
  </si>
  <si>
    <t>constants in column E contain the same number of significant digits as the original source.</t>
  </si>
  <si>
    <t>calculated values in column E are displayed to 4 significant digits.</t>
  </si>
  <si>
    <t>m3/day</t>
  </si>
  <si>
    <t>call no.</t>
  </si>
  <si>
    <t>title or description</t>
  </si>
  <si>
    <t>received from (person or URL)</t>
  </si>
  <si>
    <t>date rec'd</t>
  </si>
  <si>
    <t>UW GHG Emissions Inventory as of July 2012</t>
  </si>
  <si>
    <t>Guarrin Sakagawa</t>
  </si>
  <si>
    <t>steam table</t>
  </si>
  <si>
    <t>http://www4.eere.energy.gov/manufacturing/tech_deployment/amo_steam_tool/propSaturated</t>
  </si>
  <si>
    <t>STARS ratings user interface</t>
  </si>
  <si>
    <t>Aubrey Batchelor</t>
  </si>
  <si>
    <t>2005 GHG inventory as modified at SEI (source files)</t>
  </si>
  <si>
    <t>Roel Hammerschlag</t>
  </si>
  <si>
    <t>John Chapman</t>
  </si>
  <si>
    <t>UW Climate Action Plan - Sustainability Policies (2011)</t>
  </si>
  <si>
    <t>University of Washington 2012 Financial Report</t>
  </si>
  <si>
    <t>A016</t>
  </si>
  <si>
    <t>World Business Council for Sustainable Development, and World Resources Institute. “Allocation of GHG Emissions from a Combined Heat and Power (CHP) Plant,” September 2006. http://www.ghgprotocol.org/files/ghgp/tools/CHP_guidance_v1.0.pdf.</t>
  </si>
  <si>
    <t>A017</t>
  </si>
  <si>
    <t>Energy Information Administration. 2003 Commercial Buildings Energy Consumption Survey. U.S. Department of Energy, n.d. http://www.eia.gov/consumption/commercial/data/2003/.</t>
  </si>
  <si>
    <t>sources</t>
  </si>
  <si>
    <t>11-002</t>
  </si>
  <si>
    <t>11-003</t>
  </si>
  <si>
    <t>11-004</t>
  </si>
  <si>
    <t>11-005</t>
  </si>
  <si>
    <t>11-006</t>
  </si>
  <si>
    <t>11-007</t>
  </si>
  <si>
    <t>11-008</t>
  </si>
  <si>
    <t>11-009</t>
  </si>
  <si>
    <t>11-010</t>
  </si>
  <si>
    <t>11-011</t>
  </si>
  <si>
    <t>11-012</t>
  </si>
  <si>
    <t>11-001</t>
  </si>
  <si>
    <t>this sheet</t>
  </si>
  <si>
    <t>3. Update contact data in cells below, if needed.</t>
  </si>
  <si>
    <t>4b. In all yellow-shaded source input cells, replace prior year source call number with new source call number YY-nnn.</t>
  </si>
  <si>
    <t>4c. Add rows to tab 'sources' indexing all new sources YY-nnn.</t>
  </si>
  <si>
    <t>4d. Save copies of all new sources YY-nnn in directory [directory].</t>
  </si>
  <si>
    <t>4a. In all yellow-shaded data input cells, replace prior year data with calendar year YYYY data.</t>
  </si>
  <si>
    <t>Seattle</t>
  </si>
  <si>
    <t>year</t>
  </si>
  <si>
    <t>scope</t>
  </si>
  <si>
    <t>campus</t>
  </si>
  <si>
    <t>stationary combustion</t>
  </si>
  <si>
    <t>non-central facilities</t>
  </si>
  <si>
    <t>all other non-central accounts</t>
  </si>
  <si>
    <t>Central Loop</t>
  </si>
  <si>
    <t>electricity</t>
  </si>
  <si>
    <r>
      <t>tCO</t>
    </r>
    <r>
      <rPr>
        <b/>
        <vertAlign val="subscript"/>
        <sz val="10"/>
        <color theme="4" tint="-0.24994659260841701"/>
        <rFont val="Calibri"/>
        <family val="2"/>
        <scheme val="minor"/>
      </rPr>
      <t>2</t>
    </r>
    <r>
      <rPr>
        <b/>
        <sz val="10"/>
        <color theme="4" tint="-0.24994659260841701"/>
        <rFont val="Calibri"/>
        <family val="2"/>
        <scheme val="minor"/>
      </rPr>
      <t>/MWh</t>
    </r>
  </si>
  <si>
    <t>Zero due to SCL offset policy</t>
  </si>
  <si>
    <t>all other non-central SCL accounts</t>
  </si>
  <si>
    <t>quantity</t>
  </si>
  <si>
    <t>fuel or GHG</t>
  </si>
  <si>
    <r>
      <t>tCO</t>
    </r>
    <r>
      <rPr>
        <b/>
        <vertAlign val="subscript"/>
        <sz val="9"/>
        <color theme="0"/>
        <rFont val="Arial Narrow"/>
        <family val="2"/>
      </rPr>
      <t>2</t>
    </r>
    <r>
      <rPr>
        <b/>
        <sz val="9"/>
        <color theme="0"/>
        <rFont val="Arial Narrow"/>
        <family val="2"/>
      </rPr>
      <t>e/unit</t>
    </r>
  </si>
  <si>
    <r>
      <t>tCO</t>
    </r>
    <r>
      <rPr>
        <b/>
        <vertAlign val="subscript"/>
        <sz val="9"/>
        <color theme="0"/>
        <rFont val="Arial Narrow"/>
        <family val="2"/>
      </rPr>
      <t>2</t>
    </r>
    <r>
      <rPr>
        <b/>
        <sz val="9"/>
        <color theme="0"/>
        <rFont val="Arial Narrow"/>
        <family val="2"/>
      </rPr>
      <t>e</t>
    </r>
  </si>
  <si>
    <t>total natural gas</t>
  </si>
  <si>
    <t>landfill</t>
  </si>
  <si>
    <t>inventory year</t>
  </si>
  <si>
    <t>landfill opening year</t>
  </si>
  <si>
    <t>landfill closing year</t>
  </si>
  <si>
    <t>years since opening</t>
  </si>
  <si>
    <t>years since closing</t>
  </si>
  <si>
    <r>
      <t>m</t>
    </r>
    <r>
      <rPr>
        <b/>
        <vertAlign val="superscript"/>
        <sz val="10"/>
        <color theme="4" tint="-0.24994659260841701"/>
        <rFont val="Calibri"/>
        <family val="2"/>
        <scheme val="minor"/>
      </rPr>
      <t>3</t>
    </r>
    <r>
      <rPr>
        <b/>
        <sz val="10"/>
        <color theme="4" tint="-0.24994659260841701"/>
        <rFont val="Calibri"/>
        <family val="2"/>
        <scheme val="minor"/>
      </rPr>
      <t>/Mg</t>
    </r>
  </si>
  <si>
    <r>
      <t>yr</t>
    </r>
    <r>
      <rPr>
        <b/>
        <vertAlign val="superscript"/>
        <sz val="10"/>
        <color theme="4" tint="-0.24994659260841701"/>
        <rFont val="Calibri"/>
        <family val="2"/>
        <scheme val="minor"/>
      </rPr>
      <t>-1</t>
    </r>
  </si>
  <si>
    <t>rate constant k</t>
  </si>
  <si>
    <r>
      <t>methane generation potential L</t>
    </r>
    <r>
      <rPr>
        <b/>
        <vertAlign val="subscript"/>
        <sz val="10"/>
        <color theme="4" tint="-0.24994659260841701"/>
        <rFont val="Calibri"/>
        <family val="2"/>
        <scheme val="minor"/>
      </rPr>
      <t>0</t>
    </r>
  </si>
  <si>
    <t>11-013</t>
  </si>
  <si>
    <t>05-011</t>
  </si>
  <si>
    <t>05-803</t>
  </si>
  <si>
    <t>Annex 3.14</t>
  </si>
  <si>
    <t>garbage volume</t>
  </si>
  <si>
    <t>05-919</t>
  </si>
  <si>
    <t>"Calculation C"</t>
  </si>
  <si>
    <t>nominal landfill density</t>
  </si>
  <si>
    <t>05-809</t>
  </si>
  <si>
    <t>landfill mass</t>
  </si>
  <si>
    <r>
      <t>yd</t>
    </r>
    <r>
      <rPr>
        <b/>
        <vertAlign val="superscript"/>
        <sz val="10"/>
        <color theme="4" tint="-0.24994659260841701"/>
        <rFont val="Calibri"/>
        <family val="2"/>
        <scheme val="minor"/>
      </rPr>
      <t>3</t>
    </r>
  </si>
  <si>
    <r>
      <t>m</t>
    </r>
    <r>
      <rPr>
        <b/>
        <vertAlign val="superscript"/>
        <sz val="10"/>
        <color theme="4" tint="-0.24994659260841701"/>
        <rFont val="Calibri"/>
        <family val="2"/>
        <scheme val="minor"/>
      </rPr>
      <t>3</t>
    </r>
  </si>
  <si>
    <r>
      <t>lb/yd</t>
    </r>
    <r>
      <rPr>
        <b/>
        <vertAlign val="superscript"/>
        <sz val="10"/>
        <color theme="4" tint="-0.24994659260841701"/>
        <rFont val="Calibri"/>
        <family val="2"/>
        <scheme val="minor"/>
      </rPr>
      <t>3</t>
    </r>
  </si>
  <si>
    <r>
      <t>kg/m</t>
    </r>
    <r>
      <rPr>
        <b/>
        <vertAlign val="superscript"/>
        <sz val="10"/>
        <color theme="4" tint="-0.24994659260841701"/>
        <rFont val="Calibri"/>
        <family val="2"/>
        <scheme val="minor"/>
      </rPr>
      <t>3</t>
    </r>
  </si>
  <si>
    <t>annual dump rate R</t>
  </si>
  <si>
    <t>lifetime</t>
  </si>
  <si>
    <t>t/yr</t>
  </si>
  <si>
    <r>
      <t>CH</t>
    </r>
    <r>
      <rPr>
        <b/>
        <vertAlign val="subscript"/>
        <sz val="10"/>
        <color theme="4" tint="-0.24994659260841701"/>
        <rFont val="Calibri"/>
        <family val="2"/>
        <scheme val="minor"/>
      </rPr>
      <t>4</t>
    </r>
    <r>
      <rPr>
        <b/>
        <sz val="10"/>
        <color theme="4" tint="-0.24994659260841701"/>
        <rFont val="Calibri"/>
        <family val="2"/>
        <scheme val="minor"/>
      </rPr>
      <t xml:space="preserve"> emissions</t>
    </r>
  </si>
  <si>
    <t>Air Liquide Gas Encyclopedia</t>
  </si>
  <si>
    <t>http://encyclopedia.airliquide.com/Encyclopedia.asp?GasID=41</t>
  </si>
  <si>
    <t>global warming potentials</t>
  </si>
  <si>
    <r>
      <t>GWP, CH</t>
    </r>
    <r>
      <rPr>
        <b/>
        <vertAlign val="subscript"/>
        <sz val="10"/>
        <color theme="4" tint="-0.24994659260841701"/>
        <rFont val="Calibri"/>
        <family val="2"/>
        <scheme val="minor"/>
      </rPr>
      <t>4</t>
    </r>
  </si>
  <si>
    <t>density at 15 degC</t>
  </si>
  <si>
    <t>electricity - Seattle City Light</t>
  </si>
  <si>
    <t>electricity - Puget Sound Energy</t>
  </si>
  <si>
    <t>electricity - generic</t>
  </si>
  <si>
    <t>from coal</t>
  </si>
  <si>
    <t>from petroleum</t>
  </si>
  <si>
    <t>from natural gas</t>
  </si>
  <si>
    <t>05-914</t>
  </si>
  <si>
    <t>tCO2/therm</t>
  </si>
  <si>
    <t>tCO2/gal</t>
  </si>
  <si>
    <t>tCO2/mmBtu</t>
  </si>
  <si>
    <t>tCO2/MWh</t>
  </si>
  <si>
    <t>fraction from coal</t>
  </si>
  <si>
    <t>fraction from petroleum</t>
  </si>
  <si>
    <t>11-014</t>
  </si>
  <si>
    <t>2011 Utility Fuel Mix Report</t>
  </si>
  <si>
    <t>http://www.commerce.wa.gov/Programs/Energy/Office/Utilities/Pages/FuelMix.aspx</t>
  </si>
  <si>
    <t>fraction from natural gas</t>
  </si>
  <si>
    <t>mobile combustion</t>
  </si>
  <si>
    <t>Bothell</t>
  </si>
  <si>
    <t>Tacoma</t>
  </si>
  <si>
    <t>totals</t>
  </si>
  <si>
    <t>scope and category</t>
  </si>
  <si>
    <t>Scope 1</t>
  </si>
  <si>
    <t>Scope 2</t>
  </si>
  <si>
    <t>Scope 3</t>
  </si>
  <si>
    <t>outlying</t>
  </si>
  <si>
    <t>UWB buildings</t>
  </si>
  <si>
    <t>CCC buildings</t>
  </si>
  <si>
    <t>physical constants</t>
  </si>
  <si>
    <t>UWB vehicles</t>
  </si>
  <si>
    <t>CCC vehicles</t>
  </si>
  <si>
    <t>methane</t>
  </si>
  <si>
    <t>fugitive emissions</t>
  </si>
  <si>
    <t>elec: SCL</t>
  </si>
  <si>
    <t>central loop</t>
  </si>
  <si>
    <t>source or account</t>
  </si>
  <si>
    <t>elec: PSE</t>
  </si>
  <si>
    <t>total elec: SCL</t>
  </si>
  <si>
    <t>electricity - Tacoma Power</t>
  </si>
  <si>
    <t>elec: Tacoma Power</t>
  </si>
  <si>
    <t>elec: Tacoma</t>
  </si>
  <si>
    <t>UWT vehicles</t>
  </si>
  <si>
    <t>UWT buildings</t>
  </si>
  <si>
    <t>off-campus medical</t>
  </si>
  <si>
    <t>Harborview</t>
  </si>
  <si>
    <t>Regional Primate Research Center</t>
  </si>
  <si>
    <t>RPRC</t>
  </si>
  <si>
    <t>steam: Seattle Steam</t>
  </si>
  <si>
    <t>klb</t>
  </si>
  <si>
    <t>from vehicles</t>
  </si>
  <si>
    <t>from equipment</t>
  </si>
  <si>
    <t>total gasoline</t>
  </si>
  <si>
    <t>2. Enter the value of YYYY in cell C2 above.</t>
  </si>
  <si>
    <t>The value 10 is hidden in the formulae in cells 'Harborview'!B124:M124.</t>
  </si>
  <si>
    <t>steam - Seattle Steam</t>
  </si>
  <si>
    <t>cell 'Harborview'!B115</t>
  </si>
  <si>
    <r>
      <t>tCO</t>
    </r>
    <r>
      <rPr>
        <b/>
        <vertAlign val="subscript"/>
        <sz val="10"/>
        <color theme="4" tint="-0.24994659260841701"/>
        <rFont val="Calibri"/>
        <family val="2"/>
        <scheme val="minor"/>
      </rPr>
      <t>2</t>
    </r>
    <r>
      <rPr>
        <b/>
        <sz val="10"/>
        <color theme="4" tint="-0.24994659260841701"/>
        <rFont val="Calibri"/>
        <family val="2"/>
        <scheme val="minor"/>
      </rPr>
      <t>/klb</t>
    </r>
  </si>
  <si>
    <t>Fairmont Olympic Hotel</t>
  </si>
  <si>
    <t>Metropolitan Tract</t>
  </si>
  <si>
    <t>non-central accounts</t>
  </si>
  <si>
    <t>Skinner Building</t>
  </si>
  <si>
    <t>IBM Building</t>
  </si>
  <si>
    <t>Puget Sound Plaza</t>
  </si>
  <si>
    <t>total steam: Seattle Steam</t>
  </si>
  <si>
    <t>steam</t>
  </si>
  <si>
    <t>ACUPCC category</t>
  </si>
  <si>
    <t>professional travel</t>
  </si>
  <si>
    <t>UW-wide reimbursements</t>
  </si>
  <si>
    <t>$</t>
  </si>
  <si>
    <t>UW-wide CTA charges</t>
  </si>
  <si>
    <t>UW-wide ICA charges</t>
  </si>
  <si>
    <t>UW-wide total charges</t>
  </si>
  <si>
    <t>air travel cost rate</t>
  </si>
  <si>
    <t>$/mi</t>
  </si>
  <si>
    <t>commercial aircraft energy intensity</t>
  </si>
  <si>
    <t>Btu/PM</t>
  </si>
  <si>
    <t>11-015</t>
  </si>
  <si>
    <t>11-016</t>
  </si>
  <si>
    <t>Annex 2, Table A-36 (anno 2011)</t>
  </si>
  <si>
    <t>Annex 2, Table A-45</t>
  </si>
  <si>
    <t>jet fuel</t>
  </si>
  <si>
    <t>jet fuel HHV</t>
  </si>
  <si>
    <t>Btu/gal</t>
  </si>
  <si>
    <t>gal/PM</t>
  </si>
  <si>
    <t>jet fuel consumption</t>
  </si>
  <si>
    <t>UW-wide miles traveled</t>
  </si>
  <si>
    <t>jet fuel emissions</t>
  </si>
  <si>
    <r>
      <t>tCO</t>
    </r>
    <r>
      <rPr>
        <b/>
        <vertAlign val="subscript"/>
        <sz val="10"/>
        <color theme="4" tint="-0.24994659260841701"/>
        <rFont val="Calibri"/>
        <family val="2"/>
        <scheme val="minor"/>
      </rPr>
      <t>2</t>
    </r>
  </si>
  <si>
    <t>11-017</t>
  </si>
  <si>
    <t>http://opb.washington.edu/sites/default/files/opb/Data/Factbook/HC.pdf</t>
  </si>
  <si>
    <t>jet fuel emissions, Seattle portion</t>
  </si>
  <si>
    <t>jet fuel emissions, Bothell portion</t>
  </si>
  <si>
    <t>jet fuel emissions, Tacoma portion</t>
  </si>
  <si>
    <t>air travel</t>
  </si>
  <si>
    <t>carbon dioxide</t>
  </si>
  <si>
    <r>
      <t>GWP, CO</t>
    </r>
    <r>
      <rPr>
        <b/>
        <vertAlign val="subscript"/>
        <sz val="10"/>
        <color theme="4" tint="-0.24994659260841701"/>
        <rFont val="Calibri"/>
        <family val="2"/>
        <scheme val="minor"/>
      </rPr>
      <t>2</t>
    </r>
  </si>
  <si>
    <t>commuting</t>
  </si>
  <si>
    <t>students</t>
  </si>
  <si>
    <t>NIST Handbook 44, Appendix D defines one gge as 5.660 lb of natural gas.</t>
  </si>
  <si>
    <t>Table B.4</t>
  </si>
  <si>
    <t>ggeTOBtu</t>
  </si>
  <si>
    <t>constants in column E are from 11-008 unless otherwise noted.</t>
  </si>
  <si>
    <t>ggeTOtherm</t>
  </si>
  <si>
    <t>BtuTOtherm</t>
  </si>
  <si>
    <t>11-018</t>
  </si>
  <si>
    <t>UW Factbook (Seattle employment)</t>
  </si>
  <si>
    <t>http://opb.washington.edu/sites/default/files/opb/Data/Factbook/Table-F2-Seattle.pdf</t>
  </si>
  <si>
    <t>11-019</t>
  </si>
  <si>
    <t>11-020</t>
  </si>
  <si>
    <t>UW Factbook (Tacoma employment)</t>
  </si>
  <si>
    <t>UW Factbook (Bothell employment)</t>
  </si>
  <si>
    <t>http://opb.washington.edu/sites/default/files/opb/Data/Factbook/Table-F2-Bothell.pdf</t>
  </si>
  <si>
    <t>http://opb.washington.edu/sites/default/files/opb/Data/Factbook/Table-F2-Tacoma.pdf</t>
  </si>
  <si>
    <t>physical and operational constants</t>
  </si>
  <si>
    <t>staff</t>
  </si>
  <si>
    <t>faculty</t>
  </si>
  <si>
    <t>process emissions</t>
  </si>
  <si>
    <t>total Scope 1 emissions</t>
  </si>
  <si>
    <t>total Scope 2 emissions</t>
  </si>
  <si>
    <t>total Scope 3 emissions</t>
  </si>
  <si>
    <t>heat</t>
  </si>
  <si>
    <t>cooling</t>
  </si>
  <si>
    <t>grand total:</t>
  </si>
  <si>
    <t>grand total emissions</t>
  </si>
  <si>
    <r>
      <t>tCO</t>
    </r>
    <r>
      <rPr>
        <b/>
        <vertAlign val="subscript"/>
        <sz val="16"/>
        <color theme="4" tint="-0.24994659260841701"/>
        <rFont val="Calibri"/>
        <family val="2"/>
        <scheme val="minor"/>
      </rPr>
      <t>2</t>
    </r>
    <r>
      <rPr>
        <b/>
        <sz val="16"/>
        <color theme="4" tint="-0.24994659260841701"/>
        <rFont val="Calibri"/>
        <family val="2"/>
        <scheme val="minor"/>
      </rPr>
      <t>e by scope, ACUPCC category and campus</t>
    </r>
  </si>
  <si>
    <t>checksum:</t>
  </si>
  <si>
    <r>
      <t xml:space="preserve">These records must be copied to the UW GHG Database, file &lt;filename.xlsb&gt;. Use </t>
    </r>
    <r>
      <rPr>
        <b/>
        <i/>
        <sz val="10"/>
        <color theme="4" tint="-0.24994659260841701"/>
        <rFont val="Calibri"/>
        <family val="2"/>
        <scheme val="minor"/>
      </rPr>
      <t>paste-as-values</t>
    </r>
    <r>
      <rPr>
        <b/>
        <sz val="10"/>
        <color theme="4" tint="-0.24994659260841701"/>
        <rFont val="Calibri"/>
        <family val="2"/>
        <scheme val="minor"/>
      </rPr>
      <t xml:space="preserve"> when copying to database!</t>
    </r>
  </si>
  <si>
    <t>Insert new rows of table databaseRecords anywhere above this row.</t>
  </si>
  <si>
    <t>S1 stationary</t>
  </si>
  <si>
    <t>S1 mobile</t>
  </si>
  <si>
    <t>S1 fugitive</t>
  </si>
  <si>
    <t>S2 electricity</t>
  </si>
  <si>
    <t>S2 steam</t>
  </si>
  <si>
    <t>S3 professional travel</t>
  </si>
  <si>
    <t>S3 off-campus medical</t>
  </si>
  <si>
    <t>inventory summary</t>
  </si>
  <si>
    <t>inventory database</t>
  </si>
  <si>
    <t>5. Copy rows from tab 'summary' to &lt;UW GHG inventory database.xlsx&gt;.</t>
  </si>
  <si>
    <t>David M. Ogrodnik
University of Washington
Campus Engineering and Operations
206-221-4208
dmo@uw.edu</t>
  </si>
  <si>
    <t>14-003</t>
  </si>
  <si>
    <t>14-001</t>
  </si>
  <si>
    <t>Commodore Duchess Apts</t>
  </si>
  <si>
    <t>Benjamin Hall</t>
  </si>
  <si>
    <t>Dempsey Indoor Center</t>
  </si>
  <si>
    <t>Conibear Shellhouse</t>
  </si>
  <si>
    <t>14-00?</t>
  </si>
  <si>
    <t>Husky Stadium</t>
  </si>
  <si>
    <t>Misc. Real Estate Properties</t>
  </si>
  <si>
    <t>14-015</t>
  </si>
  <si>
    <t>(this is a carry-over estimate from 2013, no data currently available)</t>
  </si>
  <si>
    <t>Table 4.1.  Transportation Energy Data Book Edition 33 (2012 data value), Table 4.1</t>
  </si>
  <si>
    <t>David Ogrodnik</t>
  </si>
  <si>
    <t xml:space="preserve">Rajan Cheriel, King County Metro, Rajan.Cheriel@kingcounty.gov, </t>
  </si>
  <si>
    <t>King County Metro e-mail message</t>
  </si>
  <si>
    <t>11-021</t>
  </si>
  <si>
    <t>Community Transity e-mail message</t>
  </si>
  <si>
    <t>Kit Na Davies, Data Analyst, Data.Program2@commtrans.org</t>
  </si>
  <si>
    <t>11-022</t>
  </si>
  <si>
    <t>Sound Transit e-mail message</t>
  </si>
  <si>
    <t>Tiffany Kauth, tiffany.kauth@soundtransit.org, 206-398-5278</t>
  </si>
  <si>
    <t>Office of Planning and Budgeting data</t>
  </si>
  <si>
    <t>11-023</t>
  </si>
  <si>
    <t>gifford2@uw.edu</t>
  </si>
  <si>
    <t>Casey Gifford, Transportation Services, w/ UPASS survey updates</t>
  </si>
  <si>
    <t>populations</t>
  </si>
  <si>
    <t>academic yr</t>
  </si>
  <si>
    <t>summer</t>
  </si>
  <si>
    <t>commuting weeks</t>
  </si>
  <si>
    <t>person-weeks</t>
  </si>
  <si>
    <t>A207</t>
  </si>
  <si>
    <t>UW-206</t>
  </si>
  <si>
    <t>drive</t>
  </si>
  <si>
    <t>car/vanpool</t>
  </si>
  <si>
    <t>motorcycle</t>
  </si>
  <si>
    <t>bike</t>
  </si>
  <si>
    <t>walk</t>
  </si>
  <si>
    <t>days/wk</t>
  </si>
  <si>
    <t>mode shares</t>
  </si>
  <si>
    <t>commute intensity, day/wk</t>
  </si>
  <si>
    <t>travel distances, mi</t>
  </si>
  <si>
    <t>chacteristic weekly travel</t>
  </si>
  <si>
    <t>characteristic one-way commute length</t>
  </si>
  <si>
    <t>gross annual travel</t>
  </si>
  <si>
    <t>fuel consumption, gal</t>
  </si>
  <si>
    <t>headcount</t>
  </si>
  <si>
    <r>
      <t>MgCO</t>
    </r>
    <r>
      <rPr>
        <b/>
        <vertAlign val="subscript"/>
        <sz val="10"/>
        <color theme="4" tint="-0.24994659260841701"/>
        <rFont val="Calibri"/>
        <family val="2"/>
        <scheme val="minor"/>
      </rPr>
      <t>2</t>
    </r>
    <r>
      <rPr>
        <b/>
        <sz val="10"/>
        <color theme="4" tint="-0.24994659260841701"/>
        <rFont val="Calibri"/>
        <family val="2"/>
        <scheme val="minor"/>
      </rPr>
      <t>e</t>
    </r>
  </si>
  <si>
    <t>most recent CTR estimate</t>
  </si>
  <si>
    <t>year of most recent estimate</t>
  </si>
  <si>
    <t>Use second year of CTR biennium as labeled by WSDOT</t>
  </si>
  <si>
    <t>current year</t>
  </si>
  <si>
    <t>employee commuting estimate (interim)</t>
  </si>
  <si>
    <t>student commuting estimate (interim)</t>
  </si>
  <si>
    <t>Tacoma/Seattle student ratio</t>
  </si>
  <si>
    <t>fuel consumption, gasoline</t>
  </si>
  <si>
    <t>fuel consumption, diesel</t>
  </si>
  <si>
    <t>Tacoma employment growth between estimate &amp; current yr</t>
  </si>
  <si>
    <t>growth-adjusted CTR estimate</t>
  </si>
  <si>
    <t>lookup tables</t>
  </si>
  <si>
    <t>col. 1</t>
  </si>
  <si>
    <t>col. 2</t>
  </si>
  <si>
    <t>col. 3</t>
  </si>
  <si>
    <t>unit of measure</t>
  </si>
  <si>
    <t>Mg</t>
  </si>
  <si>
    <t>lu_EmissionFactors</t>
  </si>
  <si>
    <r>
      <t>CO</t>
    </r>
    <r>
      <rPr>
        <b/>
        <vertAlign val="subscript"/>
        <sz val="10"/>
        <color theme="4" tint="-0.24994659260841701"/>
        <rFont val="Calibri"/>
        <family val="2"/>
        <scheme val="minor"/>
      </rPr>
      <t>2</t>
    </r>
    <r>
      <rPr>
        <b/>
        <sz val="10"/>
        <color theme="4" tint="-0.24994659260841701"/>
        <rFont val="Calibri"/>
        <family val="2"/>
        <scheme val="minor"/>
      </rPr>
      <t>e</t>
    </r>
  </si>
  <si>
    <t>population</t>
  </si>
  <si>
    <t>datum</t>
  </si>
  <si>
    <t>fuel</t>
  </si>
  <si>
    <t>Bothell/Seattle student ratio</t>
  </si>
  <si>
    <t>Bothell employment growth between estimate &amp; current yr</t>
  </si>
  <si>
    <t>staff as fraction of employees</t>
  </si>
  <si>
    <t>staff share of CTR estimate</t>
  </si>
  <si>
    <t>faculty share of CTR estimate</t>
  </si>
  <si>
    <t>S3 commuting Seattle</t>
  </si>
  <si>
    <t>S3 commuting Bothell</t>
  </si>
  <si>
    <t>S3 commuting Tacoma</t>
  </si>
  <si>
    <t>lookup</t>
  </si>
  <si>
    <t>tab</t>
  </si>
  <si>
    <t>sheet title</t>
  </si>
  <si>
    <t>UW-207</t>
  </si>
  <si>
    <t>UW-507</t>
  </si>
  <si>
    <t>UW-208</t>
  </si>
  <si>
    <t>Howard, Zachary. Letter to Roel Hammerschlag. “RE: UW Transportation Survey Data,” November 24, 2015.</t>
  </si>
  <si>
    <t>Northwest Research Group. “University of Washington 2014 Transportation Survey Final Report.” University of Washington Facilities, March 2015. https://www.washington.edu/facilities/transportation/files/reports/transportation_survey_report_2014.pdf.</t>
  </si>
  <si>
    <t>University of Washington Office of Planning &amp; Budgeting. “University of Washington Headcount Enrollment.” University of Washington. Accessed August 28, 2014. http://opb.washington.edu/content/factbook.</t>
  </si>
  <si>
    <t>U.S. Department of Energy. “Average Per-Passenger Fuel Economy of Various Travel Modes.” Alternative Fuels Data Center. Accessed November 30, 2015. http://www.afdc.energy.gov/data/.</t>
  </si>
  <si>
    <t>Washington State Department of Transportation. “CTR Employer Survey Report.” WSDOT, June 5, 2014.</t>
  </si>
  <si>
    <t>UW-210</t>
  </si>
  <si>
    <t>bus</t>
  </si>
  <si>
    <t>rail</t>
  </si>
  <si>
    <t>elec:SCL</t>
  </si>
  <si>
    <t>all UW</t>
  </si>
  <si>
    <t>fall quarter</t>
  </si>
  <si>
    <t>winter quarter</t>
  </si>
  <si>
    <t>spring quarter</t>
  </si>
  <si>
    <t>academic year AVERAGE</t>
  </si>
  <si>
    <t>summer quarter</t>
  </si>
  <si>
    <t>campus apportionment factors</t>
  </si>
  <si>
    <t>TOTAL employees</t>
  </si>
  <si>
    <t>headcounts</t>
  </si>
  <si>
    <t>fuel intensities</t>
  </si>
  <si>
    <t>gal/pm</t>
  </si>
  <si>
    <t>kWh/pm</t>
  </si>
  <si>
    <t>cars &amp; carpools</t>
  </si>
  <si>
    <t>typical mpg</t>
  </si>
  <si>
    <t>commuting fuel intensities</t>
  </si>
  <si>
    <t>SOV fuel intensity</t>
  </si>
  <si>
    <t>carpool fuel intensity</t>
  </si>
  <si>
    <t>motorcycles</t>
  </si>
  <si>
    <t>Btu/pm</t>
  </si>
  <si>
    <t>energy intensity</t>
  </si>
  <si>
    <t>fuel intensity</t>
  </si>
  <si>
    <t>transit buses</t>
  </si>
  <si>
    <t>diesel fuel intensity</t>
  </si>
  <si>
    <t>electric intensity</t>
  </si>
  <si>
    <t>pm/gal</t>
  </si>
  <si>
    <t>diesel fuel economy</t>
  </si>
  <si>
    <t>fuel/population</t>
  </si>
  <si>
    <t>U.S. EPA, Inventory of U.S. Greenhouse Gas Emissions and Sinks: 1990-2003.</t>
  </si>
  <si>
    <t>Glover, Thomas, Pocket Ref, Littleton, CO: Sequoia Publishing Inc. 2003</t>
  </si>
  <si>
    <t>U.S. EPA, Inventory of U.S. Greenhouse Gas Emissions and Sinks: 1990-2011.</t>
  </si>
  <si>
    <t>Transit buses are modeled per Metro Transit data, to reflect the typical urban use by UW students.</t>
  </si>
  <si>
    <t>motorbus passenger miles</t>
  </si>
  <si>
    <t>motorbus diesel consumption</t>
  </si>
  <si>
    <t>kgal</t>
  </si>
  <si>
    <t>UW-514</t>
  </si>
  <si>
    <t>Table 17</t>
  </si>
  <si>
    <t>Table 19</t>
  </si>
  <si>
    <t>kpm</t>
  </si>
  <si>
    <t>trolley bus passenger miles</t>
  </si>
  <si>
    <t>trolley bus electricity consumption</t>
  </si>
  <si>
    <t>electric fuel economy</t>
  </si>
  <si>
    <t>pm/kWh</t>
  </si>
  <si>
    <r>
      <t xml:space="preserve">Federal Transit Administration, “The National Transit Database Data Tables,” </t>
    </r>
    <r>
      <rPr>
        <b/>
        <i/>
        <sz val="10"/>
        <color theme="4" tint="-0.24994659260841701"/>
        <rFont val="Calibri"/>
        <family val="2"/>
        <scheme val="minor"/>
      </rPr>
      <t>NTD Data</t>
    </r>
    <r>
      <rPr>
        <b/>
        <sz val="10"/>
        <color theme="4" tint="-0.24994659260841701"/>
        <rFont val="Calibri"/>
        <family val="2"/>
        <scheme val="minor"/>
      </rPr>
      <t>, 2014, http://www.ntdprogram.gov/ntdprogram/pubs/dt/2014/excel/DataTables.htm.</t>
    </r>
  </si>
  <si>
    <t>light rail passenger miles</t>
  </si>
  <si>
    <t>light rail electricity consumption</t>
  </si>
  <si>
    <t xml:space="preserve">(Alt. Faculty/Staff Data Source: HEPPS/HR Database)  </t>
  </si>
  <si>
    <t>average car/vanpool size</t>
  </si>
  <si>
    <t>E85</t>
  </si>
  <si>
    <t>(Added 6/15/16)</t>
  </si>
  <si>
    <t>(0.00171 maually inserted here from Lookup tab)</t>
  </si>
  <si>
    <t>(83%  biofuel content value from WA State Agency GHG Calculator, 2015 reporting spreadsheet)</t>
  </si>
  <si>
    <t>includes housing Housing and Food Service</t>
  </si>
  <si>
    <t>MW-hr purchased, only</t>
  </si>
  <si>
    <t>completed 4/17/17</t>
  </si>
  <si>
    <t>annual total divide by 12, completed 4/17/17</t>
  </si>
  <si>
    <t>completed 4/17/17 (does not include generators)</t>
  </si>
  <si>
    <t>completed 4/18/17</t>
  </si>
  <si>
    <t>2016 total averaged, complete 4/18/17</t>
  </si>
  <si>
    <t>Est'd. in proportion to 2015, 2016 total averaged, complete 4/18/17</t>
  </si>
  <si>
    <t>2015 value carried over, complete 4/18/17</t>
  </si>
  <si>
    <t>complete 4/20/17</t>
  </si>
  <si>
    <t>completed 4/20/17</t>
  </si>
  <si>
    <t>complete 4/24/17</t>
  </si>
  <si>
    <t>Value per Transportation Energy Book, 35th edition, Table 2.16</t>
  </si>
  <si>
    <t>previous years estimate, complete 4/24/17</t>
  </si>
  <si>
    <t>2014 data (2015 and 2016 data unavailable as of 4/24/17)</t>
  </si>
  <si>
    <t>2015 data, completed 04/24/17</t>
  </si>
  <si>
    <t>2015 data, completed 4/24/17</t>
  </si>
  <si>
    <t>Revised per WA State Electrical Utility Fuel Mix Disclosure Reports for Calendar year 2014, dated December 2015</t>
  </si>
  <si>
    <t>Transportation Energy Data Book Edition 35, p.4-1</t>
  </si>
  <si>
    <t>Transportation Energy Data Book Edition 35, p.2-19</t>
  </si>
  <si>
    <t>Source UW-2016 survey, Table 1 (7-day week)</t>
  </si>
  <si>
    <t>Source UW-2016 survey, analysis by Zack Howard</t>
  </si>
  <si>
    <t>Seattle Student Data = 2015 academic qtrs., (Source:  Zak Howard); Bothell/Tacoma Student Data = Fall '15 academic quarter estimate (only Seattle updated on 4/24/17)</t>
  </si>
  <si>
    <t>(Alt. Student Data Source:  Academic Data Management; total enrollment minus tuition exempt students) (only Seattle updated on 4/24/17)</t>
  </si>
  <si>
    <t>Bothell student values includes 4,764 Cascadia College students (only Seattle updated on 4/24/17)</t>
  </si>
  <si>
    <t>Bothell/Tacoma summer values calculated in proportion to Seattle Campus (only Seattle updated on 4/24/17)</t>
  </si>
  <si>
    <t>Seattle Faculty Data = Ave. of four (4), 2015 academic qtrs., (data source:  Zak Howard); Bothell/Tacoma Faculty Data = Fall '15 academic quarter estimate (only Seattle updated on 4/24/17 ) UWT and UWB 2016-17 fast facts</t>
  </si>
  <si>
    <t xml:space="preserve">Seattle Staff Data = Ave. of four (4), 2015 academic qtrs., (data source:  Zak Howard); Bothell/Tacoma Staff Data = Fall '15 academic quarter estimate (only Seattle updated on 4/24/17), no 2016 UWT staff data available </t>
  </si>
  <si>
    <t>completed 4/27/17</t>
  </si>
  <si>
    <t>completed 04/27/17</t>
  </si>
  <si>
    <t>Source UW-2016 Survey Data, weighted average of carpool and vanpool "All" mean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</si>
</sst>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0.00000"/>
    <numFmt numFmtId="168" formatCode="0.0000"/>
    <numFmt numFmtId="169" formatCode="0.000"/>
    <numFmt numFmtId="170" formatCode="0.00000"/>
    <numFmt numFmtId="171" formatCode="0.0000000"/>
    <numFmt numFmtId="172" formatCode="0.000000"/>
    <numFmt numFmtId="173" formatCode="0.0000E+00"/>
    <numFmt numFmtId="174" formatCode="0.000E+00"/>
    <numFmt numFmtId="175" formatCode="0.0"/>
    <numFmt numFmtId="176" formatCode="#,##0.000000"/>
    <numFmt numFmtId="177" formatCode="#,##0.0000000"/>
    <numFmt numFmtId="178" formatCode="0.0%"/>
    <numFmt numFmtId="179" formatCode="mm/dd/yy;@"/>
  </numFmts>
  <fonts count="31" x14ac:knownFonts="1">
    <font>
      <b/>
      <sz val="10"/>
      <color theme="4" tint="-0.24994659260841701"/>
      <name val="Calibri"/>
      <family val="2"/>
      <scheme val="minor"/>
    </font>
    <font>
      <sz val="9"/>
      <color theme="1"/>
      <name val="Calibri"/>
      <family val="2"/>
      <scheme val="minor"/>
    </font>
    <font>
      <b/>
      <sz val="24"/>
      <color theme="4" tint="-0.24994659260841701"/>
      <name val="Calibri"/>
      <family val="2"/>
      <scheme val="minor"/>
    </font>
    <font>
      <b/>
      <sz val="9"/>
      <color theme="4" tint="-0.24994659260841701"/>
      <name val="Calibri"/>
      <family val="2"/>
      <scheme val="minor"/>
    </font>
    <font>
      <b/>
      <sz val="16"/>
      <color theme="4" tint="-0.24994659260841701"/>
      <name val="Calibri"/>
      <family val="2"/>
      <scheme val="minor"/>
    </font>
    <font>
      <b/>
      <sz val="10"/>
      <color theme="4" tint="-0.24994659260841701"/>
      <name val="Calibri"/>
      <family val="2"/>
      <scheme val="minor"/>
    </font>
    <font>
      <b/>
      <sz val="10"/>
      <name val="Calibri"/>
      <family val="2"/>
      <scheme val="minor"/>
    </font>
    <font>
      <b/>
      <sz val="9"/>
      <color theme="0"/>
      <name val="Arial Narrow"/>
      <family val="2"/>
    </font>
    <font>
      <b/>
      <sz val="10"/>
      <color theme="9" tint="-0.24994659260841701"/>
      <name val="Calibri"/>
      <family val="2"/>
      <scheme val="minor"/>
    </font>
    <font>
      <b/>
      <u/>
      <sz val="10"/>
      <color rgb="FF7030A0"/>
      <name val="Calibri"/>
      <family val="2"/>
      <scheme val="minor"/>
    </font>
    <font>
      <b/>
      <vertAlign val="subscript"/>
      <sz val="10"/>
      <color theme="4" tint="-0.24994659260841701"/>
      <name val="Calibri"/>
      <family val="2"/>
      <scheme val="minor"/>
    </font>
    <font>
      <b/>
      <sz val="9"/>
      <color theme="1"/>
      <name val="Calibri"/>
      <family val="2"/>
      <scheme val="minor"/>
    </font>
    <font>
      <sz val="9"/>
      <name val="Calibri"/>
      <family val="2"/>
      <scheme val="minor"/>
    </font>
    <font>
      <sz val="18"/>
      <color theme="3"/>
      <name val="Calibri Light"/>
      <family val="2"/>
      <scheme val="major"/>
    </font>
    <font>
      <b/>
      <sz val="11"/>
      <color theme="3"/>
      <name val="Calibri"/>
      <family val="2"/>
      <scheme val="minor"/>
    </font>
    <font>
      <sz val="9"/>
      <color rgb="FF006100"/>
      <name val="Calibri"/>
      <family val="2"/>
      <scheme val="minor"/>
    </font>
    <font>
      <sz val="9"/>
      <color rgb="FF9C0006"/>
      <name val="Calibri"/>
      <family val="2"/>
      <scheme val="minor"/>
    </font>
    <font>
      <sz val="9"/>
      <color rgb="FF9C6500"/>
      <name val="Calibri"/>
      <family val="2"/>
      <scheme val="minor"/>
    </font>
    <font>
      <b/>
      <sz val="9"/>
      <color rgb="FF3F3F3F"/>
      <name val="Calibri"/>
      <family val="2"/>
      <scheme val="minor"/>
    </font>
    <font>
      <sz val="9"/>
      <color rgb="FFFA7D00"/>
      <name val="Calibri"/>
      <family val="2"/>
      <scheme val="minor"/>
    </font>
    <font>
      <sz val="9"/>
      <color rgb="FFFF0000"/>
      <name val="Calibri"/>
      <family val="2"/>
      <scheme val="minor"/>
    </font>
    <font>
      <i/>
      <sz val="9"/>
      <color rgb="FF7F7F7F"/>
      <name val="Calibri"/>
      <family val="2"/>
      <scheme val="minor"/>
    </font>
    <font>
      <b/>
      <sz val="10"/>
      <color theme="0"/>
      <name val="Calibri"/>
      <family val="2"/>
    </font>
    <font>
      <b/>
      <sz val="24"/>
      <color theme="9" tint="-0.24994659260841701"/>
      <name val="Calibri"/>
      <family val="2"/>
      <scheme val="minor"/>
    </font>
    <font>
      <b/>
      <i/>
      <sz val="10"/>
      <color theme="4" tint="-0.24994659260841701"/>
      <name val="Calibri"/>
      <family val="2"/>
      <scheme val="minor"/>
    </font>
    <font>
      <b/>
      <vertAlign val="subscript"/>
      <sz val="9"/>
      <color theme="0"/>
      <name val="Arial Narrow"/>
      <family val="2"/>
    </font>
    <font>
      <b/>
      <vertAlign val="superscript"/>
      <sz val="10"/>
      <color theme="4" tint="-0.24994659260841701"/>
      <name val="Calibri"/>
      <family val="2"/>
      <scheme val="minor"/>
    </font>
    <font>
      <b/>
      <vertAlign val="subscript"/>
      <sz val="16"/>
      <color theme="4" tint="-0.24994659260841701"/>
      <name val="Calibri"/>
      <family val="2"/>
      <scheme val="minor"/>
    </font>
    <font>
      <b/>
      <sz val="8"/>
      <color indexed="81"/>
      <name val="Arial"/>
      <family val="2"/>
    </font>
    <font>
      <b/>
      <sz val="10"/>
      <color theme="0"/>
      <name val="Calibri"/>
      <family val="2"/>
      <scheme val="minor"/>
    </font>
    <font>
      <b/>
      <sz val="10"/>
      <color theme="4" tint="-0.249977111117893"/>
      <name val="Calibri"/>
      <family val="2"/>
      <scheme val="minor"/>
    </font>
  </fonts>
  <fills count="14">
    <fill>
      <patternFill patternType="none"/>
    </fill>
    <fill>
      <patternFill patternType="gray125"/>
    </fill>
    <fill>
      <patternFill patternType="solid">
        <fgColor theme="7" tint="0.79998168889431442"/>
        <bgColor indexed="64"/>
      </patternFill>
    </fill>
    <fill>
      <patternFill patternType="solid">
        <fgColor theme="4"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FFFFCC"/>
      </patternFill>
    </fill>
    <fill>
      <patternFill patternType="solid">
        <fgColor theme="4" tint="0.79998168889431442"/>
        <bgColor indexed="65"/>
      </patternFill>
    </fill>
    <fill>
      <patternFill patternType="solid">
        <fgColor theme="4" tint="-0.24994659260841701"/>
        <bgColor indexed="64"/>
      </patternFill>
    </fill>
    <fill>
      <patternFill patternType="solid">
        <fgColor rgb="FFFFFF00"/>
        <bgColor indexed="64"/>
      </patternFill>
    </fill>
    <fill>
      <patternFill patternType="solid">
        <fgColor theme="0"/>
        <bgColor indexed="64"/>
      </patternFill>
    </fill>
    <fill>
      <patternFill patternType="solid">
        <fgColor rgb="FFA5A5A5"/>
      </patternFill>
    </fill>
  </fills>
  <borders count="19">
    <border>
      <left/>
      <right/>
      <top/>
      <bottom/>
      <diagonal/>
    </border>
    <border>
      <left/>
      <right/>
      <top/>
      <bottom style="thick">
        <color theme="4" tint="-0.24994659260841701"/>
      </bottom>
      <diagonal/>
    </border>
    <border>
      <left style="thin">
        <color auto="1"/>
      </left>
      <right style="thin">
        <color auto="1"/>
      </right>
      <top style="thin">
        <color auto="1"/>
      </top>
      <bottom style="thin">
        <color auto="1"/>
      </bottom>
      <diagonal/>
    </border>
    <border>
      <left/>
      <right/>
      <top style="thin">
        <color auto="1"/>
      </top>
      <bottom/>
      <diagonal/>
    </border>
    <border>
      <left style="thin">
        <color theme="0"/>
      </left>
      <right/>
      <top style="thin">
        <color theme="0"/>
      </top>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theme="0"/>
      </left>
      <right style="medium">
        <color theme="0"/>
      </right>
      <top style="thin">
        <color theme="0"/>
      </top>
      <bottom style="thin">
        <color theme="0"/>
      </bottom>
      <diagonal/>
    </border>
    <border>
      <left/>
      <right/>
      <top style="double">
        <color auto="1"/>
      </top>
      <bottom/>
      <diagonal/>
    </border>
    <border>
      <left style="medium">
        <color theme="0"/>
      </left>
      <right style="medium">
        <color theme="0"/>
      </right>
      <top style="thin">
        <color theme="0"/>
      </top>
      <bottom/>
      <diagonal/>
    </border>
    <border>
      <left style="medium">
        <color theme="0"/>
      </left>
      <right style="medium">
        <color theme="0"/>
      </right>
      <top/>
      <bottom style="thin">
        <color theme="0"/>
      </bottom>
      <diagonal/>
    </border>
    <border>
      <left/>
      <right/>
      <top style="thin">
        <color auto="1"/>
      </top>
      <bottom style="thin">
        <color auto="1"/>
      </bottom>
      <diagonal/>
    </border>
    <border>
      <left style="medium">
        <color theme="0"/>
      </left>
      <right/>
      <top style="thin">
        <color theme="0"/>
      </top>
      <bottom style="thin">
        <color theme="0"/>
      </bottom>
      <diagonal/>
    </border>
    <border>
      <left/>
      <right/>
      <top style="thin">
        <color theme="0"/>
      </top>
      <bottom style="thin">
        <color theme="0"/>
      </bottom>
      <diagonal/>
    </border>
    <border>
      <left/>
      <right style="medium">
        <color theme="0"/>
      </right>
      <top style="thin">
        <color theme="0"/>
      </top>
      <bottom style="thin">
        <color theme="0"/>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s>
  <cellStyleXfs count="28">
    <xf numFmtId="0" fontId="0" fillId="12" borderId="0">
      <alignment vertical="top"/>
    </xf>
    <xf numFmtId="0" fontId="2" fillId="0" borderId="0" applyNumberFormat="0" applyFill="0" applyAlignment="0" applyProtection="0"/>
    <xf numFmtId="0" fontId="4" fillId="0" borderId="1" applyNumberFormat="0" applyFill="0" applyProtection="0"/>
    <xf numFmtId="0" fontId="5" fillId="2" borderId="2" applyNumberFormat="0" applyAlignment="0">
      <protection locked="0"/>
    </xf>
    <xf numFmtId="0" fontId="22" fillId="10" borderId="0" applyNumberFormat="0" applyProtection="0"/>
    <xf numFmtId="0" fontId="6" fillId="0" borderId="0" applyNumberFormat="0" applyBorder="0" applyAlignment="0"/>
    <xf numFmtId="0" fontId="5" fillId="0" borderId="0" applyNumberFormat="0" applyFill="0" applyBorder="0" applyAlignment="0">
      <alignment vertical="top"/>
    </xf>
    <xf numFmtId="0" fontId="8" fillId="0" borderId="0" applyNumberFormat="0" applyFill="0" applyBorder="0" applyAlignment="0">
      <alignment vertical="top"/>
    </xf>
    <xf numFmtId="0" fontId="9" fillId="0" borderId="0" applyNumberFormat="0" applyFill="0" applyBorder="0" applyAlignment="0">
      <alignment vertical="top"/>
    </xf>
    <xf numFmtId="0" fontId="7" fillId="3" borderId="9" applyNumberFormat="0">
      <alignment horizontal="center"/>
    </xf>
    <xf numFmtId="43" fontId="3" fillId="0" borderId="0" applyFont="0" applyFill="0" applyBorder="0" applyAlignment="0" applyProtection="0"/>
    <xf numFmtId="41"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9" fontId="3"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0" applyNumberFormat="0" applyBorder="0" applyAlignment="0" applyProtection="0"/>
    <xf numFmtId="0" fontId="18" fillId="7" borderId="5" applyNumberFormat="0" applyAlignment="0" applyProtection="0"/>
    <xf numFmtId="0" fontId="19" fillId="0" borderId="6" applyNumberFormat="0" applyFill="0" applyAlignment="0" applyProtection="0"/>
    <xf numFmtId="0" fontId="20" fillId="0" borderId="0" applyNumberFormat="0" applyFill="0" applyBorder="0" applyAlignment="0" applyProtection="0"/>
    <xf numFmtId="0" fontId="3" fillId="8" borderId="7" applyNumberFormat="0" applyFont="0" applyAlignment="0" applyProtection="0"/>
    <xf numFmtId="0" fontId="21" fillId="0" borderId="0" applyNumberFormat="0" applyFill="0" applyBorder="0" applyAlignment="0" applyProtection="0"/>
    <xf numFmtId="0" fontId="11" fillId="0" borderId="8" applyNumberFormat="0" applyFill="0" applyAlignment="0" applyProtection="0"/>
    <xf numFmtId="0" fontId="1" fillId="9" borderId="0" applyNumberFormat="0" applyBorder="0" applyAlignment="0" applyProtection="0"/>
    <xf numFmtId="0" fontId="29" fillId="13" borderId="18" applyNumberFormat="0" applyAlignment="0"/>
  </cellStyleXfs>
  <cellXfs count="185">
    <xf numFmtId="0" fontId="0" fillId="12" borderId="0" xfId="0">
      <alignment vertical="top"/>
    </xf>
    <xf numFmtId="0" fontId="7" fillId="3" borderId="9" xfId="9" applyAlignment="1">
      <alignment horizontal="centerContinuous"/>
    </xf>
    <xf numFmtId="0" fontId="2" fillId="0" borderId="0" xfId="1" applyAlignment="1">
      <alignment vertical="top"/>
    </xf>
    <xf numFmtId="0" fontId="4" fillId="0" borderId="1" xfId="2" applyAlignment="1">
      <alignment vertical="top"/>
    </xf>
    <xf numFmtId="0" fontId="4" fillId="0" borderId="1" xfId="2"/>
    <xf numFmtId="0" fontId="2" fillId="12" borderId="0" xfId="0" applyFont="1">
      <alignment vertical="top"/>
    </xf>
    <xf numFmtId="0" fontId="2" fillId="2" borderId="2" xfId="3" applyFont="1" applyAlignment="1">
      <alignment vertical="top"/>
      <protection locked="0"/>
    </xf>
    <xf numFmtId="0" fontId="7" fillId="3" borderId="9" xfId="9">
      <alignment horizontal="center"/>
    </xf>
    <xf numFmtId="0" fontId="22" fillId="10" borderId="0" xfId="4" applyAlignment="1">
      <alignment vertical="top"/>
    </xf>
    <xf numFmtId="0" fontId="5" fillId="2" borderId="2" xfId="3" applyFont="1" applyAlignment="1">
      <alignment vertical="top"/>
      <protection locked="0"/>
    </xf>
    <xf numFmtId="0" fontId="5" fillId="12" borderId="0" xfId="0" applyFont="1">
      <alignment vertical="top"/>
    </xf>
    <xf numFmtId="3" fontId="5" fillId="2" borderId="2" xfId="3" applyNumberFormat="1" applyAlignment="1">
      <alignment vertical="top"/>
      <protection locked="0"/>
    </xf>
    <xf numFmtId="0" fontId="5" fillId="2" borderId="2" xfId="3" applyAlignment="1">
      <alignment horizontal="center" vertical="top"/>
      <protection locked="0"/>
    </xf>
    <xf numFmtId="0" fontId="0" fillId="12" borderId="0" xfId="0" applyFont="1" applyAlignment="1">
      <alignment horizontal="left" vertical="top" indent="1"/>
    </xf>
    <xf numFmtId="0" fontId="0" fillId="12" borderId="0" xfId="0" applyAlignment="1">
      <alignment horizontal="left" vertical="top" indent="1"/>
    </xf>
    <xf numFmtId="0" fontId="0" fillId="12" borderId="0" xfId="0" applyFont="1">
      <alignment vertical="top"/>
    </xf>
    <xf numFmtId="0" fontId="0" fillId="12" borderId="0" xfId="0" applyFont="1" applyAlignment="1">
      <alignment horizontal="left" vertical="top" indent="1"/>
    </xf>
    <xf numFmtId="0" fontId="0" fillId="12" borderId="0" xfId="0" applyAlignment="1">
      <alignment horizontal="left" vertical="top" indent="2"/>
    </xf>
    <xf numFmtId="0" fontId="0" fillId="12" borderId="0" xfId="0" applyFont="1" applyAlignment="1">
      <alignment horizontal="left" vertical="top" indent="2"/>
    </xf>
    <xf numFmtId="0" fontId="22" fillId="10" borderId="0" xfId="4"/>
    <xf numFmtId="0" fontId="0" fillId="12" borderId="0" xfId="0">
      <alignment vertical="top"/>
    </xf>
    <xf numFmtId="0" fontId="12" fillId="12" borderId="0" xfId="0" applyFont="1">
      <alignment vertical="top"/>
    </xf>
    <xf numFmtId="0" fontId="12" fillId="0" borderId="4" xfId="0" applyFont="1" applyFill="1" applyBorder="1">
      <alignment vertical="top"/>
    </xf>
    <xf numFmtId="0" fontId="22" fillId="10" borderId="0" xfId="4" applyProtection="1">
      <protection locked="0"/>
    </xf>
    <xf numFmtId="3" fontId="6" fillId="0" borderId="0" xfId="5" applyNumberFormat="1" applyFill="1" applyBorder="1" applyAlignment="1">
      <alignment vertical="top"/>
    </xf>
    <xf numFmtId="3" fontId="5" fillId="2" borderId="2" xfId="3" applyNumberFormat="1" applyBorder="1" applyAlignment="1">
      <alignment vertical="top"/>
      <protection locked="0"/>
    </xf>
    <xf numFmtId="0" fontId="0" fillId="2" borderId="2" xfId="3" applyFont="1" applyAlignment="1">
      <alignment horizontal="center" vertical="top"/>
      <protection locked="0"/>
    </xf>
    <xf numFmtId="0" fontId="0" fillId="12" borderId="0" xfId="0" applyFont="1" applyAlignment="1">
      <alignment horizontal="left" vertical="top"/>
    </xf>
    <xf numFmtId="0" fontId="9" fillId="0" borderId="0" xfId="8">
      <alignment vertical="top"/>
    </xf>
    <xf numFmtId="0" fontId="0" fillId="12" borderId="0" xfId="0" applyAlignment="1">
      <alignment vertical="top" wrapText="1"/>
    </xf>
    <xf numFmtId="0" fontId="0" fillId="12" borderId="0" xfId="0">
      <alignment vertical="top"/>
    </xf>
    <xf numFmtId="0" fontId="23" fillId="0" borderId="0" xfId="1" applyFont="1" applyAlignment="1">
      <alignment vertical="top"/>
    </xf>
    <xf numFmtId="0" fontId="0" fillId="12" borderId="0" xfId="0">
      <alignment vertical="top"/>
    </xf>
    <xf numFmtId="0" fontId="0" fillId="12" borderId="0" xfId="0">
      <alignment vertical="top"/>
    </xf>
    <xf numFmtId="0" fontId="5" fillId="2" borderId="2" xfId="3" applyAlignment="1">
      <alignment vertical="top" wrapText="1"/>
      <protection locked="0"/>
    </xf>
    <xf numFmtId="0" fontId="5" fillId="2" borderId="2" xfId="3" applyAlignment="1">
      <alignment vertical="top"/>
      <protection locked="0"/>
    </xf>
    <xf numFmtId="0" fontId="0" fillId="0" borderId="0" xfId="0" applyFill="1" applyBorder="1">
      <alignment vertical="top"/>
    </xf>
    <xf numFmtId="0" fontId="0" fillId="12" borderId="0" xfId="0" applyAlignment="1">
      <alignment horizontal="center" vertical="top"/>
    </xf>
    <xf numFmtId="3" fontId="0" fillId="12" borderId="0" xfId="0" applyNumberFormat="1">
      <alignment vertical="top"/>
    </xf>
    <xf numFmtId="3" fontId="6" fillId="0" borderId="0" xfId="5" applyNumberFormat="1" applyAlignment="1">
      <alignment vertical="top"/>
    </xf>
    <xf numFmtId="3" fontId="0" fillId="12" borderId="0" xfId="0" applyNumberFormat="1" applyAlignment="1">
      <alignment horizontal="center" vertical="top"/>
    </xf>
    <xf numFmtId="164" fontId="6" fillId="0" borderId="0" xfId="5" applyNumberFormat="1" applyAlignment="1">
      <alignment vertical="top"/>
    </xf>
    <xf numFmtId="10" fontId="5" fillId="2" borderId="2" xfId="3" applyNumberFormat="1" applyAlignment="1">
      <alignment vertical="top"/>
      <protection locked="0"/>
    </xf>
    <xf numFmtId="0" fontId="0" fillId="12" borderId="0" xfId="0" applyAlignment="1">
      <alignment horizontal="left" vertical="top" indent="3"/>
    </xf>
    <xf numFmtId="0" fontId="24" fillId="12" borderId="0" xfId="0" applyFont="1" applyAlignment="1">
      <alignment horizontal="left" vertical="top" indent="2"/>
    </xf>
    <xf numFmtId="0" fontId="0" fillId="2" borderId="2" xfId="3" applyFont="1" applyAlignment="1">
      <alignment vertical="top"/>
      <protection locked="0"/>
    </xf>
    <xf numFmtId="164" fontId="5" fillId="2" borderId="2" xfId="3" applyNumberFormat="1" applyAlignment="1">
      <alignment vertical="top"/>
      <protection locked="0"/>
    </xf>
    <xf numFmtId="0" fontId="24" fillId="0" borderId="0" xfId="0" applyFont="1" applyFill="1" applyBorder="1" applyAlignment="1">
      <alignment horizontal="left" vertical="top" indent="2"/>
    </xf>
    <xf numFmtId="4" fontId="5" fillId="2" borderId="2" xfId="3" applyNumberFormat="1" applyAlignment="1">
      <alignment vertical="top"/>
      <protection locked="0"/>
    </xf>
    <xf numFmtId="0" fontId="0" fillId="0" borderId="0" xfId="0" applyFont="1" applyFill="1" applyBorder="1">
      <alignment vertical="top"/>
    </xf>
    <xf numFmtId="0" fontId="7" fillId="3" borderId="9" xfId="9" applyAlignment="1">
      <alignment horizontal="center"/>
    </xf>
    <xf numFmtId="0" fontId="22" fillId="10" borderId="0" xfId="4" applyAlignment="1">
      <alignment horizontal="center" vertical="top"/>
    </xf>
    <xf numFmtId="165" fontId="5" fillId="2" borderId="2" xfId="3" applyNumberFormat="1" applyAlignment="1">
      <alignment vertical="top"/>
      <protection locked="0"/>
    </xf>
    <xf numFmtId="3" fontId="0" fillId="2" borderId="2" xfId="3" applyNumberFormat="1" applyFont="1" applyAlignment="1">
      <alignment horizontal="center" vertical="top"/>
      <protection locked="0"/>
    </xf>
    <xf numFmtId="0" fontId="0" fillId="11" borderId="0" xfId="0" applyFill="1">
      <alignment vertical="top"/>
    </xf>
    <xf numFmtId="3" fontId="22" fillId="10" borderId="0" xfId="4" applyNumberFormat="1"/>
    <xf numFmtId="0" fontId="0" fillId="12" borderId="0" xfId="0" applyAlignment="1">
      <alignment horizontal="right" vertical="top"/>
    </xf>
    <xf numFmtId="0" fontId="0" fillId="2" borderId="2" xfId="3" applyFont="1" applyAlignment="1">
      <alignment vertical="top" wrapText="1"/>
      <protection locked="0"/>
    </xf>
    <xf numFmtId="3" fontId="0" fillId="2" borderId="2" xfId="3" applyNumberFormat="1" applyFont="1" applyAlignment="1">
      <alignment vertical="top"/>
      <protection locked="0"/>
    </xf>
    <xf numFmtId="0" fontId="7" fillId="3" borderId="11" xfId="9" applyBorder="1">
      <alignment horizontal="center"/>
    </xf>
    <xf numFmtId="178" fontId="5" fillId="2" borderId="2" xfId="3" applyNumberFormat="1" applyAlignment="1">
      <alignment vertical="top"/>
      <protection locked="0"/>
    </xf>
    <xf numFmtId="1" fontId="5" fillId="2" borderId="2" xfId="3" applyNumberFormat="1" applyAlignment="1">
      <alignment vertical="top"/>
      <protection locked="0"/>
    </xf>
    <xf numFmtId="9" fontId="5" fillId="2" borderId="2" xfId="3" applyNumberFormat="1" applyAlignment="1">
      <alignment vertical="top"/>
      <protection locked="0"/>
    </xf>
    <xf numFmtId="0" fontId="7" fillId="3" borderId="12" xfId="9" applyBorder="1">
      <alignment horizontal="center"/>
    </xf>
    <xf numFmtId="0" fontId="5" fillId="12" borderId="0" xfId="6" applyFill="1">
      <alignment vertical="top"/>
    </xf>
    <xf numFmtId="0" fontId="0" fillId="12" borderId="0" xfId="0" applyBorder="1">
      <alignment vertical="top"/>
    </xf>
    <xf numFmtId="0" fontId="9" fillId="12" borderId="0" xfId="8" applyFill="1" applyBorder="1">
      <alignment vertical="top"/>
    </xf>
    <xf numFmtId="0" fontId="9" fillId="12" borderId="0" xfId="8" quotePrefix="1" applyFill="1" applyBorder="1">
      <alignment vertical="top"/>
    </xf>
    <xf numFmtId="0" fontId="5" fillId="12" borderId="0" xfId="6" applyFont="1" applyFill="1">
      <alignment vertical="top"/>
    </xf>
    <xf numFmtId="0" fontId="6" fillId="12" borderId="0" xfId="5" applyFont="1" applyFill="1" applyBorder="1" applyAlignment="1">
      <alignment vertical="top"/>
    </xf>
    <xf numFmtId="0" fontId="8" fillId="12" borderId="0" xfId="7" applyFont="1" applyFill="1">
      <alignment vertical="top"/>
    </xf>
    <xf numFmtId="0" fontId="9" fillId="12" borderId="0" xfId="8" applyFont="1" applyFill="1">
      <alignment vertical="top"/>
    </xf>
    <xf numFmtId="0" fontId="0" fillId="12" borderId="0" xfId="0" applyFill="1" applyBorder="1">
      <alignment vertical="top"/>
    </xf>
    <xf numFmtId="3" fontId="6" fillId="12" borderId="3" xfId="5" applyNumberFormat="1" applyFill="1" applyBorder="1" applyAlignment="1">
      <alignment vertical="top"/>
    </xf>
    <xf numFmtId="3" fontId="6" fillId="12" borderId="0" xfId="5" applyNumberFormat="1" applyFill="1" applyBorder="1" applyAlignment="1">
      <alignment vertical="top"/>
    </xf>
    <xf numFmtId="0" fontId="0" fillId="12" borderId="0" xfId="0" applyFill="1">
      <alignment vertical="top"/>
    </xf>
    <xf numFmtId="0" fontId="0" fillId="12" borderId="0" xfId="0" applyFill="1" applyAlignment="1">
      <alignment horizontal="left" vertical="top" indent="1"/>
    </xf>
    <xf numFmtId="3" fontId="8" fillId="12" borderId="0" xfId="7" applyNumberFormat="1" applyFill="1" applyAlignment="1">
      <alignment vertical="top"/>
    </xf>
    <xf numFmtId="0" fontId="0" fillId="12" borderId="0" xfId="0" applyFill="1" applyAlignment="1">
      <alignment horizontal="center" vertical="top"/>
    </xf>
    <xf numFmtId="0" fontId="0" fillId="12" borderId="0" xfId="0" applyFill="1" applyBorder="1" applyAlignment="1">
      <alignment horizontal="left" vertical="top" indent="1"/>
    </xf>
    <xf numFmtId="0" fontId="6" fillId="12" borderId="0" xfId="5" applyFill="1" applyAlignment="1">
      <alignment vertical="top"/>
    </xf>
    <xf numFmtId="3" fontId="6" fillId="12" borderId="0" xfId="5" applyNumberFormat="1" applyFill="1" applyAlignment="1">
      <alignment vertical="top"/>
    </xf>
    <xf numFmtId="0" fontId="0" fillId="12" borderId="0" xfId="0" applyFill="1" applyBorder="1" applyAlignment="1">
      <alignment horizontal="left" vertical="top" indent="3"/>
    </xf>
    <xf numFmtId="0" fontId="24" fillId="12" borderId="0" xfId="0" applyFont="1" applyFill="1" applyBorder="1" applyAlignment="1">
      <alignment horizontal="left" vertical="top" indent="2"/>
    </xf>
    <xf numFmtId="0" fontId="0" fillId="12" borderId="0" xfId="0" applyFont="1" applyFill="1" applyAlignment="1">
      <alignment horizontal="left" vertical="top" indent="2"/>
    </xf>
    <xf numFmtId="0" fontId="0" fillId="12" borderId="0" xfId="0" applyFont="1" applyFill="1" applyAlignment="1">
      <alignment horizontal="left" vertical="top"/>
    </xf>
    <xf numFmtId="0" fontId="0" fillId="12" borderId="0" xfId="0" applyFont="1" applyFill="1" applyAlignment="1">
      <alignment horizontal="left" vertical="top" indent="1"/>
    </xf>
    <xf numFmtId="0" fontId="24" fillId="12" borderId="0" xfId="0" applyFont="1" applyFill="1" applyAlignment="1">
      <alignment horizontal="left" vertical="top" indent="2"/>
    </xf>
    <xf numFmtId="0" fontId="0" fillId="12" borderId="0" xfId="0" applyFill="1" applyAlignment="1">
      <alignment horizontal="left" vertical="top" indent="2"/>
    </xf>
    <xf numFmtId="165" fontId="6" fillId="12" borderId="0" xfId="5" applyNumberFormat="1" applyFill="1" applyBorder="1" applyAlignment="1">
      <alignment vertical="top"/>
    </xf>
    <xf numFmtId="0" fontId="0" fillId="12" borderId="0" xfId="0" applyFill="1" applyBorder="1" applyAlignment="1">
      <alignment horizontal="left" vertical="top" indent="2"/>
    </xf>
    <xf numFmtId="0" fontId="0" fillId="12" borderId="0" xfId="0" applyFill="1" applyBorder="1" applyAlignment="1">
      <alignment horizontal="left" vertical="top"/>
    </xf>
    <xf numFmtId="178" fontId="6" fillId="12" borderId="0" xfId="5" applyNumberFormat="1" applyFill="1" applyBorder="1" applyAlignment="1">
      <alignment vertical="top"/>
    </xf>
    <xf numFmtId="9" fontId="6" fillId="12" borderId="0" xfId="5" applyNumberFormat="1" applyFill="1" applyAlignment="1">
      <alignment vertical="top"/>
    </xf>
    <xf numFmtId="0" fontId="0" fillId="12" borderId="0" xfId="0" applyFill="1" applyAlignment="1">
      <alignment horizontal="left" vertical="top" indent="3"/>
    </xf>
    <xf numFmtId="166" fontId="6" fillId="12" borderId="0" xfId="5" applyNumberFormat="1" applyFill="1" applyAlignment="1">
      <alignment vertical="top"/>
    </xf>
    <xf numFmtId="0" fontId="0" fillId="12" borderId="0" xfId="0" applyFont="1" applyFill="1" applyBorder="1">
      <alignment vertical="top"/>
    </xf>
    <xf numFmtId="3" fontId="0" fillId="12" borderId="0" xfId="0" applyNumberFormat="1" applyFill="1">
      <alignment vertical="top"/>
    </xf>
    <xf numFmtId="0" fontId="0" fillId="12" borderId="0" xfId="0" applyFont="1" applyFill="1">
      <alignment vertical="top"/>
    </xf>
    <xf numFmtId="3" fontId="0" fillId="12" borderId="0" xfId="0" applyNumberFormat="1" applyFill="1" applyAlignment="1">
      <alignment horizontal="center" vertical="top"/>
    </xf>
    <xf numFmtId="0" fontId="0" fillId="12" borderId="0" xfId="0" applyFont="1" applyFill="1" applyBorder="1" applyAlignment="1">
      <alignment horizontal="left" vertical="top" indent="3"/>
    </xf>
    <xf numFmtId="0" fontId="0" fillId="12" borderId="0" xfId="0" applyFont="1" applyFill="1" applyBorder="1" applyAlignment="1">
      <alignment horizontal="left" vertical="top"/>
    </xf>
    <xf numFmtId="0" fontId="0" fillId="12" borderId="0" xfId="0" applyFill="1" applyAlignment="1">
      <alignment horizontal="left" vertical="top"/>
    </xf>
    <xf numFmtId="4" fontId="6" fillId="12" borderId="0" xfId="5" applyNumberFormat="1" applyFill="1" applyAlignment="1">
      <alignment vertical="top"/>
    </xf>
    <xf numFmtId="164" fontId="8" fillId="12" borderId="0" xfId="7" applyNumberFormat="1" applyFill="1">
      <alignment vertical="top"/>
    </xf>
    <xf numFmtId="166" fontId="8" fillId="12" borderId="0" xfId="7" applyNumberFormat="1" applyFill="1">
      <alignment vertical="top"/>
    </xf>
    <xf numFmtId="167" fontId="6" fillId="12" borderId="0" xfId="5" applyNumberFormat="1" applyFill="1" applyAlignment="1">
      <alignment vertical="top"/>
    </xf>
    <xf numFmtId="165" fontId="8" fillId="12" borderId="0" xfId="7" applyNumberFormat="1" applyFill="1">
      <alignment vertical="top"/>
    </xf>
    <xf numFmtId="166" fontId="8" fillId="12" borderId="0" xfId="7" applyNumberFormat="1" applyFill="1" applyAlignment="1">
      <alignment vertical="top"/>
    </xf>
    <xf numFmtId="167" fontId="8" fillId="12" borderId="0" xfId="7" applyNumberFormat="1" applyFill="1" applyAlignment="1">
      <alignment vertical="top"/>
    </xf>
    <xf numFmtId="0" fontId="0" fillId="12" borderId="0" xfId="0" applyFont="1" applyFill="1" applyBorder="1" applyAlignment="1">
      <alignment horizontal="left" vertical="top" indent="1"/>
    </xf>
    <xf numFmtId="4" fontId="6" fillId="12" borderId="0" xfId="5" applyNumberFormat="1" applyFill="1" applyBorder="1" applyAlignment="1">
      <alignment vertical="top"/>
    </xf>
    <xf numFmtId="170" fontId="6" fillId="12" borderId="0" xfId="5" applyNumberFormat="1" applyFill="1" applyAlignment="1">
      <alignment vertical="top"/>
    </xf>
    <xf numFmtId="0" fontId="6" fillId="12" borderId="0" xfId="5" applyFill="1" applyBorder="1" applyAlignment="1">
      <alignment vertical="top"/>
    </xf>
    <xf numFmtId="166" fontId="6" fillId="12" borderId="0" xfId="5" applyNumberFormat="1" applyFill="1" applyBorder="1" applyAlignment="1">
      <alignment vertical="top"/>
    </xf>
    <xf numFmtId="164" fontId="6" fillId="12" borderId="0" xfId="5" applyNumberFormat="1" applyFill="1" applyBorder="1" applyAlignment="1">
      <alignment vertical="top"/>
    </xf>
    <xf numFmtId="3" fontId="6" fillId="12" borderId="10" xfId="5" applyNumberFormat="1" applyFill="1" applyBorder="1" applyAlignment="1">
      <alignment vertical="top"/>
    </xf>
    <xf numFmtId="3" fontId="0" fillId="12" borderId="0" xfId="0" applyNumberFormat="1" applyFill="1" applyAlignment="1">
      <alignment vertical="top"/>
    </xf>
    <xf numFmtId="0" fontId="4" fillId="12" borderId="1" xfId="2" applyFill="1"/>
    <xf numFmtId="0" fontId="6" fillId="12" borderId="0" xfId="5" applyFill="1" applyAlignment="1">
      <alignment vertical="top" wrapText="1"/>
    </xf>
    <xf numFmtId="0" fontId="0" fillId="12" borderId="0" xfId="0" applyFill="1" applyAlignment="1">
      <alignment vertical="top" wrapText="1"/>
    </xf>
    <xf numFmtId="0" fontId="23" fillId="12" borderId="0" xfId="1" applyFont="1" applyFill="1" applyBorder="1" applyAlignment="1">
      <alignment vertical="top"/>
    </xf>
    <xf numFmtId="0" fontId="4" fillId="12" borderId="1" xfId="2" applyFill="1" applyBorder="1"/>
    <xf numFmtId="0" fontId="5" fillId="12" borderId="0" xfId="6" applyFill="1" applyProtection="1">
      <alignment vertical="top"/>
      <protection locked="0"/>
    </xf>
    <xf numFmtId="168" fontId="6" fillId="12" borderId="0" xfId="5" applyNumberFormat="1" applyFill="1" applyAlignment="1" applyProtection="1">
      <alignment vertical="top"/>
      <protection locked="0"/>
    </xf>
    <xf numFmtId="169" fontId="6" fillId="12" borderId="0" xfId="5" applyNumberFormat="1" applyFill="1" applyAlignment="1" applyProtection="1">
      <alignment vertical="top"/>
      <protection locked="0"/>
    </xf>
    <xf numFmtId="170" fontId="6" fillId="12" borderId="0" xfId="5" applyNumberFormat="1" applyFill="1" applyAlignment="1" applyProtection="1">
      <alignment vertical="top"/>
      <protection locked="0"/>
    </xf>
    <xf numFmtId="165" fontId="6" fillId="12" borderId="0" xfId="5" applyNumberFormat="1" applyFill="1" applyAlignment="1" applyProtection="1">
      <alignment vertical="top"/>
      <protection locked="0"/>
    </xf>
    <xf numFmtId="171" fontId="6" fillId="12" borderId="0" xfId="5" applyNumberFormat="1" applyFill="1" applyAlignment="1" applyProtection="1">
      <alignment vertical="top"/>
      <protection locked="0"/>
    </xf>
    <xf numFmtId="167" fontId="6" fillId="12" borderId="0" xfId="5" applyNumberFormat="1" applyFill="1" applyAlignment="1" applyProtection="1">
      <alignment vertical="top"/>
      <protection locked="0"/>
    </xf>
    <xf numFmtId="170" fontId="5" fillId="12" borderId="0" xfId="6" applyNumberFormat="1" applyFill="1" applyProtection="1">
      <alignment vertical="top"/>
      <protection locked="0"/>
    </xf>
    <xf numFmtId="3" fontId="5" fillId="12" borderId="0" xfId="6" applyNumberFormat="1" applyFill="1" applyProtection="1">
      <alignment vertical="top"/>
      <protection locked="0"/>
    </xf>
    <xf numFmtId="172" fontId="6" fillId="12" borderId="0" xfId="5" applyNumberFormat="1" applyFill="1" applyAlignment="1" applyProtection="1">
      <alignment vertical="top"/>
      <protection locked="0"/>
    </xf>
    <xf numFmtId="0" fontId="6" fillId="12" borderId="0" xfId="5" applyFill="1" applyAlignment="1" applyProtection="1">
      <alignment vertical="top"/>
      <protection locked="0"/>
    </xf>
    <xf numFmtId="4" fontId="6" fillId="12" borderId="0" xfId="5" applyNumberFormat="1" applyFill="1" applyAlignment="1" applyProtection="1">
      <alignment vertical="top"/>
      <protection locked="0"/>
    </xf>
    <xf numFmtId="173" fontId="5" fillId="12" borderId="0" xfId="6" applyNumberFormat="1" applyFill="1" applyProtection="1">
      <alignment vertical="top"/>
      <protection locked="0"/>
    </xf>
    <xf numFmtId="174" fontId="6" fillId="12" borderId="0" xfId="5" applyNumberFormat="1" applyFill="1" applyAlignment="1" applyProtection="1">
      <alignment vertical="top"/>
      <protection locked="0"/>
    </xf>
    <xf numFmtId="4" fontId="5" fillId="12" borderId="0" xfId="6" applyNumberFormat="1" applyFill="1" applyProtection="1">
      <alignment vertical="top"/>
      <protection locked="0"/>
    </xf>
    <xf numFmtId="166" fontId="6" fillId="12" borderId="0" xfId="5" applyNumberFormat="1" applyFill="1" applyAlignment="1" applyProtection="1">
      <alignment vertical="top"/>
      <protection locked="0"/>
    </xf>
    <xf numFmtId="1" fontId="5" fillId="12" borderId="0" xfId="6" applyNumberFormat="1" applyFill="1" applyProtection="1">
      <alignment vertical="top"/>
      <protection locked="0"/>
    </xf>
    <xf numFmtId="166" fontId="5" fillId="12" borderId="0" xfId="6" applyNumberFormat="1" applyFill="1" applyProtection="1">
      <alignment vertical="top"/>
      <protection locked="0"/>
    </xf>
    <xf numFmtId="2" fontId="6" fillId="12" borderId="0" xfId="5" applyNumberFormat="1" applyFill="1" applyAlignment="1" applyProtection="1">
      <alignment vertical="top"/>
      <protection locked="0"/>
    </xf>
    <xf numFmtId="175" fontId="6" fillId="12" borderId="0" xfId="5" applyNumberFormat="1" applyFill="1" applyAlignment="1" applyProtection="1">
      <alignment vertical="top"/>
      <protection locked="0"/>
    </xf>
    <xf numFmtId="174" fontId="5" fillId="12" borderId="0" xfId="6" applyNumberFormat="1" applyFill="1" applyProtection="1">
      <alignment vertical="top"/>
      <protection locked="0"/>
    </xf>
    <xf numFmtId="0" fontId="5" fillId="12" borderId="0" xfId="6" applyNumberFormat="1" applyFill="1" applyProtection="1">
      <alignment vertical="top"/>
      <protection locked="0"/>
    </xf>
    <xf numFmtId="3" fontId="6" fillId="12" borderId="0" xfId="5" applyNumberFormat="1" applyFill="1" applyAlignment="1" applyProtection="1">
      <alignment vertical="top"/>
      <protection locked="0"/>
    </xf>
    <xf numFmtId="175" fontId="5" fillId="12" borderId="0" xfId="6" applyNumberFormat="1" applyFill="1" applyProtection="1">
      <alignment vertical="top"/>
      <protection locked="0"/>
    </xf>
    <xf numFmtId="167" fontId="5" fillId="12" borderId="0" xfId="6" applyNumberFormat="1" applyFill="1" applyProtection="1">
      <alignment vertical="top"/>
      <protection locked="0"/>
    </xf>
    <xf numFmtId="0" fontId="5" fillId="12" borderId="0" xfId="6" applyNumberFormat="1" applyFill="1" applyAlignment="1" applyProtection="1">
      <protection locked="0"/>
    </xf>
    <xf numFmtId="0" fontId="0" fillId="12" borderId="0" xfId="6" applyFont="1" applyFill="1" applyProtection="1">
      <alignment vertical="top"/>
      <protection locked="0"/>
    </xf>
    <xf numFmtId="3" fontId="8" fillId="12" borderId="0" xfId="7" applyNumberFormat="1" applyFill="1" applyAlignment="1" applyProtection="1">
      <alignment vertical="top"/>
      <protection locked="0"/>
    </xf>
    <xf numFmtId="164" fontId="6" fillId="12" borderId="0" xfId="5" applyNumberFormat="1" applyFill="1" applyAlignment="1" applyProtection="1">
      <alignment vertical="top"/>
      <protection locked="0"/>
    </xf>
    <xf numFmtId="1" fontId="6" fillId="12" borderId="0" xfId="5" applyNumberFormat="1" applyFill="1" applyAlignment="1" applyProtection="1">
      <alignment vertical="top"/>
      <protection locked="0"/>
    </xf>
    <xf numFmtId="176" fontId="6" fillId="12" borderId="0" xfId="5" applyNumberFormat="1" applyFill="1" applyAlignment="1" applyProtection="1">
      <alignment vertical="top"/>
      <protection locked="0"/>
    </xf>
    <xf numFmtId="177" fontId="6" fillId="12" borderId="0" xfId="5" applyNumberFormat="1" applyFill="1" applyAlignment="1" applyProtection="1">
      <alignment vertical="top"/>
      <protection locked="0"/>
    </xf>
    <xf numFmtId="176" fontId="5" fillId="12" borderId="0" xfId="6" applyNumberFormat="1" applyFill="1" applyProtection="1">
      <alignment vertical="top"/>
      <protection locked="0"/>
    </xf>
    <xf numFmtId="2" fontId="5" fillId="12" borderId="0" xfId="6" applyNumberFormat="1" applyFill="1" applyProtection="1">
      <alignment vertical="top"/>
      <protection locked="0"/>
    </xf>
    <xf numFmtId="1" fontId="6" fillId="0" borderId="13" xfId="5" applyNumberFormat="1" applyBorder="1" applyAlignment="1">
      <alignment vertical="top"/>
    </xf>
    <xf numFmtId="0" fontId="0" fillId="12" borderId="0" xfId="0" applyAlignment="1">
      <alignment horizontal="left" vertical="top"/>
    </xf>
    <xf numFmtId="0" fontId="7" fillId="3" borderId="14" xfId="9" applyBorder="1">
      <alignment horizontal="center"/>
    </xf>
    <xf numFmtId="0" fontId="7" fillId="3" borderId="15" xfId="9" applyBorder="1">
      <alignment horizontal="center"/>
    </xf>
    <xf numFmtId="0" fontId="7" fillId="3" borderId="16" xfId="9" applyBorder="1">
      <alignment horizontal="center"/>
    </xf>
    <xf numFmtId="0" fontId="7" fillId="3" borderId="11" xfId="9" applyBorder="1" applyAlignment="1">
      <alignment horizontal="center"/>
    </xf>
    <xf numFmtId="3" fontId="6" fillId="12" borderId="17" xfId="5" applyNumberFormat="1" applyFill="1" applyBorder="1" applyAlignment="1">
      <alignment horizontal="center" vertical="top"/>
    </xf>
    <xf numFmtId="3" fontId="6" fillId="12" borderId="0" xfId="5" applyNumberFormat="1" applyFill="1" applyBorder="1" applyAlignment="1">
      <alignment horizontal="center" vertical="top"/>
    </xf>
    <xf numFmtId="3" fontId="5" fillId="2" borderId="2" xfId="3" applyNumberFormat="1" applyAlignment="1">
      <alignment horizontal="center" vertical="top"/>
      <protection locked="0"/>
    </xf>
    <xf numFmtId="3" fontId="6" fillId="12" borderId="0" xfId="5" applyNumberFormat="1" applyFill="1" applyAlignment="1">
      <alignment horizontal="center" vertical="top"/>
    </xf>
    <xf numFmtId="0" fontId="0" fillId="12" borderId="0" xfId="0" applyBorder="1" applyAlignment="1">
      <alignment horizontal="center" vertical="top"/>
    </xf>
    <xf numFmtId="0" fontId="0" fillId="12" borderId="0" xfId="0" applyFill="1" applyBorder="1" applyAlignment="1">
      <alignment horizontal="center" vertical="top"/>
    </xf>
    <xf numFmtId="178" fontId="6" fillId="12" borderId="0" xfId="5" applyNumberFormat="1" applyFill="1" applyBorder="1" applyAlignment="1">
      <alignment horizontal="center" vertical="top"/>
    </xf>
    <xf numFmtId="0" fontId="0" fillId="12" borderId="0" xfId="0" applyFont="1" applyFill="1" applyAlignment="1">
      <alignment vertical="top"/>
    </xf>
    <xf numFmtId="0" fontId="0" fillId="12" borderId="0" xfId="0" applyFill="1" applyAlignment="1">
      <alignment vertical="top"/>
    </xf>
    <xf numFmtId="165" fontId="8" fillId="12" borderId="0" xfId="7" applyNumberFormat="1" applyFill="1" applyAlignment="1">
      <alignment vertical="top"/>
    </xf>
    <xf numFmtId="166" fontId="6" fillId="0" borderId="0" xfId="5" applyNumberFormat="1" applyAlignment="1">
      <alignment vertical="top"/>
    </xf>
    <xf numFmtId="0" fontId="0" fillId="12" borderId="0" xfId="0" applyFont="1" applyFill="1" applyBorder="1" applyAlignment="1">
      <alignment vertical="top"/>
    </xf>
    <xf numFmtId="179" fontId="5" fillId="2" borderId="2" xfId="3" applyNumberFormat="1" applyAlignment="1">
      <alignment horizontal="center" vertical="top"/>
      <protection locked="0"/>
    </xf>
    <xf numFmtId="0" fontId="0" fillId="2" borderId="2" xfId="3" applyFont="1" applyAlignment="1" applyProtection="1">
      <alignment vertical="top"/>
      <protection locked="0"/>
    </xf>
    <xf numFmtId="3" fontId="5" fillId="2" borderId="2" xfId="3" applyNumberFormat="1" applyAlignment="1" applyProtection="1">
      <alignment vertical="top"/>
      <protection locked="0"/>
    </xf>
    <xf numFmtId="3" fontId="0" fillId="2" borderId="2" xfId="3" applyNumberFormat="1" applyFont="1" applyBorder="1" applyAlignment="1">
      <alignment vertical="top"/>
      <protection locked="0"/>
    </xf>
    <xf numFmtId="3" fontId="0" fillId="2" borderId="2" xfId="3" applyNumberFormat="1" applyFont="1" applyAlignment="1" applyProtection="1">
      <alignment vertical="top"/>
      <protection locked="0"/>
    </xf>
    <xf numFmtId="165" fontId="6" fillId="12" borderId="3" xfId="5" applyNumberFormat="1" applyFill="1" applyBorder="1" applyAlignment="1">
      <alignment vertical="top"/>
    </xf>
    <xf numFmtId="164" fontId="6" fillId="12" borderId="0" xfId="5" applyNumberFormat="1" applyFill="1" applyAlignment="1">
      <alignment vertical="top"/>
    </xf>
    <xf numFmtId="178" fontId="5" fillId="2" borderId="2" xfId="3" applyNumberFormat="1" applyFill="1" applyAlignment="1">
      <alignment vertical="top"/>
      <protection locked="0"/>
    </xf>
    <xf numFmtId="178" fontId="30" fillId="2" borderId="2" xfId="5" applyNumberFormat="1" applyFont="1" applyFill="1" applyBorder="1" applyAlignment="1">
      <alignment vertical="top"/>
    </xf>
    <xf numFmtId="0" fontId="5" fillId="2" borderId="2" xfId="3">
      <protection locked="0"/>
    </xf>
  </cellXfs>
  <cellStyles count="28">
    <cellStyle name="20% - Accent1" xfId="26" builtinId="30" hidden="1"/>
    <cellStyle name="Bad" xfId="18" builtinId="27" hidden="1"/>
    <cellStyle name="Calculation" xfId="5" builtinId="22" customBuiltin="1"/>
    <cellStyle name="Check Cell" xfId="27" builtinId="23" customBuiltin="1"/>
    <cellStyle name="Comma" xfId="10" builtinId="3" hidden="1"/>
    <cellStyle name="Comma [0]" xfId="11" builtinId="6" hidden="1"/>
    <cellStyle name="constant" xfId="6"/>
    <cellStyle name="Currency" xfId="12" builtinId="4" hidden="1"/>
    <cellStyle name="Currency [0]" xfId="13" builtinId="7" hidden="1"/>
    <cellStyle name="Explanatory Text" xfId="24" builtinId="53" hidden="1"/>
    <cellStyle name="Good" xfId="17" builtinId="26" hidden="1"/>
    <cellStyle name="header" xfId="9"/>
    <cellStyle name="Heading 1" xfId="1" builtinId="16" customBuiltin="1"/>
    <cellStyle name="Heading 2" xfId="2" builtinId="17" customBuiltin="1"/>
    <cellStyle name="Heading 3" xfId="4" builtinId="18" customBuiltin="1"/>
    <cellStyle name="Heading 4" xfId="16" builtinId="19" hidden="1"/>
    <cellStyle name="Hyperlink" xfId="8" builtinId="8" customBuiltin="1"/>
    <cellStyle name="Input" xfId="3" builtinId="20" customBuiltin="1"/>
    <cellStyle name="Linked Cell" xfId="21" builtinId="24" hidden="1"/>
    <cellStyle name="mixed" xfId="7"/>
    <cellStyle name="Neutral" xfId="19" builtinId="28" hidden="1"/>
    <cellStyle name="Normal" xfId="0" builtinId="0" customBuiltin="1"/>
    <cellStyle name="Note" xfId="23" builtinId="10" hidden="1"/>
    <cellStyle name="Output" xfId="20" builtinId="21" hidden="1"/>
    <cellStyle name="Percent" xfId="14" builtinId="5" hidden="1"/>
    <cellStyle name="Title" xfId="15" builtinId="15" hidden="1"/>
    <cellStyle name="Total" xfId="25" builtinId="25" hidden="1"/>
    <cellStyle name="Warning Text" xfId="22" builtinId="11" hidden="1"/>
  </cellStyles>
  <dxfs count="0"/>
  <tableStyles count="0" defaultTableStyle="TableStyleMedium2" defaultPivotStyle="PivotStyleLight16"/>
  <colors>
    <mruColors>
      <color rgb="FF2171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Google%20Drive\Hammerschlag%20LLC\231%20-%20NRDC\work%20(231B%20-%20wood%20pellet%20handling%20analysis)\wood%20pellet%20handling%20analysis%20(in%20work).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oogle%20Drive\Hammerschlag%20LLC\232%20-%20UW\sources\S009\inventory\05-9xx%20spreadsheets\05-9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ummary"/>
      <sheetName val="main"/>
      <sheetName val="aux"/>
      <sheetName val="ref"/>
      <sheetName val="units"/>
      <sheetName val="cites"/>
      <sheetName val="sources"/>
    </sheetNames>
    <sheetDataSet>
      <sheetData sheetId="0"/>
      <sheetData sheetId="1"/>
      <sheetData sheetId="2"/>
      <sheetData sheetId="3"/>
      <sheetData sheetId="4">
        <row r="5">
          <cell r="D5">
            <v>3.6640912818506139</v>
          </cell>
        </row>
        <row r="13">
          <cell r="D13">
            <v>1.8</v>
          </cell>
        </row>
        <row r="14">
          <cell r="D14">
            <v>32</v>
          </cell>
        </row>
        <row r="18">
          <cell r="F18">
            <v>12.011150000000001</v>
          </cell>
        </row>
        <row r="19">
          <cell r="F19">
            <v>1.0079400000000001</v>
          </cell>
        </row>
        <row r="20">
          <cell r="F20">
            <v>14.006740000000001</v>
          </cell>
        </row>
        <row r="21">
          <cell r="F21">
            <v>15.9994</v>
          </cell>
        </row>
        <row r="22">
          <cell r="F22">
            <v>32.066000000000003</v>
          </cell>
        </row>
        <row r="26">
          <cell r="D26">
            <v>16.042909999999999</v>
          </cell>
        </row>
        <row r="28">
          <cell r="D28">
            <v>44.009950000000003</v>
          </cell>
        </row>
        <row r="29">
          <cell r="D29">
            <v>44.012880000000003</v>
          </cell>
        </row>
        <row r="34">
          <cell r="F34">
            <v>8.20578E-2</v>
          </cell>
        </row>
        <row r="35">
          <cell r="F35">
            <v>273.14999999999998</v>
          </cell>
        </row>
        <row r="36">
          <cell r="F36">
            <v>288.14999999999998</v>
          </cell>
        </row>
        <row r="37">
          <cell r="D37">
            <v>288.70555555555552</v>
          </cell>
        </row>
        <row r="39">
          <cell r="D39">
            <v>23.644955069999998</v>
          </cell>
        </row>
        <row r="40">
          <cell r="D40">
            <v>23.690542736666664</v>
          </cell>
        </row>
        <row r="96">
          <cell r="D96">
            <v>0.84578601315002988</v>
          </cell>
        </row>
        <row r="97">
          <cell r="D97">
            <v>38.623322816736987</v>
          </cell>
        </row>
        <row r="103">
          <cell r="D103">
            <v>34.830611975333802</v>
          </cell>
        </row>
      </sheetData>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matter"/>
      <sheetName val="graphs"/>
      <sheetName val="tables"/>
      <sheetName val="Scope 1"/>
      <sheetName val="Scope 2"/>
      <sheetName val="Scope 3"/>
      <sheetName val="OI"/>
      <sheetName val="ef"/>
      <sheetName val="pop"/>
      <sheetName val="ref"/>
      <sheetName val="units"/>
      <sheetName val="scratchpad"/>
    </sheetNames>
    <sheetDataSet>
      <sheetData sheetId="0"/>
      <sheetData sheetId="1"/>
      <sheetData sheetId="2"/>
      <sheetData sheetId="3"/>
      <sheetData sheetId="4"/>
      <sheetData sheetId="5"/>
      <sheetData sheetId="6"/>
      <sheetData sheetId="7">
        <row r="54">
          <cell r="C54">
            <v>246.75666584492853</v>
          </cell>
        </row>
        <row r="103">
          <cell r="C103">
            <v>120.51503323378553</v>
          </cell>
        </row>
        <row r="153">
          <cell r="C153">
            <v>100.467569382165</v>
          </cell>
        </row>
      </sheetData>
      <sheetData sheetId="8">
        <row r="17">
          <cell r="C17">
            <v>38353.333333333336</v>
          </cell>
        </row>
        <row r="32">
          <cell r="C32">
            <v>15196</v>
          </cell>
        </row>
      </sheetData>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http://opb.washington.edu/sites/default/files/opb/Data/Factbook/Table-F2-Tacoma.pdf" TargetMode="External"/><Relationship Id="rId2" Type="http://schemas.openxmlformats.org/officeDocument/2006/relationships/hyperlink" Target="http://opb.washington.edu/sites/default/files/opb/Data/Factbook/Table-F2-Bothell.pdf" TargetMode="External"/><Relationship Id="rId1" Type="http://schemas.openxmlformats.org/officeDocument/2006/relationships/hyperlink" Target="http://opb.washington.edu/sites/default/files/opb/Data/Factbook/Table-F2-Seattle.pdf" TargetMode="External"/><Relationship Id="rId6" Type="http://schemas.openxmlformats.org/officeDocument/2006/relationships/printerSettings" Target="../printerSettings/printerSettings15.bin"/><Relationship Id="rId5" Type="http://schemas.openxmlformats.org/officeDocument/2006/relationships/hyperlink" Target="http://opb.washington.edu/sites/default/files/opb/Data/Factbook/HC.pdf" TargetMode="External"/><Relationship Id="rId4" Type="http://schemas.openxmlformats.org/officeDocument/2006/relationships/hyperlink" Target="http://www4.eere.energy.gov/manufacturing/tech_deployment/amo_steam_tool/propSaturated" TargetMode="External"/></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D24"/>
  <sheetViews>
    <sheetView topLeftCell="A4" workbookViewId="0">
      <selection activeCell="B7" sqref="B7"/>
    </sheetView>
  </sheetViews>
  <sheetFormatPr defaultRowHeight="12.75" x14ac:dyDescent="0.2"/>
  <cols>
    <col min="1" max="1" width="2.42578125" customWidth="1"/>
    <col min="2" max="2" width="40.7109375" customWidth="1"/>
    <col min="3" max="3" width="12.42578125" customWidth="1"/>
    <col min="4" max="4" width="60.7109375" customWidth="1"/>
  </cols>
  <sheetData>
    <row r="1" spans="2:4" ht="31.5" x14ac:dyDescent="0.2">
      <c r="B1" s="2" t="s">
        <v>12</v>
      </c>
    </row>
    <row r="2" spans="2:4" ht="31.5" x14ac:dyDescent="0.2">
      <c r="B2" s="5" t="s">
        <v>21</v>
      </c>
      <c r="C2" s="6">
        <v>2016</v>
      </c>
    </row>
    <row r="4" spans="2:4" ht="21.75" thickBot="1" x14ac:dyDescent="0.4">
      <c r="B4" s="118" t="s">
        <v>16</v>
      </c>
      <c r="C4" s="118"/>
      <c r="D4" s="118"/>
    </row>
    <row r="5" spans="2:4" ht="13.5" thickTop="1" x14ac:dyDescent="0.2">
      <c r="B5" s="68" t="s">
        <v>17</v>
      </c>
    </row>
    <row r="6" spans="2:4" x14ac:dyDescent="0.2">
      <c r="B6" s="69" t="s">
        <v>18</v>
      </c>
    </row>
    <row r="7" spans="2:4" x14ac:dyDescent="0.2">
      <c r="B7" s="70" t="s">
        <v>19</v>
      </c>
    </row>
    <row r="8" spans="2:4" x14ac:dyDescent="0.2">
      <c r="B8" s="71" t="s">
        <v>368</v>
      </c>
    </row>
    <row r="9" spans="2:4" x14ac:dyDescent="0.2">
      <c r="B9" s="9" t="s">
        <v>20</v>
      </c>
    </row>
    <row r="10" spans="2:4" x14ac:dyDescent="0.2">
      <c r="B10" s="10"/>
    </row>
    <row r="11" spans="2:4" ht="21.75" thickBot="1" x14ac:dyDescent="0.4">
      <c r="B11" s="4" t="s">
        <v>369</v>
      </c>
      <c r="C11" s="118"/>
      <c r="D11" s="118"/>
    </row>
    <row r="12" spans="2:4" ht="13.5" thickTop="1" x14ac:dyDescent="0.2">
      <c r="B12" t="s">
        <v>370</v>
      </c>
    </row>
    <row r="13" spans="2:4" x14ac:dyDescent="0.2">
      <c r="B13" t="s">
        <v>514</v>
      </c>
    </row>
    <row r="14" spans="2:4" s="20" customFormat="1" x14ac:dyDescent="0.2">
      <c r="B14" s="20" t="s">
        <v>407</v>
      </c>
    </row>
    <row r="15" spans="2:4" x14ac:dyDescent="0.2">
      <c r="B15" t="s">
        <v>411</v>
      </c>
    </row>
    <row r="16" spans="2:4" x14ac:dyDescent="0.2">
      <c r="B16" s="20" t="s">
        <v>408</v>
      </c>
    </row>
    <row r="17" spans="2:4" s="20" customFormat="1" x14ac:dyDescent="0.2">
      <c r="B17" s="20" t="s">
        <v>409</v>
      </c>
    </row>
    <row r="18" spans="2:4" s="20" customFormat="1" x14ac:dyDescent="0.2">
      <c r="B18" s="20" t="s">
        <v>410</v>
      </c>
    </row>
    <row r="19" spans="2:4" s="20" customFormat="1" x14ac:dyDescent="0.2">
      <c r="B19" s="20" t="s">
        <v>599</v>
      </c>
    </row>
    <row r="21" spans="2:4" ht="21.75" thickBot="1" x14ac:dyDescent="0.4">
      <c r="B21" s="3" t="s">
        <v>14</v>
      </c>
      <c r="C21" s="118"/>
      <c r="D21" s="118"/>
    </row>
    <row r="22" spans="2:4" ht="64.5" thickTop="1" x14ac:dyDescent="0.2">
      <c r="B22" s="57" t="s">
        <v>600</v>
      </c>
    </row>
    <row r="23" spans="2:4" ht="21.75" thickBot="1" x14ac:dyDescent="0.4">
      <c r="B23" s="3" t="s">
        <v>15</v>
      </c>
      <c r="C23" s="118"/>
      <c r="D23" s="118"/>
    </row>
    <row r="24" spans="2:4" ht="64.5" thickTop="1" x14ac:dyDescent="0.2">
      <c r="B24" s="34" t="s">
        <v>13</v>
      </c>
    </row>
  </sheetData>
  <sheetProtection sheet="1" objects="1" scenarios="1"/>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79"/>
  <sheetViews>
    <sheetView workbookViewId="0"/>
  </sheetViews>
  <sheetFormatPr defaultRowHeight="12.75" x14ac:dyDescent="0.2"/>
  <cols>
    <col min="1" max="1" width="2.42578125" style="32" customWidth="1"/>
    <col min="2" max="2" width="30.7109375" style="32" customWidth="1"/>
    <col min="3" max="5" width="10.7109375" style="32" customWidth="1"/>
    <col min="6" max="6" width="2.7109375" customWidth="1"/>
    <col min="7" max="7" width="60.7109375" customWidth="1"/>
    <col min="8" max="11" width="10.7109375" customWidth="1"/>
    <col min="13" max="16384" width="9.140625" style="32"/>
  </cols>
  <sheetData>
    <row r="1" spans="1:12" ht="31.5" x14ac:dyDescent="0.2">
      <c r="B1" s="31" t="str">
        <f>"Scope 3 data: commuting Tacoma, CY" &amp; cover!C2</f>
        <v>Scope 3 data: commuting Tacoma, CY2016</v>
      </c>
    </row>
    <row r="3" spans="1:12" x14ac:dyDescent="0.2">
      <c r="F3" s="32"/>
      <c r="G3" s="32"/>
      <c r="H3" s="32"/>
      <c r="I3" s="32"/>
      <c r="J3" s="32"/>
      <c r="K3" s="32"/>
      <c r="L3" s="32"/>
    </row>
    <row r="4" spans="1:12" x14ac:dyDescent="0.2">
      <c r="B4" s="19" t="s">
        <v>653</v>
      </c>
      <c r="C4" s="19"/>
      <c r="D4" s="19"/>
      <c r="E4" s="19"/>
      <c r="F4" s="19"/>
      <c r="G4" s="19"/>
      <c r="H4" s="32"/>
      <c r="I4" s="32"/>
      <c r="J4" s="32"/>
      <c r="K4" s="32"/>
      <c r="L4" s="32"/>
    </row>
    <row r="5" spans="1:12" ht="13.5" x14ac:dyDescent="0.25">
      <c r="C5" s="59" t="s">
        <v>22</v>
      </c>
      <c r="D5" s="7" t="s">
        <v>23</v>
      </c>
      <c r="E5" s="7" t="s">
        <v>27</v>
      </c>
      <c r="F5" s="32"/>
      <c r="G5" s="7" t="s">
        <v>33</v>
      </c>
      <c r="H5" s="32"/>
      <c r="I5" s="32"/>
      <c r="J5" s="32"/>
      <c r="K5" s="32"/>
      <c r="L5" s="32"/>
    </row>
    <row r="6" spans="1:12" s="75" customFormat="1" x14ac:dyDescent="0.2">
      <c r="B6" s="72" t="s">
        <v>654</v>
      </c>
      <c r="C6" s="92">
        <f>populations!H9/populations!F9</f>
        <v>0.10669586262533133</v>
      </c>
    </row>
    <row r="7" spans="1:12" s="75" customFormat="1" x14ac:dyDescent="0.2">
      <c r="B7" s="72" t="s">
        <v>655</v>
      </c>
      <c r="C7" s="74">
        <f>C6*'S3 commuting Seattle'!H48</f>
        <v>53229.792422175102</v>
      </c>
      <c r="D7" s="75" t="s">
        <v>57</v>
      </c>
    </row>
    <row r="8" spans="1:12" s="75" customFormat="1" x14ac:dyDescent="0.2">
      <c r="B8" s="72" t="s">
        <v>656</v>
      </c>
      <c r="C8" s="74">
        <f>C6*'S3 commuting Seattle'!H52</f>
        <v>66700.969545134925</v>
      </c>
      <c r="D8" s="75" t="s">
        <v>57</v>
      </c>
    </row>
    <row r="9" spans="1:12" x14ac:dyDescent="0.2">
      <c r="F9" s="32"/>
      <c r="G9" s="32"/>
      <c r="H9" s="32"/>
      <c r="I9" s="32"/>
      <c r="J9" s="32"/>
      <c r="K9" s="32"/>
      <c r="L9" s="32"/>
    </row>
    <row r="10" spans="1:12" x14ac:dyDescent="0.2">
      <c r="B10" s="19" t="s">
        <v>652</v>
      </c>
      <c r="C10" s="19"/>
      <c r="D10" s="19"/>
      <c r="E10" s="19"/>
      <c r="F10" s="19"/>
      <c r="G10" s="19"/>
    </row>
    <row r="11" spans="1:12" ht="13.5" x14ac:dyDescent="0.25">
      <c r="C11" s="7" t="s">
        <v>22</v>
      </c>
      <c r="D11" s="7" t="s">
        <v>23</v>
      </c>
      <c r="E11" s="7" t="s">
        <v>27</v>
      </c>
      <c r="G11" s="7" t="s">
        <v>33</v>
      </c>
    </row>
    <row r="12" spans="1:12" ht="14.25" x14ac:dyDescent="0.2">
      <c r="B12" s="32" t="s">
        <v>648</v>
      </c>
      <c r="C12" s="11">
        <v>1537</v>
      </c>
      <c r="D12" s="32" t="s">
        <v>647</v>
      </c>
      <c r="E12" s="45" t="s">
        <v>683</v>
      </c>
      <c r="F12" s="32"/>
      <c r="G12" s="35"/>
    </row>
    <row r="13" spans="1:12" x14ac:dyDescent="0.2">
      <c r="A13" s="75"/>
      <c r="B13" s="72" t="s">
        <v>649</v>
      </c>
      <c r="C13" s="61">
        <v>2014</v>
      </c>
      <c r="E13" s="45" t="s">
        <v>683</v>
      </c>
      <c r="F13" s="32"/>
      <c r="G13" s="35" t="s">
        <v>650</v>
      </c>
    </row>
    <row r="14" spans="1:12" x14ac:dyDescent="0.2">
      <c r="A14" s="75"/>
      <c r="B14" s="72" t="s">
        <v>651</v>
      </c>
      <c r="C14" s="157">
        <f>cover!C2</f>
        <v>2016</v>
      </c>
      <c r="E14" s="35"/>
      <c r="F14" s="32"/>
      <c r="G14" s="35"/>
    </row>
    <row r="15" spans="1:12" x14ac:dyDescent="0.2">
      <c r="A15" s="75"/>
      <c r="B15" s="72" t="s">
        <v>657</v>
      </c>
      <c r="C15" s="62">
        <v>0</v>
      </c>
      <c r="E15" s="35"/>
      <c r="F15" s="32"/>
      <c r="G15" s="35"/>
      <c r="H15" s="32"/>
      <c r="I15" s="32"/>
      <c r="J15" s="32"/>
      <c r="K15" s="32"/>
      <c r="L15" s="32"/>
    </row>
    <row r="16" spans="1:12" ht="14.25" x14ac:dyDescent="0.2">
      <c r="A16" s="75"/>
      <c r="B16" s="72" t="s">
        <v>658</v>
      </c>
      <c r="C16" s="74">
        <f>C12*(1+C15)</f>
        <v>1537</v>
      </c>
      <c r="D16" s="75" t="s">
        <v>647</v>
      </c>
      <c r="E16" s="75"/>
      <c r="F16" s="32"/>
      <c r="G16" s="32"/>
      <c r="H16" s="32"/>
      <c r="I16" s="32"/>
      <c r="J16" s="32"/>
      <c r="K16" s="32"/>
      <c r="L16" s="32"/>
    </row>
    <row r="17" spans="1:12" x14ac:dyDescent="0.2">
      <c r="A17" s="75"/>
      <c r="B17" s="72" t="s">
        <v>672</v>
      </c>
      <c r="C17" s="93">
        <f>populations!H6/populations!H7</f>
        <v>0.56393861892583119</v>
      </c>
      <c r="D17" s="75"/>
      <c r="E17" s="75"/>
      <c r="F17" s="32"/>
      <c r="G17" s="32"/>
      <c r="H17" s="32"/>
      <c r="I17" s="32"/>
      <c r="J17" s="32"/>
      <c r="K17" s="32"/>
      <c r="L17" s="32"/>
    </row>
    <row r="18" spans="1:12" ht="14.25" x14ac:dyDescent="0.2">
      <c r="A18" s="75"/>
      <c r="B18" s="72" t="s">
        <v>673</v>
      </c>
      <c r="C18" s="81">
        <f>$C$17*$C$16</f>
        <v>866.77365728900259</v>
      </c>
      <c r="D18" s="75" t="s">
        <v>647</v>
      </c>
      <c r="E18" s="75"/>
      <c r="F18" s="32"/>
      <c r="G18" s="32"/>
      <c r="H18" s="32"/>
      <c r="I18" s="32"/>
      <c r="J18" s="32"/>
      <c r="K18" s="32"/>
      <c r="L18" s="32"/>
    </row>
    <row r="19" spans="1:12" ht="14.25" x14ac:dyDescent="0.2">
      <c r="A19" s="75"/>
      <c r="B19" s="72" t="s">
        <v>674</v>
      </c>
      <c r="C19" s="81">
        <f>(1-$C$17)*$C$16</f>
        <v>670.22634271099741</v>
      </c>
      <c r="D19" s="75" t="s">
        <v>647</v>
      </c>
      <c r="E19" s="75"/>
      <c r="F19" s="32"/>
      <c r="G19" s="32"/>
      <c r="H19" s="32"/>
      <c r="I19" s="32"/>
      <c r="J19" s="32"/>
      <c r="K19" s="32"/>
      <c r="L19" s="32"/>
    </row>
    <row r="20" spans="1:12" customFormat="1" x14ac:dyDescent="0.2">
      <c r="A20" s="75"/>
      <c r="B20" s="75"/>
      <c r="C20" s="75"/>
      <c r="D20" s="75"/>
      <c r="E20" s="75"/>
    </row>
    <row r="21" spans="1:12" customFormat="1" x14ac:dyDescent="0.2">
      <c r="A21" s="75"/>
      <c r="B21" s="75"/>
      <c r="C21" s="75"/>
      <c r="D21" s="75"/>
      <c r="E21" s="75"/>
    </row>
    <row r="22" spans="1:12" customFormat="1" x14ac:dyDescent="0.2">
      <c r="A22" s="75"/>
      <c r="B22" s="75"/>
      <c r="C22" s="75"/>
      <c r="D22" s="75"/>
      <c r="E22" s="75"/>
    </row>
    <row r="23" spans="1:12" customFormat="1" x14ac:dyDescent="0.2">
      <c r="A23" s="75"/>
      <c r="B23" s="75"/>
      <c r="C23" s="75"/>
      <c r="D23" s="75"/>
      <c r="E23" s="75"/>
    </row>
    <row r="24" spans="1:12" customFormat="1" x14ac:dyDescent="0.2">
      <c r="A24" s="75"/>
      <c r="B24" s="75"/>
      <c r="C24" s="75"/>
      <c r="D24" s="75"/>
      <c r="E24" s="75"/>
    </row>
    <row r="25" spans="1:12" customFormat="1" x14ac:dyDescent="0.2"/>
    <row r="26" spans="1:12" customFormat="1" x14ac:dyDescent="0.2"/>
    <row r="27" spans="1:12" customFormat="1" x14ac:dyDescent="0.2"/>
    <row r="28" spans="1:12" customFormat="1" x14ac:dyDescent="0.2"/>
    <row r="29" spans="1:12" customFormat="1" x14ac:dyDescent="0.2"/>
    <row r="30" spans="1:12" customFormat="1" x14ac:dyDescent="0.2"/>
    <row r="31" spans="1:12" customFormat="1" x14ac:dyDescent="0.2"/>
    <row r="32" spans="1:12"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sheetData>
  <sheetProtection sheet="1" objects="1" scenarios="1"/>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28"/>
  <sheetViews>
    <sheetView workbookViewId="0">
      <selection activeCell="G14" sqref="G14"/>
    </sheetView>
  </sheetViews>
  <sheetFormatPr defaultRowHeight="12.75" x14ac:dyDescent="0.2"/>
  <cols>
    <col min="1" max="1" width="2.42578125" style="32" customWidth="1"/>
    <col min="2" max="2" width="30.7109375" style="32" customWidth="1"/>
    <col min="3" max="5" width="9.7109375" style="32" customWidth="1"/>
    <col min="6" max="6" width="2.7109375" style="32" customWidth="1"/>
    <col min="7" max="7" width="40.7109375" style="32" customWidth="1"/>
    <col min="8" max="16384" width="9.140625" style="32"/>
  </cols>
  <sheetData>
    <row r="1" spans="1:7" ht="31.5" x14ac:dyDescent="0.2">
      <c r="B1" s="31" t="str">
        <f>"Scope 3 data: professional travel, CY" &amp; cover!C2</f>
        <v>Scope 3 data: professional travel, CY2016</v>
      </c>
    </row>
    <row r="3" spans="1:7" x14ac:dyDescent="0.2">
      <c r="B3" s="19" t="s">
        <v>412</v>
      </c>
      <c r="C3" s="19"/>
      <c r="D3" s="19"/>
      <c r="E3" s="19"/>
      <c r="F3" s="19"/>
      <c r="G3" s="19"/>
    </row>
    <row r="4" spans="1:7" ht="13.5" x14ac:dyDescent="0.25">
      <c r="B4" s="7" t="s">
        <v>26</v>
      </c>
      <c r="C4" s="7" t="s">
        <v>22</v>
      </c>
      <c r="D4" s="7" t="s">
        <v>23</v>
      </c>
      <c r="E4" s="7" t="s">
        <v>27</v>
      </c>
      <c r="G4" s="7" t="s">
        <v>33</v>
      </c>
    </row>
    <row r="5" spans="1:7" x14ac:dyDescent="0.2">
      <c r="B5" s="32" t="s">
        <v>555</v>
      </c>
      <c r="C5" s="38"/>
      <c r="D5" s="15"/>
      <c r="E5" s="40"/>
    </row>
    <row r="6" spans="1:7" x14ac:dyDescent="0.2">
      <c r="B6" s="14" t="s">
        <v>529</v>
      </c>
      <c r="C6" s="11">
        <v>21410397.02</v>
      </c>
      <c r="D6" s="15" t="s">
        <v>530</v>
      </c>
      <c r="E6" s="53" t="s">
        <v>602</v>
      </c>
      <c r="G6" s="45" t="s">
        <v>755</v>
      </c>
    </row>
    <row r="7" spans="1:7" x14ac:dyDescent="0.2">
      <c r="B7" s="14" t="s">
        <v>531</v>
      </c>
      <c r="C7" s="11">
        <v>0</v>
      </c>
      <c r="D7" s="15" t="s">
        <v>530</v>
      </c>
      <c r="E7" s="53" t="s">
        <v>602</v>
      </c>
      <c r="G7" s="35"/>
    </row>
    <row r="8" spans="1:7" x14ac:dyDescent="0.2">
      <c r="B8" s="14" t="s">
        <v>532</v>
      </c>
      <c r="C8" s="11">
        <v>0</v>
      </c>
      <c r="D8" s="15" t="s">
        <v>530</v>
      </c>
      <c r="E8" s="53" t="s">
        <v>602</v>
      </c>
      <c r="G8" s="35"/>
    </row>
    <row r="9" spans="1:7" x14ac:dyDescent="0.2">
      <c r="B9" s="44" t="s">
        <v>533</v>
      </c>
      <c r="C9" s="39">
        <f>SUM(C6:C8)</f>
        <v>21410397.02</v>
      </c>
      <c r="D9" s="32" t="s">
        <v>530</v>
      </c>
      <c r="E9" s="40"/>
    </row>
    <row r="10" spans="1:7" x14ac:dyDescent="0.2">
      <c r="B10" s="14" t="s">
        <v>534</v>
      </c>
      <c r="C10" s="48">
        <v>0.25</v>
      </c>
      <c r="D10" s="15" t="s">
        <v>535</v>
      </c>
      <c r="E10" s="53" t="s">
        <v>602</v>
      </c>
      <c r="G10" s="35"/>
    </row>
    <row r="11" spans="1:7" x14ac:dyDescent="0.2">
      <c r="B11" s="14" t="s">
        <v>547</v>
      </c>
      <c r="C11" s="39">
        <f>C9/C10</f>
        <v>85641588.079999998</v>
      </c>
      <c r="D11" s="49" t="s">
        <v>80</v>
      </c>
      <c r="E11" s="37"/>
    </row>
    <row r="12" spans="1:7" x14ac:dyDescent="0.2">
      <c r="A12" s="75"/>
      <c r="B12" s="79" t="s">
        <v>543</v>
      </c>
      <c r="C12" s="77">
        <f>constants!$F$28*10^6/bblTOgal</f>
        <v>135000</v>
      </c>
      <c r="D12" s="75" t="s">
        <v>544</v>
      </c>
      <c r="E12" s="78"/>
      <c r="F12" s="75"/>
    </row>
    <row r="13" spans="1:7" x14ac:dyDescent="0.2">
      <c r="B13" s="14" t="s">
        <v>536</v>
      </c>
      <c r="C13" s="11">
        <v>2511</v>
      </c>
      <c r="D13" s="15" t="s">
        <v>537</v>
      </c>
      <c r="E13" s="53" t="s">
        <v>610</v>
      </c>
      <c r="G13" s="45" t="s">
        <v>756</v>
      </c>
    </row>
    <row r="14" spans="1:7" x14ac:dyDescent="0.2">
      <c r="A14" s="75"/>
      <c r="B14" s="94" t="s">
        <v>62</v>
      </c>
      <c r="C14" s="95">
        <f>C13/C12</f>
        <v>1.8599999999999998E-2</v>
      </c>
      <c r="D14" s="96" t="s">
        <v>545</v>
      </c>
      <c r="E14" s="78"/>
      <c r="F14" s="75"/>
    </row>
    <row r="15" spans="1:7" x14ac:dyDescent="0.2">
      <c r="A15" s="75"/>
      <c r="B15" s="79" t="s">
        <v>546</v>
      </c>
      <c r="C15" s="81">
        <f>C14*C11</f>
        <v>1592933.5382879998</v>
      </c>
      <c r="D15" s="75" t="s">
        <v>57</v>
      </c>
      <c r="E15" s="78"/>
      <c r="F15" s="75"/>
    </row>
    <row r="16" spans="1:7" ht="14.25" x14ac:dyDescent="0.2">
      <c r="A16" s="75"/>
      <c r="B16" s="79" t="s">
        <v>548</v>
      </c>
      <c r="C16" s="81">
        <f>C15*constants!$F$43</f>
        <v>15367.35521079944</v>
      </c>
      <c r="D16" s="75" t="s">
        <v>549</v>
      </c>
      <c r="E16" s="78"/>
      <c r="F16" s="75"/>
    </row>
    <row r="17" spans="1:7" ht="14.25" x14ac:dyDescent="0.2">
      <c r="A17" s="75"/>
      <c r="B17" s="79" t="s">
        <v>552</v>
      </c>
      <c r="C17" s="81">
        <f>C16*populations!F17</f>
        <v>14250.685157646087</v>
      </c>
      <c r="D17" s="75" t="s">
        <v>549</v>
      </c>
      <c r="E17" s="75"/>
      <c r="F17" s="75"/>
    </row>
    <row r="19" spans="1:7" x14ac:dyDescent="0.2">
      <c r="B19" s="19" t="s">
        <v>480</v>
      </c>
      <c r="C19" s="19"/>
      <c r="D19" s="19"/>
      <c r="E19" s="19"/>
      <c r="F19" s="19"/>
      <c r="G19" s="19"/>
    </row>
    <row r="20" spans="1:7" ht="13.5" x14ac:dyDescent="0.25">
      <c r="B20" s="7" t="s">
        <v>26</v>
      </c>
      <c r="C20" s="7" t="s">
        <v>22</v>
      </c>
      <c r="D20" s="7" t="s">
        <v>23</v>
      </c>
      <c r="E20" s="7" t="s">
        <v>27</v>
      </c>
      <c r="G20" s="7" t="s">
        <v>33</v>
      </c>
    </row>
    <row r="21" spans="1:7" s="75" customFormat="1" x14ac:dyDescent="0.2">
      <c r="B21" s="75" t="s">
        <v>555</v>
      </c>
      <c r="C21" s="97"/>
      <c r="D21" s="98"/>
      <c r="E21" s="99"/>
    </row>
    <row r="22" spans="1:7" s="75" customFormat="1" ht="14.25" x14ac:dyDescent="0.2">
      <c r="B22" s="79" t="s">
        <v>553</v>
      </c>
      <c r="C22" s="81">
        <f>$C$16*populations!G17</f>
        <v>573.46821559943999</v>
      </c>
      <c r="D22" s="75" t="s">
        <v>549</v>
      </c>
    </row>
    <row r="23" spans="1:7" s="75" customFormat="1" x14ac:dyDescent="0.2"/>
    <row r="24" spans="1:7" x14ac:dyDescent="0.2">
      <c r="B24" s="19" t="s">
        <v>481</v>
      </c>
      <c r="C24" s="19"/>
      <c r="D24" s="19"/>
      <c r="E24" s="19"/>
      <c r="F24" s="19"/>
      <c r="G24" s="19"/>
    </row>
    <row r="25" spans="1:7" ht="13.5" x14ac:dyDescent="0.25">
      <c r="B25" s="7" t="s">
        <v>26</v>
      </c>
      <c r="C25" s="7" t="s">
        <v>22</v>
      </c>
      <c r="D25" s="7" t="s">
        <v>23</v>
      </c>
      <c r="E25" s="7" t="s">
        <v>27</v>
      </c>
      <c r="G25" s="7" t="s">
        <v>33</v>
      </c>
    </row>
    <row r="26" spans="1:7" s="75" customFormat="1" x14ac:dyDescent="0.2">
      <c r="B26" s="75" t="s">
        <v>555</v>
      </c>
      <c r="C26" s="97"/>
      <c r="D26" s="98"/>
      <c r="E26" s="99"/>
    </row>
    <row r="27" spans="1:7" s="75" customFormat="1" ht="14.25" x14ac:dyDescent="0.2">
      <c r="B27" s="79" t="s">
        <v>554</v>
      </c>
      <c r="C27" s="81">
        <f>$C$16*populations!H17</f>
        <v>543.20183755391406</v>
      </c>
      <c r="D27" s="75" t="s">
        <v>549</v>
      </c>
    </row>
    <row r="28" spans="1:7" s="75" customFormat="1" x14ac:dyDescent="0.2"/>
  </sheetData>
  <sheetProtection sheet="1" objects="1" scenarios="1"/>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T21"/>
  <sheetViews>
    <sheetView workbookViewId="0">
      <selection activeCell="T8" sqref="T8"/>
    </sheetView>
  </sheetViews>
  <sheetFormatPr defaultRowHeight="12.75" x14ac:dyDescent="0.2"/>
  <cols>
    <col min="1" max="1" width="2.42578125" style="32" customWidth="1"/>
    <col min="2" max="2" width="30.7109375" style="32" customWidth="1"/>
    <col min="3" max="4" width="9.7109375" style="32" customWidth="1"/>
    <col min="5" max="5" width="2.7109375" style="32" customWidth="1"/>
    <col min="6" max="18" width="9.7109375" style="32" customWidth="1"/>
    <col min="19" max="19" width="2.7109375" style="32" customWidth="1"/>
    <col min="20" max="20" width="40.7109375" style="32" customWidth="1"/>
    <col min="21" max="16384" width="9.140625" style="32"/>
  </cols>
  <sheetData>
    <row r="1" spans="2:20" ht="31.5" x14ac:dyDescent="0.2">
      <c r="B1" s="31" t="str">
        <f>"Scope 3 data: off-campus medical, CY" &amp; cover!C2</f>
        <v>Scope 3 data: off-campus medical, CY2016</v>
      </c>
    </row>
    <row r="3" spans="2:20" x14ac:dyDescent="0.2">
      <c r="B3" s="19" t="s">
        <v>412</v>
      </c>
      <c r="C3" s="19"/>
      <c r="D3" s="19"/>
      <c r="E3" s="19"/>
      <c r="F3" s="19"/>
      <c r="G3" s="19"/>
      <c r="H3" s="19"/>
      <c r="I3" s="19"/>
      <c r="J3" s="19"/>
      <c r="K3" s="19"/>
      <c r="L3" s="19"/>
      <c r="M3" s="19"/>
      <c r="N3" s="19"/>
      <c r="O3" s="19"/>
      <c r="P3" s="19"/>
      <c r="Q3" s="19"/>
      <c r="R3" s="19"/>
      <c r="S3" s="19"/>
      <c r="T3" s="19"/>
    </row>
    <row r="5" spans="2:20" ht="13.5" x14ac:dyDescent="0.25">
      <c r="C5" s="7" t="s">
        <v>27</v>
      </c>
      <c r="D5" s="7" t="s">
        <v>23</v>
      </c>
      <c r="F5" s="7" t="s">
        <v>0</v>
      </c>
      <c r="G5" s="7" t="s">
        <v>1</v>
      </c>
      <c r="H5" s="7" t="s">
        <v>2</v>
      </c>
      <c r="I5" s="7" t="s">
        <v>3</v>
      </c>
      <c r="J5" s="7" t="s">
        <v>4</v>
      </c>
      <c r="K5" s="7" t="s">
        <v>5</v>
      </c>
      <c r="L5" s="7" t="s">
        <v>6</v>
      </c>
      <c r="M5" s="7" t="s">
        <v>7</v>
      </c>
      <c r="N5" s="7" t="s">
        <v>8</v>
      </c>
      <c r="O5" s="7" t="s">
        <v>9</v>
      </c>
      <c r="P5" s="7" t="s">
        <v>10</v>
      </c>
      <c r="Q5" s="7" t="s">
        <v>11</v>
      </c>
      <c r="R5" s="7" t="s">
        <v>31</v>
      </c>
      <c r="T5" s="7" t="s">
        <v>33</v>
      </c>
    </row>
    <row r="6" spans="2:20" x14ac:dyDescent="0.2">
      <c r="B6" s="32" t="s">
        <v>506</v>
      </c>
    </row>
    <row r="7" spans="2:20" x14ac:dyDescent="0.2">
      <c r="B7" s="16" t="s">
        <v>25</v>
      </c>
      <c r="C7" s="26" t="s">
        <v>405</v>
      </c>
      <c r="D7" s="32" t="s">
        <v>28</v>
      </c>
      <c r="F7" s="58">
        <f>202.61+929.87+613.13+547.39</f>
        <v>2293</v>
      </c>
      <c r="G7" s="58">
        <f>133.15+821.28+563.51+383.93</f>
        <v>1901.8700000000001</v>
      </c>
      <c r="H7" s="58">
        <f>119.31+898.64+591.92+373.51</f>
        <v>1983.3799999999999</v>
      </c>
      <c r="I7" s="58">
        <f>59.58+594.66+521.86+126.67</f>
        <v>1302.77</v>
      </c>
      <c r="J7" s="58">
        <f>81.49+548.42+596.87+76.09</f>
        <v>1302.8699999999999</v>
      </c>
      <c r="K7" s="58">
        <f>94.08+534.72+555.62+66.56</f>
        <v>1250.98</v>
      </c>
      <c r="L7" s="58">
        <f>110.59+563.68+527.18+54.15</f>
        <v>1255.5999999999999</v>
      </c>
      <c r="M7" s="58">
        <f>104.79+577.27+553.83+54.27</f>
        <v>1290.1599999999999</v>
      </c>
      <c r="N7" s="58">
        <f>87.14+539.89+531.53+58.48</f>
        <v>1217.04</v>
      </c>
      <c r="O7" s="58">
        <f>104.31+602.46+502.22+152.76</f>
        <v>1361.75</v>
      </c>
      <c r="P7" s="58">
        <f>90.17+585.59+439.7+262.1</f>
        <v>1377.56</v>
      </c>
      <c r="Q7" s="178">
        <f>104.04+570.34+467.13+642.77</f>
        <v>1784.28</v>
      </c>
      <c r="R7" s="74">
        <f>SUM(F7:Q7)</f>
        <v>18321.259999999998</v>
      </c>
      <c r="T7" s="176" t="s">
        <v>755</v>
      </c>
    </row>
    <row r="8" spans="2:20" x14ac:dyDescent="0.2">
      <c r="B8" s="16" t="s">
        <v>359</v>
      </c>
      <c r="C8"/>
      <c r="D8"/>
      <c r="E8"/>
      <c r="F8"/>
      <c r="G8"/>
      <c r="H8"/>
      <c r="I8"/>
      <c r="J8"/>
      <c r="K8"/>
      <c r="L8"/>
      <c r="M8"/>
      <c r="N8"/>
      <c r="O8"/>
      <c r="P8"/>
      <c r="Q8"/>
      <c r="R8" s="75"/>
      <c r="T8"/>
    </row>
    <row r="9" spans="2:20" x14ac:dyDescent="0.2">
      <c r="B9" s="84" t="s">
        <v>511</v>
      </c>
      <c r="C9" s="26" t="s">
        <v>405</v>
      </c>
      <c r="D9" s="32" t="s">
        <v>57</v>
      </c>
      <c r="F9" s="11">
        <v>45</v>
      </c>
      <c r="G9" s="11">
        <v>45</v>
      </c>
      <c r="H9" s="11">
        <v>45</v>
      </c>
      <c r="I9" s="11">
        <v>45</v>
      </c>
      <c r="J9" s="11">
        <v>45</v>
      </c>
      <c r="K9" s="11">
        <v>45</v>
      </c>
      <c r="L9" s="11">
        <v>45</v>
      </c>
      <c r="M9" s="11">
        <v>45</v>
      </c>
      <c r="N9" s="11">
        <v>45</v>
      </c>
      <c r="O9" s="11">
        <v>45</v>
      </c>
      <c r="P9" s="11">
        <v>45</v>
      </c>
      <c r="Q9" s="25">
        <v>45</v>
      </c>
      <c r="R9" s="81">
        <f t="shared" ref="R9:R14" si="0">SUM(F9:Q9)</f>
        <v>540</v>
      </c>
      <c r="T9" s="45" t="s">
        <v>757</v>
      </c>
    </row>
    <row r="10" spans="2:20" x14ac:dyDescent="0.2">
      <c r="B10" s="84" t="s">
        <v>512</v>
      </c>
      <c r="C10" s="26" t="s">
        <v>405</v>
      </c>
      <c r="D10" s="36" t="s">
        <v>57</v>
      </c>
      <c r="F10" s="11">
        <v>20</v>
      </c>
      <c r="G10" s="11">
        <v>20</v>
      </c>
      <c r="H10" s="11">
        <v>20</v>
      </c>
      <c r="I10" s="11">
        <v>20</v>
      </c>
      <c r="J10" s="11">
        <v>20</v>
      </c>
      <c r="K10" s="11">
        <v>20</v>
      </c>
      <c r="L10" s="11">
        <v>20</v>
      </c>
      <c r="M10" s="11">
        <v>20</v>
      </c>
      <c r="N10" s="11">
        <v>20</v>
      </c>
      <c r="O10" s="11">
        <v>20</v>
      </c>
      <c r="P10" s="11">
        <v>20</v>
      </c>
      <c r="Q10" s="25">
        <v>20</v>
      </c>
      <c r="R10" s="81">
        <f t="shared" si="0"/>
        <v>240</v>
      </c>
      <c r="T10" s="176" t="s">
        <v>757</v>
      </c>
    </row>
    <row r="11" spans="2:20" x14ac:dyDescent="0.2">
      <c r="B11" s="87" t="s">
        <v>513</v>
      </c>
      <c r="D11" s="75" t="s">
        <v>57</v>
      </c>
      <c r="E11" s="75"/>
      <c r="F11" s="81">
        <f>SUM(F9:F10)</f>
        <v>65</v>
      </c>
      <c r="G11" s="81">
        <f t="shared" ref="G11:Q11" si="1">SUM(G9:G10)</f>
        <v>65</v>
      </c>
      <c r="H11" s="81">
        <f t="shared" si="1"/>
        <v>65</v>
      </c>
      <c r="I11" s="81">
        <f t="shared" si="1"/>
        <v>65</v>
      </c>
      <c r="J11" s="81">
        <f t="shared" si="1"/>
        <v>65</v>
      </c>
      <c r="K11" s="81">
        <f t="shared" si="1"/>
        <v>65</v>
      </c>
      <c r="L11" s="81">
        <f t="shared" si="1"/>
        <v>65</v>
      </c>
      <c r="M11" s="81">
        <f t="shared" si="1"/>
        <v>65</v>
      </c>
      <c r="N11" s="81">
        <f t="shared" si="1"/>
        <v>65</v>
      </c>
      <c r="O11" s="81">
        <f t="shared" si="1"/>
        <v>65</v>
      </c>
      <c r="P11" s="81">
        <f t="shared" si="1"/>
        <v>65</v>
      </c>
      <c r="Q11" s="81">
        <f t="shared" si="1"/>
        <v>65</v>
      </c>
      <c r="R11" s="81">
        <f t="shared" si="0"/>
        <v>780</v>
      </c>
      <c r="T11"/>
    </row>
    <row r="12" spans="2:20" x14ac:dyDescent="0.2">
      <c r="B12" s="86" t="s">
        <v>29</v>
      </c>
      <c r="C12" s="26" t="s">
        <v>405</v>
      </c>
      <c r="D12" s="32" t="s">
        <v>57</v>
      </c>
      <c r="F12" s="11">
        <v>10</v>
      </c>
      <c r="G12" s="11">
        <v>10</v>
      </c>
      <c r="H12" s="11">
        <v>10</v>
      </c>
      <c r="I12" s="11">
        <v>10</v>
      </c>
      <c r="J12" s="11">
        <v>10</v>
      </c>
      <c r="K12" s="11">
        <v>10</v>
      </c>
      <c r="L12" s="11">
        <v>10</v>
      </c>
      <c r="M12" s="11">
        <v>10</v>
      </c>
      <c r="N12" s="11">
        <v>10</v>
      </c>
      <c r="O12" s="11">
        <v>10</v>
      </c>
      <c r="P12" s="11">
        <v>10</v>
      </c>
      <c r="Q12" s="11">
        <v>10</v>
      </c>
      <c r="R12" s="74">
        <f t="shared" si="0"/>
        <v>120</v>
      </c>
      <c r="T12" s="35" t="s">
        <v>515</v>
      </c>
    </row>
    <row r="13" spans="2:20" x14ac:dyDescent="0.2">
      <c r="B13" s="76" t="s">
        <v>495</v>
      </c>
      <c r="C13" s="26" t="s">
        <v>405</v>
      </c>
      <c r="D13" s="32" t="s">
        <v>216</v>
      </c>
      <c r="F13" s="11"/>
      <c r="G13" s="11"/>
      <c r="H13" s="11"/>
      <c r="I13" s="11"/>
      <c r="J13" s="11"/>
      <c r="K13" s="11"/>
      <c r="L13" s="11"/>
      <c r="M13" s="11"/>
      <c r="N13" s="11"/>
      <c r="O13" s="11"/>
      <c r="P13" s="11"/>
      <c r="Q13" s="11"/>
      <c r="R13" s="74">
        <f t="shared" si="0"/>
        <v>0</v>
      </c>
      <c r="T13" s="35"/>
    </row>
    <row r="14" spans="2:20" x14ac:dyDescent="0.2">
      <c r="B14" s="76" t="s">
        <v>509</v>
      </c>
      <c r="C14" s="26" t="s">
        <v>405</v>
      </c>
      <c r="D14" s="32" t="s">
        <v>510</v>
      </c>
      <c r="F14" s="58">
        <f>14771+134</f>
        <v>14905</v>
      </c>
      <c r="G14" s="58">
        <f>11535+18</f>
        <v>11553</v>
      </c>
      <c r="H14" s="58">
        <f>12766+65</f>
        <v>12831</v>
      </c>
      <c r="I14" s="58">
        <f>9591+54</f>
        <v>9645</v>
      </c>
      <c r="J14" s="58">
        <f>9660+40</f>
        <v>9700</v>
      </c>
      <c r="K14" s="58">
        <f>8433+38</f>
        <v>8471</v>
      </c>
      <c r="L14" s="11">
        <v>9006</v>
      </c>
      <c r="M14" s="11">
        <v>9828</v>
      </c>
      <c r="N14" s="11">
        <v>9581</v>
      </c>
      <c r="O14" s="11">
        <v>11192</v>
      </c>
      <c r="P14" s="11">
        <v>12314</v>
      </c>
      <c r="Q14" s="11">
        <v>17791</v>
      </c>
      <c r="R14" s="74">
        <f t="shared" si="0"/>
        <v>136817</v>
      </c>
      <c r="T14" s="45" t="s">
        <v>755</v>
      </c>
    </row>
    <row r="15" spans="2:20" x14ac:dyDescent="0.2">
      <c r="B15" s="100"/>
      <c r="F15" s="81"/>
      <c r="G15" s="81"/>
      <c r="H15" s="81"/>
      <c r="I15" s="81"/>
      <c r="J15" s="81"/>
      <c r="K15" s="81"/>
      <c r="L15" s="81"/>
      <c r="M15" s="81"/>
      <c r="N15" s="81"/>
      <c r="O15" s="81"/>
      <c r="P15" s="81"/>
      <c r="Q15" s="81"/>
      <c r="R15" s="81"/>
      <c r="T15"/>
    </row>
    <row r="16" spans="2:20" x14ac:dyDescent="0.2">
      <c r="B16" s="101" t="s">
        <v>507</v>
      </c>
      <c r="R16" s="75"/>
      <c r="T16"/>
    </row>
    <row r="17" spans="2:20" x14ac:dyDescent="0.2">
      <c r="B17" s="86" t="s">
        <v>25</v>
      </c>
      <c r="C17" s="26" t="s">
        <v>405</v>
      </c>
      <c r="D17" s="32" t="s">
        <v>28</v>
      </c>
      <c r="F17" s="11">
        <f>17168.726+4255.231</f>
        <v>21423.956999999999</v>
      </c>
      <c r="G17" s="58">
        <f>15745.374+4567.615</f>
        <v>20312.989000000001</v>
      </c>
      <c r="H17" s="11">
        <f>13962.357+2980.012</f>
        <v>16942.368999999999</v>
      </c>
      <c r="I17" s="11">
        <f>13556.616+2147.978</f>
        <v>15704.594000000001</v>
      </c>
      <c r="J17" s="11">
        <f>12589.83+1539.13</f>
        <v>14128.96</v>
      </c>
      <c r="K17" s="11">
        <f>10291.058+1389.92</f>
        <v>11680.978000000001</v>
      </c>
      <c r="L17" s="11">
        <f>4194.94+1394.869</f>
        <v>5589.8089999999993</v>
      </c>
      <c r="M17" s="11">
        <f>13100.557+1412.728</f>
        <v>14513.285</v>
      </c>
      <c r="N17" s="11">
        <f>9496.242+1438.594</f>
        <v>10934.835999999999</v>
      </c>
      <c r="O17" s="11">
        <f>9941.056+1578.851</f>
        <v>11519.907000000001</v>
      </c>
      <c r="P17" s="11">
        <f>13086.004+3206.769</f>
        <v>16292.773000000001</v>
      </c>
      <c r="Q17" s="25">
        <f>14443.144+2740.78</f>
        <v>17183.923999999999</v>
      </c>
      <c r="R17" s="74">
        <f>SUM(F17:Q17)</f>
        <v>176228.38099999999</v>
      </c>
      <c r="T17" s="45" t="s">
        <v>758</v>
      </c>
    </row>
    <row r="18" spans="2:20" x14ac:dyDescent="0.2">
      <c r="B18" s="86" t="s">
        <v>495</v>
      </c>
      <c r="C18" s="26" t="s">
        <v>405</v>
      </c>
      <c r="D18" s="32" t="s">
        <v>216</v>
      </c>
      <c r="F18" s="11"/>
      <c r="G18" s="11"/>
      <c r="H18" s="11"/>
      <c r="I18" s="11"/>
      <c r="J18" s="11"/>
      <c r="K18" s="11"/>
      <c r="L18" s="11"/>
      <c r="M18" s="11"/>
      <c r="N18" s="11"/>
      <c r="O18" s="11"/>
      <c r="P18" s="11"/>
      <c r="Q18" s="25"/>
      <c r="R18" s="74">
        <f>SUM(F18:Q18)</f>
        <v>0</v>
      </c>
      <c r="T18" s="35"/>
    </row>
    <row r="19" spans="2:20" x14ac:dyDescent="0.2">
      <c r="B19" s="75"/>
      <c r="R19" s="75"/>
    </row>
    <row r="20" spans="2:20" x14ac:dyDescent="0.2">
      <c r="R20" s="75"/>
    </row>
    <row r="21" spans="2:20" x14ac:dyDescent="0.2">
      <c r="R21" s="75"/>
    </row>
  </sheetData>
  <sheetProtection sheet="1" objects="1" scenarios="1"/>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J39"/>
  <sheetViews>
    <sheetView workbookViewId="0">
      <selection activeCell="D8" sqref="D8"/>
    </sheetView>
  </sheetViews>
  <sheetFormatPr defaultRowHeight="12.75" x14ac:dyDescent="0.2"/>
  <cols>
    <col min="1" max="1" width="2.42578125" style="32" customWidth="1"/>
    <col min="2" max="2" width="22.7109375" style="32" customWidth="1"/>
    <col min="3" max="7" width="8.7109375" style="32" customWidth="1"/>
    <col min="8" max="16384" width="9.140625" style="32"/>
  </cols>
  <sheetData>
    <row r="1" spans="1:10" ht="31.5" x14ac:dyDescent="0.2">
      <c r="B1" s="121" t="str">
        <f>"Summary Table, CY" &amp; cover!C2 &amp; " GHG inventory"</f>
        <v>Summary Table, CY2016 GHG inventory</v>
      </c>
    </row>
    <row r="2" spans="1:10" ht="24.75" thickBot="1" x14ac:dyDescent="0.5">
      <c r="B2" s="122" t="s">
        <v>586</v>
      </c>
      <c r="C2" s="4"/>
      <c r="D2" s="4"/>
      <c r="E2" s="4"/>
      <c r="F2" s="4"/>
      <c r="G2" s="4"/>
    </row>
    <row r="3" spans="1:10" ht="13.5" thickTop="1" x14ac:dyDescent="0.2"/>
    <row r="4" spans="1:10" ht="13.5" x14ac:dyDescent="0.25">
      <c r="B4" s="7"/>
      <c r="C4" s="1" t="s">
        <v>415</v>
      </c>
      <c r="D4" s="1"/>
      <c r="E4" s="1"/>
      <c r="F4" s="1"/>
      <c r="G4" s="7"/>
    </row>
    <row r="5" spans="1:10" ht="13.5" x14ac:dyDescent="0.25">
      <c r="B5" s="7" t="s">
        <v>483</v>
      </c>
      <c r="C5" s="7" t="s">
        <v>412</v>
      </c>
      <c r="D5" s="7" t="s">
        <v>480</v>
      </c>
      <c r="E5" s="7" t="s">
        <v>481</v>
      </c>
      <c r="F5" s="7" t="s">
        <v>487</v>
      </c>
      <c r="G5" s="7" t="s">
        <v>482</v>
      </c>
    </row>
    <row r="6" spans="1:10" x14ac:dyDescent="0.2">
      <c r="B6" s="19" t="s">
        <v>484</v>
      </c>
      <c r="C6" s="55"/>
      <c r="D6" s="55"/>
      <c r="E6" s="55"/>
      <c r="F6" s="55"/>
      <c r="G6" s="55"/>
    </row>
    <row r="7" spans="1:10" x14ac:dyDescent="0.2">
      <c r="A7" s="75"/>
      <c r="B7" s="102" t="s">
        <v>416</v>
      </c>
      <c r="C7" s="81">
        <f>SUMIFS('inventory database'!$K$6:$K$82,'inventory database'!$E$6:$E$82,C$5,'inventory database'!$D$6:$D$82,$B7)</f>
        <v>90198.243818038536</v>
      </c>
      <c r="D7" s="81">
        <f>SUMIFS('inventory database'!$K$6:$K$82,'inventory database'!$E$6:$E$82,D$5,'inventory database'!$D$6:$D$82,$B7)</f>
        <v>695.05253348173164</v>
      </c>
      <c r="E7" s="81">
        <f>SUMIFS('inventory database'!$K$6:$K$82,'inventory database'!$E$6:$E$82,E$5,'inventory database'!$D$6:$D$82,$B7)</f>
        <v>933.73527222096152</v>
      </c>
      <c r="F7" s="81">
        <f>SUMIFS('inventory database'!$K$6:$K$82,'inventory database'!$E$6:$E$82,F$5,'inventory database'!$D$6:$D$82,$B7)</f>
        <v>0</v>
      </c>
      <c r="G7" s="81">
        <f>SUM(C7:F7)</f>
        <v>91827.031623741233</v>
      </c>
      <c r="H7" s="75"/>
    </row>
    <row r="8" spans="1:10" x14ac:dyDescent="0.2">
      <c r="A8" s="75"/>
      <c r="B8" s="102" t="s">
        <v>479</v>
      </c>
      <c r="C8" s="81">
        <f>SUMIFS('inventory database'!$K$6:$K$82,'inventory database'!$E$6:$E$82,C$5,'inventory database'!$D$6:$D$82,$B8)</f>
        <v>2419.315141819262</v>
      </c>
      <c r="D8" s="81">
        <f>SUMIFS('inventory database'!$K$6:$K$82,'inventory database'!$E$6:$E$82,D$5,'inventory database'!$D$6:$D$82,$B8)</f>
        <v>7.9980899091677937</v>
      </c>
      <c r="E8" s="81">
        <f>SUMIFS('inventory database'!$K$6:$K$82,'inventory database'!$E$6:$E$82,E$5,'inventory database'!$D$6:$D$82,$B8)</f>
        <v>14.470228454086469</v>
      </c>
      <c r="F8" s="81">
        <f>SUMIFS('inventory database'!$K$6:$K$82,'inventory database'!$E$6:$E$82,F$5,'inventory database'!$D$6:$D$82,$B8)</f>
        <v>0</v>
      </c>
      <c r="G8" s="81">
        <f>SUM(C8:F8)</f>
        <v>2441.7834601825161</v>
      </c>
      <c r="H8" s="75"/>
    </row>
    <row r="9" spans="1:10" x14ac:dyDescent="0.2">
      <c r="A9" s="75"/>
      <c r="B9" s="102" t="s">
        <v>578</v>
      </c>
      <c r="C9" s="81">
        <f>SUMIFS('inventory database'!$K$6:$K$82,'inventory database'!$E$6:$E$82,C$5,'inventory database'!$D$6:$D$82,$B9)</f>
        <v>0</v>
      </c>
      <c r="D9" s="81">
        <f>SUMIFS('inventory database'!$K$6:$K$82,'inventory database'!$E$6:$E$82,D$5,'inventory database'!$D$6:$D$82,$B9)</f>
        <v>0</v>
      </c>
      <c r="E9" s="81">
        <f>SUMIFS('inventory database'!$K$6:$K$82,'inventory database'!$E$6:$E$82,E$5,'inventory database'!$D$6:$D$82,$B9)</f>
        <v>0</v>
      </c>
      <c r="F9" s="81">
        <f>SUMIFS('inventory database'!$K$6:$K$82,'inventory database'!$E$6:$E$82,F$5,'inventory database'!$D$6:$D$82,$B9)</f>
        <v>0</v>
      </c>
      <c r="G9" s="81">
        <f>SUM(C9:F9)</f>
        <v>0</v>
      </c>
      <c r="H9" s="75"/>
    </row>
    <row r="10" spans="1:10" x14ac:dyDescent="0.2">
      <c r="A10" s="75"/>
      <c r="B10" s="102" t="s">
        <v>494</v>
      </c>
      <c r="C10" s="81">
        <f>SUMIFS('inventory database'!$K$6:$K$82,'inventory database'!$E$6:$E$82,C$5,'inventory database'!$D$6:$D$82,$B10)</f>
        <v>6824.1179419434156</v>
      </c>
      <c r="D10" s="81">
        <f>SUMIFS('inventory database'!$K$6:$K$82,'inventory database'!$E$6:$E$82,D$5,'inventory database'!$D$6:$D$82,$B10)</f>
        <v>0</v>
      </c>
      <c r="E10" s="81">
        <f>SUMIFS('inventory database'!$K$6:$K$82,'inventory database'!$E$6:$E$82,E$5,'inventory database'!$D$6:$D$82,$B10)</f>
        <v>0</v>
      </c>
      <c r="F10" s="81">
        <f>SUMIFS('inventory database'!$K$6:$K$82,'inventory database'!$E$6:$E$82,F$5,'inventory database'!$D$6:$D$82,$B10)</f>
        <v>0</v>
      </c>
      <c r="G10" s="81">
        <f>SUM(C10:F10)</f>
        <v>6824.1179419434156</v>
      </c>
      <c r="H10" s="75"/>
    </row>
    <row r="11" spans="1:10" x14ac:dyDescent="0.2">
      <c r="A11" s="75"/>
      <c r="B11" s="76" t="s">
        <v>579</v>
      </c>
      <c r="C11" s="73">
        <f>SUM(C7:C10)</f>
        <v>99441.676901801213</v>
      </c>
      <c r="D11" s="73">
        <f>SUM(D7:D10)</f>
        <v>703.05062339089943</v>
      </c>
      <c r="E11" s="73">
        <f>SUM(E7:E10)</f>
        <v>948.20550067504803</v>
      </c>
      <c r="F11" s="73">
        <f>SUM(F7:F10)</f>
        <v>0</v>
      </c>
      <c r="G11" s="73">
        <f>SUM(C11:F11)</f>
        <v>101092.93302586715</v>
      </c>
      <c r="H11" s="75"/>
    </row>
    <row r="12" spans="1:10" ht="6" customHeight="1" x14ac:dyDescent="0.2">
      <c r="A12" s="75"/>
      <c r="B12" s="76"/>
      <c r="C12" s="74"/>
      <c r="D12" s="74"/>
      <c r="E12" s="74"/>
      <c r="F12" s="74"/>
      <c r="G12" s="74"/>
      <c r="H12" s="75"/>
    </row>
    <row r="13" spans="1:10" x14ac:dyDescent="0.2">
      <c r="B13" s="19" t="s">
        <v>485</v>
      </c>
      <c r="C13" s="55"/>
      <c r="D13" s="55"/>
      <c r="E13" s="55"/>
      <c r="F13" s="55"/>
      <c r="G13" s="55"/>
    </row>
    <row r="14" spans="1:10" x14ac:dyDescent="0.2">
      <c r="A14" s="75"/>
      <c r="B14" s="75" t="s">
        <v>420</v>
      </c>
      <c r="C14" s="81">
        <f>SUMIFS('inventory database'!$K$6:$K$82,'inventory database'!$E$6:$E$82,C$5,'inventory database'!$D$6:$D$82,$B14)</f>
        <v>0</v>
      </c>
      <c r="D14" s="81">
        <f>SUMIFS('inventory database'!$K$6:$K$82,'inventory database'!$E$6:$E$82,D$5,'inventory database'!$D$6:$D$82,$B14)</f>
        <v>3967.5423199999991</v>
      </c>
      <c r="E14" s="81">
        <f>SUMIFS('inventory database'!$K$6:$K$82,'inventory database'!$E$6:$E$82,E$5,'inventory database'!$D$6:$D$82,$B14)</f>
        <v>282.24577440000002</v>
      </c>
      <c r="F14" s="81">
        <f>SUMIFS('inventory database'!$K$6:$K$82,'inventory database'!$E$6:$E$82,F$5,'inventory database'!$D$6:$D$82,$B14)</f>
        <v>0</v>
      </c>
      <c r="G14" s="81">
        <f>SUM(C14:F14)</f>
        <v>4249.788094399999</v>
      </c>
      <c r="H14" s="75"/>
      <c r="I14" s="75"/>
      <c r="J14" s="75"/>
    </row>
    <row r="15" spans="1:10" x14ac:dyDescent="0.2">
      <c r="A15" s="75"/>
      <c r="B15" s="75" t="s">
        <v>582</v>
      </c>
      <c r="C15" s="81">
        <f>SUMIFS('inventory database'!$K$6:$K$82,'inventory database'!$E$6:$E$82,C$5,'inventory database'!$D$6:$D$82,$B15)</f>
        <v>0</v>
      </c>
      <c r="D15" s="81">
        <f>SUMIFS('inventory database'!$K$6:$K$82,'inventory database'!$E$6:$E$82,D$5,'inventory database'!$D$6:$D$82,$B15)</f>
        <v>0</v>
      </c>
      <c r="E15" s="81">
        <f>SUMIFS('inventory database'!$K$6:$K$82,'inventory database'!$E$6:$E$82,E$5,'inventory database'!$D$6:$D$82,$B15)</f>
        <v>0</v>
      </c>
      <c r="F15" s="81">
        <f>SUMIFS('inventory database'!$K$6:$K$82,'inventory database'!$E$6:$E$82,F$5,'inventory database'!$D$6:$D$82,$B15)</f>
        <v>0</v>
      </c>
      <c r="G15" s="81">
        <f>SUM(C15:F15)</f>
        <v>0</v>
      </c>
      <c r="H15" s="75"/>
      <c r="I15" s="75"/>
      <c r="J15" s="75"/>
    </row>
    <row r="16" spans="1:10" x14ac:dyDescent="0.2">
      <c r="A16" s="75"/>
      <c r="B16" s="75" t="s">
        <v>583</v>
      </c>
      <c r="C16" s="81">
        <f>SUMIFS('inventory database'!$K$6:$K$82,'inventory database'!$E$6:$E$82,C$5,'inventory database'!$D$6:$D$82,$B16)</f>
        <v>0</v>
      </c>
      <c r="D16" s="81">
        <f>SUMIFS('inventory database'!$K$6:$K$82,'inventory database'!$E$6:$E$82,D$5,'inventory database'!$D$6:$D$82,$B16)</f>
        <v>0</v>
      </c>
      <c r="E16" s="81">
        <f>SUMIFS('inventory database'!$K$6:$K$82,'inventory database'!$E$6:$E$82,E$5,'inventory database'!$D$6:$D$82,$B16)</f>
        <v>0</v>
      </c>
      <c r="F16" s="81">
        <f>SUMIFS('inventory database'!$K$6:$K$82,'inventory database'!$E$6:$E$82,F$5,'inventory database'!$D$6:$D$82,$B16)</f>
        <v>0</v>
      </c>
      <c r="G16" s="81">
        <f>SUM(C16:F16)</f>
        <v>0</v>
      </c>
      <c r="H16" s="75"/>
      <c r="I16" s="75"/>
      <c r="J16" s="75"/>
    </row>
    <row r="17" spans="1:10" x14ac:dyDescent="0.2">
      <c r="A17" s="75"/>
      <c r="B17" s="75" t="s">
        <v>526</v>
      </c>
      <c r="C17" s="81">
        <f>SUMIFS('inventory database'!$K$6:$K$82,'inventory database'!$E$6:$E$82,C$5,'inventory database'!$D$6:$D$82,$B17)</f>
        <v>3874.1432999999997</v>
      </c>
      <c r="D17" s="81">
        <f>SUMIFS('inventory database'!$K$6:$K$82,'inventory database'!$E$6:$E$82,D$5,'inventory database'!$D$6:$D$82,$B17)</f>
        <v>0</v>
      </c>
      <c r="E17" s="81">
        <f>SUMIFS('inventory database'!$K$6:$K$82,'inventory database'!$E$6:$E$82,E$5,'inventory database'!$D$6:$D$82,$B17)</f>
        <v>0</v>
      </c>
      <c r="F17" s="81">
        <f>SUMIFS('inventory database'!$K$6:$K$82,'inventory database'!$E$6:$E$82,F$5,'inventory database'!$D$6:$D$82,$B17)</f>
        <v>0</v>
      </c>
      <c r="G17" s="81">
        <f>SUM(C17:F17)</f>
        <v>3874.1432999999997</v>
      </c>
      <c r="H17" s="75"/>
      <c r="I17" s="75"/>
      <c r="J17" s="75"/>
    </row>
    <row r="18" spans="1:10" x14ac:dyDescent="0.2">
      <c r="A18" s="75"/>
      <c r="B18" s="76" t="s">
        <v>580</v>
      </c>
      <c r="C18" s="73">
        <f>SUM(C14:C17)</f>
        <v>3874.1432999999997</v>
      </c>
      <c r="D18" s="73">
        <f>SUM(D14:D17)</f>
        <v>3967.5423199999991</v>
      </c>
      <c r="E18" s="73">
        <f>SUM(E14:E17)</f>
        <v>282.24577440000002</v>
      </c>
      <c r="F18" s="73">
        <f>SUM(F14:F17)</f>
        <v>0</v>
      </c>
      <c r="G18" s="73">
        <f>SUM(C18:F18)</f>
        <v>8123.9313943999987</v>
      </c>
      <c r="H18" s="75"/>
      <c r="I18" s="75"/>
      <c r="J18" s="75"/>
    </row>
    <row r="19" spans="1:10" ht="6" customHeight="1" x14ac:dyDescent="0.2">
      <c r="A19" s="75"/>
      <c r="B19" s="76"/>
      <c r="C19" s="74"/>
      <c r="D19" s="74"/>
      <c r="E19" s="74"/>
      <c r="F19" s="74"/>
      <c r="G19" s="74"/>
      <c r="H19" s="75"/>
      <c r="I19" s="75"/>
      <c r="J19" s="75"/>
    </row>
    <row r="20" spans="1:10" x14ac:dyDescent="0.2">
      <c r="B20" s="19" t="s">
        <v>486</v>
      </c>
      <c r="C20" s="55"/>
      <c r="D20" s="55"/>
      <c r="E20" s="55"/>
      <c r="F20" s="55"/>
      <c r="G20" s="55"/>
    </row>
    <row r="21" spans="1:10" x14ac:dyDescent="0.2">
      <c r="A21" s="75"/>
      <c r="B21" s="75" t="s">
        <v>558</v>
      </c>
      <c r="C21" s="81">
        <f>SUMIFS('inventory database'!$K$6:$K$82,'inventory database'!$E$6:$E$82,C$5,'inventory database'!$D$6:$D$82,$B21)</f>
        <v>38098.652400079154</v>
      </c>
      <c r="D21" s="81">
        <f>SUMIFS('inventory database'!$K$6:$K$82,'inventory database'!$E$6:$E$82,D$5,'inventory database'!$D$6:$D$82,$B21)</f>
        <v>3578.241381992998</v>
      </c>
      <c r="E21" s="81">
        <f>SUMIFS('inventory database'!$K$6:$K$82,'inventory database'!$E$6:$E$82,E$5,'inventory database'!$D$6:$D$82,$B21)</f>
        <v>2673.2742564219443</v>
      </c>
      <c r="F21" s="81">
        <f>SUMIFS('inventory database'!$K$6:$K$82,'inventory database'!$E$6:$E$82,F$5,'inventory database'!$D$6:$D$82,$B21)</f>
        <v>0</v>
      </c>
      <c r="G21" s="81">
        <f>SUM(C21:F21)</f>
        <v>44350.168038494099</v>
      </c>
      <c r="H21" s="75"/>
      <c r="I21" s="75"/>
      <c r="J21" s="75"/>
    </row>
    <row r="22" spans="1:10" x14ac:dyDescent="0.2">
      <c r="A22" s="75"/>
      <c r="B22" s="75" t="s">
        <v>528</v>
      </c>
      <c r="C22" s="81">
        <f>SUMIFS('inventory database'!$K$6:$K$82,'inventory database'!$E$6:$E$82,C$5,'inventory database'!$D$6:$D$82,$B22)</f>
        <v>14250.685157646087</v>
      </c>
      <c r="D22" s="81">
        <f>SUMIFS('inventory database'!$K$6:$K$82,'inventory database'!$E$6:$E$82,D$5,'inventory database'!$D$6:$D$82,$B22)</f>
        <v>573.46821559943999</v>
      </c>
      <c r="E22" s="81">
        <f>SUMIFS('inventory database'!$K$6:$K$82,'inventory database'!$E$6:$E$82,E$5,'inventory database'!$D$6:$D$82,$B22)</f>
        <v>543.20183755391406</v>
      </c>
      <c r="F22" s="81">
        <f>SUMIFS('inventory database'!$K$6:$K$82,'inventory database'!$E$6:$E$82,F$5,'inventory database'!$D$6:$D$82,$B22)</f>
        <v>0</v>
      </c>
      <c r="G22" s="81">
        <f>SUM(C22:F22)</f>
        <v>15367.35521079944</v>
      </c>
      <c r="H22" s="75"/>
      <c r="I22" s="75"/>
      <c r="J22" s="75"/>
    </row>
    <row r="23" spans="1:10" x14ac:dyDescent="0.2">
      <c r="A23" s="75"/>
      <c r="B23" s="75" t="s">
        <v>505</v>
      </c>
      <c r="C23" s="81">
        <f>SUMIFS('inventory database'!$K$6:$K$82,'inventory database'!$E$6:$E$82,C$5,'inventory database'!$D$6:$D$82,$B23)</f>
        <v>13216.248415950329</v>
      </c>
      <c r="D23" s="81">
        <f>SUMIFS('inventory database'!$K$6:$K$82,'inventory database'!$E$6:$E$82,D$5,'inventory database'!$D$6:$D$82,$B23)</f>
        <v>0</v>
      </c>
      <c r="E23" s="81">
        <f>SUMIFS('inventory database'!$K$6:$K$82,'inventory database'!$E$6:$E$82,E$5,'inventory database'!$D$6:$D$82,$B23)</f>
        <v>0</v>
      </c>
      <c r="F23" s="81">
        <f>SUMIFS('inventory database'!$K$6:$K$82,'inventory database'!$E$6:$E$82,F$5,'inventory database'!$D$6:$D$82,$B23)</f>
        <v>0</v>
      </c>
      <c r="G23" s="81">
        <f>SUM(C23:F23)</f>
        <v>13216.248415950329</v>
      </c>
      <c r="H23" s="75"/>
      <c r="I23" s="75"/>
      <c r="J23" s="75"/>
    </row>
    <row r="24" spans="1:10" x14ac:dyDescent="0.2">
      <c r="A24" s="75"/>
      <c r="B24" s="76" t="s">
        <v>581</v>
      </c>
      <c r="C24" s="73">
        <f>SUM(C21:C23)</f>
        <v>65565.585973675566</v>
      </c>
      <c r="D24" s="73">
        <f>SUM(D21:D23)</f>
        <v>4151.7095975924376</v>
      </c>
      <c r="E24" s="73">
        <f>SUM(E21:E23)</f>
        <v>3216.4760939758585</v>
      </c>
      <c r="F24" s="73">
        <f>SUM(F21:F23)</f>
        <v>0</v>
      </c>
      <c r="G24" s="73">
        <f>SUM(C24:F24)</f>
        <v>72933.771665243854</v>
      </c>
      <c r="H24" s="75"/>
      <c r="I24" s="75"/>
      <c r="J24" s="75"/>
    </row>
    <row r="25" spans="1:10" ht="13.5" thickBot="1" x14ac:dyDescent="0.25">
      <c r="A25" s="75"/>
      <c r="B25" s="76"/>
      <c r="C25" s="81"/>
      <c r="D25" s="81"/>
      <c r="E25" s="81"/>
      <c r="F25" s="81"/>
      <c r="G25" s="81"/>
      <c r="H25" s="75"/>
      <c r="I25" s="75"/>
      <c r="J25" s="75"/>
    </row>
    <row r="26" spans="1:10" ht="13.5" thickTop="1" x14ac:dyDescent="0.2">
      <c r="A26" s="75"/>
      <c r="B26" s="102" t="s">
        <v>585</v>
      </c>
      <c r="C26" s="116">
        <f>C11+C18+C24</f>
        <v>168881.40617547679</v>
      </c>
      <c r="D26" s="116">
        <f>D11+D18+D24</f>
        <v>8822.3025409833353</v>
      </c>
      <c r="E26" s="116">
        <f>E11+E18+E24</f>
        <v>4446.9273690509062</v>
      </c>
      <c r="F26" s="116">
        <f>F11+F18+F24</f>
        <v>0</v>
      </c>
      <c r="G26" s="116">
        <f>G11+G18+G24</f>
        <v>182150.63608551101</v>
      </c>
      <c r="H26" s="75"/>
      <c r="I26" s="75" t="s">
        <v>587</v>
      </c>
      <c r="J26" s="81">
        <f>'inventory database'!K83-'inventory summary'!G26</f>
        <v>0</v>
      </c>
    </row>
    <row r="27" spans="1:10" x14ac:dyDescent="0.2">
      <c r="A27" s="75"/>
      <c r="B27" s="76"/>
      <c r="C27" s="81"/>
      <c r="D27" s="81"/>
      <c r="E27" s="81"/>
      <c r="F27" s="81"/>
      <c r="G27" s="81"/>
      <c r="H27" s="75"/>
      <c r="I27" s="75"/>
      <c r="J27" s="75"/>
    </row>
    <row r="28" spans="1:10" customFormat="1" x14ac:dyDescent="0.2">
      <c r="G28" s="38"/>
    </row>
    <row r="29" spans="1:10" customFormat="1" x14ac:dyDescent="0.2"/>
    <row r="30" spans="1:10" customFormat="1" x14ac:dyDescent="0.2"/>
    <row r="31" spans="1:10" customFormat="1" x14ac:dyDescent="0.2"/>
    <row r="32" spans="1:10"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sheetData>
  <sheetProtection sheet="1" objects="1" scenarios="1"/>
  <pageMargins left="0.7" right="0.7" top="0.75" bottom="0.75" header="0.3" footer="0.3"/>
  <pageSetup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M83"/>
  <sheetViews>
    <sheetView topLeftCell="B37" workbookViewId="0">
      <selection activeCell="J61" sqref="J61"/>
    </sheetView>
  </sheetViews>
  <sheetFormatPr defaultRowHeight="12.75" x14ac:dyDescent="0.2"/>
  <cols>
    <col min="1" max="1" width="2.42578125" customWidth="1"/>
    <col min="2" max="2" width="5.7109375" customWidth="1"/>
    <col min="3" max="3" width="8.7109375" customWidth="1"/>
    <col min="4" max="4" width="20.7109375" customWidth="1"/>
    <col min="6" max="6" width="20.7109375" style="32" customWidth="1"/>
    <col min="7" max="7" width="15.7109375" customWidth="1"/>
    <col min="8" max="8" width="9.85546875" bestFit="1" customWidth="1"/>
  </cols>
  <sheetData>
    <row r="1" spans="1:13" s="30" customFormat="1" ht="31.5" x14ac:dyDescent="0.2">
      <c r="B1" s="31" t="str">
        <f>"Database Records, CY" &amp; cover!C2 &amp; " GHG inventory"</f>
        <v>Database Records, CY2016 GHG inventory</v>
      </c>
      <c r="F1" s="32"/>
      <c r="M1"/>
    </row>
    <row r="2" spans="1:13" s="32" customFormat="1" x14ac:dyDescent="0.2">
      <c r="B2" s="32" t="s">
        <v>588</v>
      </c>
      <c r="M2"/>
    </row>
    <row r="4" spans="1:13" s="32" customFormat="1" x14ac:dyDescent="0.2">
      <c r="B4" s="37">
        <v>1</v>
      </c>
      <c r="C4" s="37">
        <v>2</v>
      </c>
      <c r="D4" s="37">
        <v>3</v>
      </c>
      <c r="E4" s="37">
        <v>4</v>
      </c>
      <c r="F4" s="37">
        <v>5</v>
      </c>
      <c r="G4" s="37">
        <v>6</v>
      </c>
      <c r="H4" s="37">
        <v>7</v>
      </c>
      <c r="I4" s="37">
        <v>8</v>
      </c>
      <c r="J4" s="37">
        <v>9</v>
      </c>
      <c r="K4" s="37">
        <v>10</v>
      </c>
      <c r="M4"/>
    </row>
    <row r="5" spans="1:13" ht="15" x14ac:dyDescent="0.3">
      <c r="B5" s="7" t="s">
        <v>413</v>
      </c>
      <c r="C5" s="7" t="s">
        <v>414</v>
      </c>
      <c r="D5" s="7" t="s">
        <v>527</v>
      </c>
      <c r="E5" s="7" t="s">
        <v>415</v>
      </c>
      <c r="F5" s="7" t="s">
        <v>497</v>
      </c>
      <c r="G5" s="7" t="s">
        <v>425</v>
      </c>
      <c r="H5" s="7" t="s">
        <v>424</v>
      </c>
      <c r="I5" s="7" t="s">
        <v>23</v>
      </c>
      <c r="J5" s="7" t="s">
        <v>426</v>
      </c>
      <c r="K5" s="7" t="s">
        <v>427</v>
      </c>
    </row>
    <row r="6" spans="1:13" x14ac:dyDescent="0.2">
      <c r="A6" s="75"/>
      <c r="B6" s="80">
        <f>cover!$C$2</f>
        <v>2016</v>
      </c>
      <c r="C6" s="78" t="s">
        <v>484</v>
      </c>
      <c r="D6" s="75" t="s">
        <v>416</v>
      </c>
      <c r="E6" s="75" t="s">
        <v>412</v>
      </c>
      <c r="F6" s="75" t="s">
        <v>353</v>
      </c>
      <c r="G6" s="75" t="s">
        <v>25</v>
      </c>
      <c r="H6" s="81">
        <f>'S1 stationary'!R7</f>
        <v>15645348</v>
      </c>
      <c r="I6" s="75" t="s">
        <v>28</v>
      </c>
      <c r="J6" s="95">
        <f t="shared" ref="J6:J38" si="0">VLOOKUP(G6,lu_EmissionFactors,3,FALSE)</f>
        <v>5.3019400848378388E-3</v>
      </c>
      <c r="K6" s="81">
        <f>H6*J6</f>
        <v>82950.697702437508</v>
      </c>
      <c r="L6" s="75"/>
    </row>
    <row r="7" spans="1:13" s="32" customFormat="1" x14ac:dyDescent="0.2">
      <c r="A7" s="75"/>
      <c r="B7" s="80">
        <f>cover!$C$2</f>
        <v>2016</v>
      </c>
      <c r="C7" s="78" t="s">
        <v>484</v>
      </c>
      <c r="D7" s="75" t="s">
        <v>416</v>
      </c>
      <c r="E7" s="75" t="s">
        <v>412</v>
      </c>
      <c r="F7" s="75" t="s">
        <v>353</v>
      </c>
      <c r="G7" s="75" t="s">
        <v>29</v>
      </c>
      <c r="H7" s="81">
        <f>'S1 stationary'!R8</f>
        <v>0</v>
      </c>
      <c r="I7" s="75" t="s">
        <v>57</v>
      </c>
      <c r="J7" s="95">
        <f t="shared" si="0"/>
        <v>1.0036701739815712E-2</v>
      </c>
      <c r="K7" s="81">
        <f t="shared" ref="K7:K13" si="1">H7*J7</f>
        <v>0</v>
      </c>
      <c r="L7" s="75"/>
      <c r="M7"/>
    </row>
    <row r="8" spans="1:13" s="32" customFormat="1" x14ac:dyDescent="0.2">
      <c r="A8" s="75"/>
      <c r="B8" s="80">
        <f>cover!$C$2</f>
        <v>2016</v>
      </c>
      <c r="C8" s="78" t="s">
        <v>484</v>
      </c>
      <c r="D8" s="75" t="s">
        <v>416</v>
      </c>
      <c r="E8" s="75" t="s">
        <v>412</v>
      </c>
      <c r="F8" s="75" t="s">
        <v>417</v>
      </c>
      <c r="G8" s="75" t="s">
        <v>25</v>
      </c>
      <c r="H8" s="81">
        <f>'S1 stationary'!R21</f>
        <v>1327442.5499999998</v>
      </c>
      <c r="I8" s="75" t="s">
        <v>28</v>
      </c>
      <c r="J8" s="95">
        <f t="shared" si="0"/>
        <v>5.3019400848378388E-3</v>
      </c>
      <c r="K8" s="81">
        <f t="shared" si="1"/>
        <v>7038.0208661643564</v>
      </c>
      <c r="L8" s="75"/>
      <c r="M8"/>
    </row>
    <row r="9" spans="1:13" s="32" customFormat="1" x14ac:dyDescent="0.2">
      <c r="A9" s="75"/>
      <c r="B9" s="80">
        <f>cover!$C$2</f>
        <v>2016</v>
      </c>
      <c r="C9" s="78" t="s">
        <v>484</v>
      </c>
      <c r="D9" s="75" t="s">
        <v>416</v>
      </c>
      <c r="E9" s="75" t="s">
        <v>480</v>
      </c>
      <c r="F9" s="75" t="s">
        <v>488</v>
      </c>
      <c r="G9" s="75" t="s">
        <v>25</v>
      </c>
      <c r="H9" s="81">
        <f>'S1 stationary'!R33</f>
        <v>106968</v>
      </c>
      <c r="I9" s="75" t="s">
        <v>28</v>
      </c>
      <c r="J9" s="95">
        <f t="shared" si="0"/>
        <v>5.3019400848378388E-3</v>
      </c>
      <c r="K9" s="81">
        <f t="shared" si="1"/>
        <v>567.13792699493399</v>
      </c>
      <c r="L9" s="75"/>
      <c r="M9"/>
    </row>
    <row r="10" spans="1:13" s="32" customFormat="1" x14ac:dyDescent="0.2">
      <c r="A10" s="75"/>
      <c r="B10" s="80">
        <f>cover!$C$2</f>
        <v>2016</v>
      </c>
      <c r="C10" s="78" t="s">
        <v>484</v>
      </c>
      <c r="D10" s="75" t="s">
        <v>416</v>
      </c>
      <c r="E10" s="75" t="s">
        <v>480</v>
      </c>
      <c r="F10" s="75" t="s">
        <v>489</v>
      </c>
      <c r="G10" s="75" t="s">
        <v>25</v>
      </c>
      <c r="H10" s="81">
        <f>'S1 stationary'!R35</f>
        <v>24126</v>
      </c>
      <c r="I10" s="75" t="s">
        <v>28</v>
      </c>
      <c r="J10" s="95">
        <f t="shared" si="0"/>
        <v>5.3019400848378388E-3</v>
      </c>
      <c r="K10" s="81">
        <f>H10*J10</f>
        <v>127.91460648679769</v>
      </c>
      <c r="L10" s="75"/>
      <c r="M10"/>
    </row>
    <row r="11" spans="1:13" s="32" customFormat="1" x14ac:dyDescent="0.2">
      <c r="A11" s="75"/>
      <c r="B11" s="80">
        <f>cover!$C$2</f>
        <v>2016</v>
      </c>
      <c r="C11" s="78" t="s">
        <v>484</v>
      </c>
      <c r="D11" s="75" t="s">
        <v>479</v>
      </c>
      <c r="E11" s="75" t="s">
        <v>412</v>
      </c>
      <c r="F11" s="75" t="s">
        <v>356</v>
      </c>
      <c r="G11" s="75" t="s">
        <v>357</v>
      </c>
      <c r="H11" s="81">
        <f>'S1 mobile'!R7</f>
        <v>0</v>
      </c>
      <c r="I11" s="75" t="s">
        <v>57</v>
      </c>
      <c r="J11" s="95">
        <f t="shared" si="0"/>
        <v>1.0036701739815712E-2</v>
      </c>
      <c r="K11" s="81">
        <f t="shared" si="1"/>
        <v>0</v>
      </c>
      <c r="L11" s="75"/>
      <c r="M11"/>
    </row>
    <row r="12" spans="1:13" s="32" customFormat="1" x14ac:dyDescent="0.2">
      <c r="A12" s="75"/>
      <c r="B12" s="80">
        <f>cover!$C$2</f>
        <v>2016</v>
      </c>
      <c r="C12" s="78" t="s">
        <v>484</v>
      </c>
      <c r="D12" s="75" t="s">
        <v>479</v>
      </c>
      <c r="E12" s="75" t="s">
        <v>412</v>
      </c>
      <c r="F12" s="75" t="s">
        <v>356</v>
      </c>
      <c r="G12" s="75" t="s">
        <v>358</v>
      </c>
      <c r="H12" s="81">
        <f>'S1 mobile'!R8</f>
        <v>66799.199999999997</v>
      </c>
      <c r="I12" s="75" t="s">
        <v>57</v>
      </c>
      <c r="J12" s="95">
        <f t="shared" si="0"/>
        <v>8.02936139185257E-3</v>
      </c>
      <c r="K12" s="81">
        <f t="shared" si="1"/>
        <v>536.35491748663821</v>
      </c>
      <c r="L12" s="75"/>
      <c r="M12"/>
    </row>
    <row r="13" spans="1:13" s="32" customFormat="1" x14ac:dyDescent="0.2">
      <c r="A13" s="75"/>
      <c r="B13" s="80">
        <f>cover!$C$2</f>
        <v>2016</v>
      </c>
      <c r="C13" s="78" t="s">
        <v>484</v>
      </c>
      <c r="D13" s="75" t="s">
        <v>479</v>
      </c>
      <c r="E13" s="75" t="s">
        <v>412</v>
      </c>
      <c r="F13" s="75" t="s">
        <v>356</v>
      </c>
      <c r="G13" s="75" t="s">
        <v>359</v>
      </c>
      <c r="H13" s="81">
        <f>'S1 mobile'!R9</f>
        <v>203943.59999999995</v>
      </c>
      <c r="I13" s="75" t="s">
        <v>57</v>
      </c>
      <c r="J13" s="95">
        <f t="shared" si="0"/>
        <v>8.7698354267190717E-3</v>
      </c>
      <c r="K13" s="81">
        <f t="shared" si="1"/>
        <v>1788.5518083326233</v>
      </c>
      <c r="L13" s="75"/>
      <c r="M13"/>
    </row>
    <row r="14" spans="1:13" s="32" customFormat="1" x14ac:dyDescent="0.2">
      <c r="A14" s="75"/>
      <c r="B14" s="80">
        <f>cover!$C$2</f>
        <v>2016</v>
      </c>
      <c r="C14" s="78" t="s">
        <v>484</v>
      </c>
      <c r="D14" s="75" t="s">
        <v>479</v>
      </c>
      <c r="E14" s="75" t="s">
        <v>480</v>
      </c>
      <c r="F14" s="75" t="s">
        <v>491</v>
      </c>
      <c r="G14" s="75" t="s">
        <v>359</v>
      </c>
      <c r="H14" s="81">
        <f>'S1 mobile'!R16</f>
        <v>792</v>
      </c>
      <c r="I14" s="75" t="s">
        <v>57</v>
      </c>
      <c r="J14" s="95">
        <f t="shared" si="0"/>
        <v>8.7698354267190717E-3</v>
      </c>
      <c r="K14" s="81">
        <f t="shared" ref="K14:K21" si="2">H14*J14</f>
        <v>6.9457096579615047</v>
      </c>
      <c r="L14" s="75"/>
      <c r="M14"/>
    </row>
    <row r="15" spans="1:13" s="33" customFormat="1" x14ac:dyDescent="0.2">
      <c r="A15" s="75"/>
      <c r="B15" s="80">
        <f>cover!$C$2</f>
        <v>2016</v>
      </c>
      <c r="C15" s="78" t="s">
        <v>484</v>
      </c>
      <c r="D15" s="75" t="s">
        <v>479</v>
      </c>
      <c r="E15" s="75" t="s">
        <v>480</v>
      </c>
      <c r="F15" s="75" t="s">
        <v>491</v>
      </c>
      <c r="G15" s="75" t="s">
        <v>357</v>
      </c>
      <c r="H15" s="81">
        <f>'S1 mobile'!R17</f>
        <v>0</v>
      </c>
      <c r="I15" s="75" t="s">
        <v>57</v>
      </c>
      <c r="J15" s="95">
        <f>VLOOKUP(G15,lu_EmissionFactors,3,FALSE)</f>
        <v>1.0036701739815712E-2</v>
      </c>
      <c r="K15" s="81">
        <f>H15*J15</f>
        <v>0</v>
      </c>
      <c r="L15" s="75"/>
    </row>
    <row r="16" spans="1:13" s="32" customFormat="1" x14ac:dyDescent="0.2">
      <c r="A16" s="75"/>
      <c r="B16" s="80">
        <f>cover!$C$2</f>
        <v>2016</v>
      </c>
      <c r="C16" s="78" t="s">
        <v>484</v>
      </c>
      <c r="D16" s="75" t="s">
        <v>479</v>
      </c>
      <c r="E16" s="75" t="s">
        <v>480</v>
      </c>
      <c r="F16" s="75" t="s">
        <v>492</v>
      </c>
      <c r="G16" s="75" t="s">
        <v>359</v>
      </c>
      <c r="H16" s="81">
        <f>'S1 mobile'!R19</f>
        <v>120</v>
      </c>
      <c r="I16" s="75" t="s">
        <v>57</v>
      </c>
      <c r="J16" s="95">
        <f t="shared" si="0"/>
        <v>8.7698354267190717E-3</v>
      </c>
      <c r="K16" s="81">
        <f t="shared" si="2"/>
        <v>1.0523802512062885</v>
      </c>
      <c r="L16" s="75"/>
      <c r="M16"/>
    </row>
    <row r="17" spans="1:13" s="32" customFormat="1" x14ac:dyDescent="0.2">
      <c r="A17" s="75"/>
      <c r="B17" s="80">
        <f>cover!$C$2</f>
        <v>2016</v>
      </c>
      <c r="C17" s="78" t="s">
        <v>484</v>
      </c>
      <c r="D17" s="75" t="s">
        <v>494</v>
      </c>
      <c r="E17" s="75" t="s">
        <v>412</v>
      </c>
      <c r="F17" s="75" t="s">
        <v>429</v>
      </c>
      <c r="G17" s="75" t="s">
        <v>493</v>
      </c>
      <c r="H17" s="81">
        <f>'S1 fugitive'!C22</f>
        <v>324.95799723540074</v>
      </c>
      <c r="I17" s="75" t="s">
        <v>93</v>
      </c>
      <c r="J17" s="95">
        <f t="shared" si="0"/>
        <v>21</v>
      </c>
      <c r="K17" s="81">
        <f t="shared" si="2"/>
        <v>6824.1179419434156</v>
      </c>
      <c r="L17" s="75"/>
      <c r="M17"/>
    </row>
    <row r="18" spans="1:13" x14ac:dyDescent="0.2">
      <c r="A18" s="75"/>
      <c r="B18" s="80">
        <f>cover!$C$2</f>
        <v>2016</v>
      </c>
      <c r="C18" s="78" t="s">
        <v>485</v>
      </c>
      <c r="D18" s="75" t="s">
        <v>420</v>
      </c>
      <c r="E18" s="75" t="s">
        <v>412</v>
      </c>
      <c r="F18" s="75" t="s">
        <v>496</v>
      </c>
      <c r="G18" s="75" t="s">
        <v>495</v>
      </c>
      <c r="H18" s="81">
        <f>'S2 electricity'!R7</f>
        <v>288082.625</v>
      </c>
      <c r="I18" s="75" t="s">
        <v>216</v>
      </c>
      <c r="J18" s="95">
        <f t="shared" si="0"/>
        <v>0</v>
      </c>
      <c r="K18" s="81">
        <f t="shared" si="2"/>
        <v>0</v>
      </c>
      <c r="L18" s="75"/>
    </row>
    <row r="19" spans="1:13" x14ac:dyDescent="0.2">
      <c r="A19" s="75"/>
      <c r="B19" s="80">
        <f>cover!$C$2</f>
        <v>2016</v>
      </c>
      <c r="C19" s="78" t="s">
        <v>485</v>
      </c>
      <c r="D19" s="75" t="s">
        <v>420</v>
      </c>
      <c r="E19" s="75" t="s">
        <v>412</v>
      </c>
      <c r="F19" s="75" t="s">
        <v>417</v>
      </c>
      <c r="G19" s="75" t="s">
        <v>495</v>
      </c>
      <c r="H19" s="81">
        <f>'S2 electricity'!R13</f>
        <v>0</v>
      </c>
      <c r="I19" s="75" t="s">
        <v>216</v>
      </c>
      <c r="J19" s="95">
        <f t="shared" si="0"/>
        <v>0</v>
      </c>
      <c r="K19" s="81">
        <f t="shared" si="2"/>
        <v>0</v>
      </c>
      <c r="L19" s="75"/>
    </row>
    <row r="20" spans="1:13" s="32" customFormat="1" x14ac:dyDescent="0.2">
      <c r="A20" s="75"/>
      <c r="B20" s="80">
        <f>cover!$C$2</f>
        <v>2016</v>
      </c>
      <c r="C20" s="78" t="s">
        <v>485</v>
      </c>
      <c r="D20" s="75" t="s">
        <v>420</v>
      </c>
      <c r="E20" s="75" t="s">
        <v>480</v>
      </c>
      <c r="F20" s="75" t="s">
        <v>488</v>
      </c>
      <c r="G20" s="75" t="s">
        <v>498</v>
      </c>
      <c r="H20" s="81">
        <f>'S2 electricity'!R24</f>
        <v>6874.7999999999984</v>
      </c>
      <c r="I20" s="75" t="s">
        <v>216</v>
      </c>
      <c r="J20" s="95">
        <f t="shared" si="0"/>
        <v>0.45399999999999996</v>
      </c>
      <c r="K20" s="81">
        <f t="shared" si="2"/>
        <v>3121.1591999999991</v>
      </c>
      <c r="L20" s="75"/>
      <c r="M20"/>
    </row>
    <row r="21" spans="1:13" s="32" customFormat="1" x14ac:dyDescent="0.2">
      <c r="A21" s="75"/>
      <c r="B21" s="80">
        <f>cover!$C$2</f>
        <v>2016</v>
      </c>
      <c r="C21" s="78" t="s">
        <v>485</v>
      </c>
      <c r="D21" s="75" t="s">
        <v>420</v>
      </c>
      <c r="E21" s="75" t="s">
        <v>480</v>
      </c>
      <c r="F21" s="75" t="s">
        <v>489</v>
      </c>
      <c r="G21" s="75" t="s">
        <v>498</v>
      </c>
      <c r="H21" s="81">
        <f>'S2 electricity'!R26</f>
        <v>1864.28</v>
      </c>
      <c r="I21" s="75" t="s">
        <v>216</v>
      </c>
      <c r="J21" s="95">
        <f t="shared" si="0"/>
        <v>0.45399999999999996</v>
      </c>
      <c r="K21" s="81">
        <f t="shared" si="2"/>
        <v>846.38311999999996</v>
      </c>
      <c r="L21" s="75"/>
      <c r="M21"/>
    </row>
    <row r="22" spans="1:13" s="32" customFormat="1" x14ac:dyDescent="0.2">
      <c r="A22" s="75"/>
      <c r="B22" s="80">
        <f>cover!$C$2</f>
        <v>2016</v>
      </c>
      <c r="C22" s="78" t="s">
        <v>484</v>
      </c>
      <c r="D22" s="75" t="s">
        <v>416</v>
      </c>
      <c r="E22" s="75" t="s">
        <v>481</v>
      </c>
      <c r="F22" s="75" t="s">
        <v>504</v>
      </c>
      <c r="G22" s="75" t="s">
        <v>25</v>
      </c>
      <c r="H22" s="81">
        <f>'S1 stationary'!R41</f>
        <v>176112</v>
      </c>
      <c r="I22" s="75" t="s">
        <v>28</v>
      </c>
      <c r="J22" s="95">
        <f t="shared" si="0"/>
        <v>5.3019400848378388E-3</v>
      </c>
      <c r="K22" s="81">
        <f t="shared" ref="K22:K31" si="3">H22*J22</f>
        <v>933.73527222096152</v>
      </c>
      <c r="L22" s="75"/>
      <c r="M22"/>
    </row>
    <row r="23" spans="1:13" s="32" customFormat="1" x14ac:dyDescent="0.2">
      <c r="A23" s="75"/>
      <c r="B23" s="80">
        <f>cover!$C$2</f>
        <v>2016</v>
      </c>
      <c r="C23" s="78" t="s">
        <v>484</v>
      </c>
      <c r="D23" s="75" t="s">
        <v>479</v>
      </c>
      <c r="E23" s="75" t="s">
        <v>481</v>
      </c>
      <c r="F23" s="75" t="s">
        <v>503</v>
      </c>
      <c r="G23" s="75" t="s">
        <v>359</v>
      </c>
      <c r="H23" s="81">
        <f>'S1 mobile'!R25</f>
        <v>1650</v>
      </c>
      <c r="I23" s="75" t="s">
        <v>57</v>
      </c>
      <c r="J23" s="95">
        <f t="shared" si="0"/>
        <v>8.7698354267190717E-3</v>
      </c>
      <c r="K23" s="81">
        <f t="shared" si="3"/>
        <v>14.470228454086469</v>
      </c>
      <c r="L23" s="75"/>
      <c r="M23"/>
    </row>
    <row r="24" spans="1:13" s="32" customFormat="1" x14ac:dyDescent="0.2">
      <c r="A24" s="75"/>
      <c r="B24" s="80">
        <f>cover!$C$2</f>
        <v>2016</v>
      </c>
      <c r="C24" s="78" t="s">
        <v>485</v>
      </c>
      <c r="D24" s="75" t="s">
        <v>420</v>
      </c>
      <c r="E24" s="75" t="s">
        <v>481</v>
      </c>
      <c r="F24" s="75" t="s">
        <v>504</v>
      </c>
      <c r="G24" s="75" t="s">
        <v>502</v>
      </c>
      <c r="H24" s="81">
        <f>'S2 electricity'!R32</f>
        <v>11226.960000000001</v>
      </c>
      <c r="I24" s="75" t="s">
        <v>216</v>
      </c>
      <c r="J24" s="95">
        <f t="shared" si="0"/>
        <v>2.5139999999999999E-2</v>
      </c>
      <c r="K24" s="81">
        <f t="shared" si="3"/>
        <v>282.24577440000002</v>
      </c>
      <c r="L24" s="75"/>
      <c r="M24"/>
    </row>
    <row r="25" spans="1:13" s="32" customFormat="1" x14ac:dyDescent="0.2">
      <c r="A25" s="75"/>
      <c r="B25" s="80">
        <f>cover!$C$2</f>
        <v>2016</v>
      </c>
      <c r="C25" s="78" t="s">
        <v>486</v>
      </c>
      <c r="D25" s="75" t="s">
        <v>505</v>
      </c>
      <c r="E25" s="75" t="s">
        <v>412</v>
      </c>
      <c r="F25" s="75" t="s">
        <v>508</v>
      </c>
      <c r="G25" s="75" t="s">
        <v>25</v>
      </c>
      <c r="H25" s="81">
        <f>'S3 off-campus medical'!R17</f>
        <v>176228.38099999999</v>
      </c>
      <c r="I25" s="75" t="s">
        <v>28</v>
      </c>
      <c r="J25" s="95">
        <f t="shared" si="0"/>
        <v>5.3019400848378388E-3</v>
      </c>
      <c r="K25" s="81">
        <f t="shared" si="3"/>
        <v>934.35231730997498</v>
      </c>
      <c r="L25" s="75"/>
      <c r="M25"/>
    </row>
    <row r="26" spans="1:13" s="32" customFormat="1" x14ac:dyDescent="0.2">
      <c r="A26" s="75"/>
      <c r="B26" s="80">
        <f>cover!$C$2</f>
        <v>2016</v>
      </c>
      <c r="C26" s="78" t="s">
        <v>486</v>
      </c>
      <c r="D26" s="75" t="s">
        <v>505</v>
      </c>
      <c r="E26" s="75" t="s">
        <v>412</v>
      </c>
      <c r="F26" s="75" t="s">
        <v>508</v>
      </c>
      <c r="G26" s="75" t="s">
        <v>495</v>
      </c>
      <c r="H26" s="81">
        <f>'S3 off-campus medical'!R18</f>
        <v>0</v>
      </c>
      <c r="I26" s="75" t="s">
        <v>216</v>
      </c>
      <c r="J26" s="95">
        <f t="shared" si="0"/>
        <v>0</v>
      </c>
      <c r="K26" s="81">
        <f t="shared" si="3"/>
        <v>0</v>
      </c>
      <c r="L26" s="75"/>
      <c r="M26"/>
    </row>
    <row r="27" spans="1:13" s="32" customFormat="1" x14ac:dyDescent="0.2">
      <c r="A27" s="75"/>
      <c r="B27" s="80">
        <f>cover!$C$2</f>
        <v>2016</v>
      </c>
      <c r="C27" s="78" t="s">
        <v>486</v>
      </c>
      <c r="D27" s="75" t="s">
        <v>505</v>
      </c>
      <c r="E27" s="75" t="s">
        <v>412</v>
      </c>
      <c r="F27" s="75" t="s">
        <v>506</v>
      </c>
      <c r="G27" s="75" t="s">
        <v>25</v>
      </c>
      <c r="H27" s="81">
        <f>'S3 off-campus medical'!R7</f>
        <v>18321.259999999998</v>
      </c>
      <c r="I27" s="75" t="s">
        <v>28</v>
      </c>
      <c r="J27" s="95">
        <f t="shared" si="0"/>
        <v>5.3019400848378388E-3</v>
      </c>
      <c r="K27" s="81">
        <f t="shared" si="3"/>
        <v>97.138222798736095</v>
      </c>
      <c r="L27" s="75"/>
      <c r="M27"/>
    </row>
    <row r="28" spans="1:13" s="32" customFormat="1" x14ac:dyDescent="0.2">
      <c r="A28" s="75"/>
      <c r="B28" s="80">
        <f>cover!$C$2</f>
        <v>2016</v>
      </c>
      <c r="C28" s="78" t="s">
        <v>486</v>
      </c>
      <c r="D28" s="75" t="s">
        <v>505</v>
      </c>
      <c r="E28" s="75" t="s">
        <v>412</v>
      </c>
      <c r="F28" s="75" t="s">
        <v>506</v>
      </c>
      <c r="G28" s="75" t="s">
        <v>359</v>
      </c>
      <c r="H28" s="81">
        <f>'S3 off-campus medical'!R11</f>
        <v>780</v>
      </c>
      <c r="I28" s="75" t="s">
        <v>57</v>
      </c>
      <c r="J28" s="95">
        <f t="shared" si="0"/>
        <v>8.7698354267190717E-3</v>
      </c>
      <c r="K28" s="81">
        <f t="shared" si="3"/>
        <v>6.8404716328408757</v>
      </c>
      <c r="L28" s="75"/>
      <c r="M28"/>
    </row>
    <row r="29" spans="1:13" s="32" customFormat="1" x14ac:dyDescent="0.2">
      <c r="A29" s="75"/>
      <c r="B29" s="80">
        <f>cover!$C$2</f>
        <v>2016</v>
      </c>
      <c r="C29" s="78" t="s">
        <v>486</v>
      </c>
      <c r="D29" s="75" t="s">
        <v>505</v>
      </c>
      <c r="E29" s="75" t="s">
        <v>412</v>
      </c>
      <c r="F29" s="75" t="s">
        <v>506</v>
      </c>
      <c r="G29" s="75" t="s">
        <v>29</v>
      </c>
      <c r="H29" s="81">
        <f>'S3 off-campus medical'!R12</f>
        <v>120</v>
      </c>
      <c r="I29" s="75" t="s">
        <v>57</v>
      </c>
      <c r="J29" s="95">
        <f t="shared" si="0"/>
        <v>1.0036701739815712E-2</v>
      </c>
      <c r="K29" s="81">
        <f t="shared" si="3"/>
        <v>1.2044042087778855</v>
      </c>
      <c r="L29" s="75"/>
      <c r="M29"/>
    </row>
    <row r="30" spans="1:13" s="32" customFormat="1" x14ac:dyDescent="0.2">
      <c r="A30" s="75"/>
      <c r="B30" s="80">
        <f>cover!$C$2</f>
        <v>2016</v>
      </c>
      <c r="C30" s="78" t="s">
        <v>486</v>
      </c>
      <c r="D30" s="75" t="s">
        <v>505</v>
      </c>
      <c r="E30" s="75" t="s">
        <v>412</v>
      </c>
      <c r="F30" s="75" t="s">
        <v>506</v>
      </c>
      <c r="G30" s="75" t="s">
        <v>495</v>
      </c>
      <c r="H30" s="81">
        <f>'S3 off-campus medical'!R13</f>
        <v>0</v>
      </c>
      <c r="I30" s="75" t="s">
        <v>216</v>
      </c>
      <c r="J30" s="95">
        <f t="shared" si="0"/>
        <v>0</v>
      </c>
      <c r="K30" s="81">
        <f t="shared" si="3"/>
        <v>0</v>
      </c>
      <c r="L30" s="75"/>
      <c r="M30"/>
    </row>
    <row r="31" spans="1:13" s="32" customFormat="1" x14ac:dyDescent="0.2">
      <c r="A31" s="75"/>
      <c r="B31" s="80">
        <f>cover!$C$2</f>
        <v>2016</v>
      </c>
      <c r="C31" s="78" t="s">
        <v>486</v>
      </c>
      <c r="D31" s="75" t="s">
        <v>505</v>
      </c>
      <c r="E31" s="75" t="s">
        <v>412</v>
      </c>
      <c r="F31" s="75" t="s">
        <v>506</v>
      </c>
      <c r="G31" s="75" t="s">
        <v>509</v>
      </c>
      <c r="H31" s="81">
        <f>'S3 off-campus medical'!R14</f>
        <v>136817</v>
      </c>
      <c r="I31" s="75" t="s">
        <v>510</v>
      </c>
      <c r="J31" s="95">
        <f t="shared" si="0"/>
        <v>8.8999999999999996E-2</v>
      </c>
      <c r="K31" s="81">
        <f t="shared" si="3"/>
        <v>12176.713</v>
      </c>
      <c r="L31" s="75"/>
      <c r="M31"/>
    </row>
    <row r="32" spans="1:13" s="32" customFormat="1" x14ac:dyDescent="0.2">
      <c r="A32" s="75"/>
      <c r="B32" s="80">
        <f>cover!$C$2</f>
        <v>2016</v>
      </c>
      <c r="C32" s="78" t="s">
        <v>484</v>
      </c>
      <c r="D32" s="75" t="s">
        <v>416</v>
      </c>
      <c r="E32" s="75" t="s">
        <v>412</v>
      </c>
      <c r="F32" s="75" t="s">
        <v>520</v>
      </c>
      <c r="G32" s="75" t="s">
        <v>25</v>
      </c>
      <c r="H32" s="81">
        <f>'S1 stationary'!R26</f>
        <v>39518.6</v>
      </c>
      <c r="I32" s="75" t="s">
        <v>28</v>
      </c>
      <c r="J32" s="95">
        <f t="shared" si="0"/>
        <v>5.3019400848378388E-3</v>
      </c>
      <c r="K32" s="81">
        <f t="shared" ref="K32:K37" si="4">H32*J32</f>
        <v>209.5252494366726</v>
      </c>
      <c r="L32" s="75"/>
      <c r="M32"/>
    </row>
    <row r="33" spans="1:13" s="32" customFormat="1" x14ac:dyDescent="0.2">
      <c r="A33" s="75"/>
      <c r="B33" s="80">
        <f>cover!$C$2</f>
        <v>2016</v>
      </c>
      <c r="C33" s="78" t="s">
        <v>485</v>
      </c>
      <c r="D33" s="75" t="s">
        <v>420</v>
      </c>
      <c r="E33" s="75" t="s">
        <v>412</v>
      </c>
      <c r="F33" s="75" t="s">
        <v>520</v>
      </c>
      <c r="G33" s="75" t="s">
        <v>495</v>
      </c>
      <c r="H33" s="81">
        <f>'S2 electricity'!R18</f>
        <v>0</v>
      </c>
      <c r="I33" s="75" t="s">
        <v>216</v>
      </c>
      <c r="J33" s="95">
        <f t="shared" si="0"/>
        <v>0</v>
      </c>
      <c r="K33" s="81">
        <f t="shared" si="4"/>
        <v>0</v>
      </c>
      <c r="L33" s="75"/>
      <c r="M33"/>
    </row>
    <row r="34" spans="1:13" s="32" customFormat="1" x14ac:dyDescent="0.2">
      <c r="A34" s="75"/>
      <c r="B34" s="80">
        <f>cover!$C$2</f>
        <v>2016</v>
      </c>
      <c r="C34" s="78" t="s">
        <v>485</v>
      </c>
      <c r="D34" s="75" t="s">
        <v>526</v>
      </c>
      <c r="E34" s="75" t="s">
        <v>412</v>
      </c>
      <c r="F34" s="75" t="s">
        <v>520</v>
      </c>
      <c r="G34" s="75" t="s">
        <v>509</v>
      </c>
      <c r="H34" s="81">
        <f>'S2 steam'!R12</f>
        <v>43529.7</v>
      </c>
      <c r="I34" s="75" t="s">
        <v>510</v>
      </c>
      <c r="J34" s="95">
        <f t="shared" si="0"/>
        <v>8.8999999999999996E-2</v>
      </c>
      <c r="K34" s="81">
        <f t="shared" si="4"/>
        <v>3874.1432999999997</v>
      </c>
      <c r="L34" s="75"/>
      <c r="M34"/>
    </row>
    <row r="35" spans="1:13" s="32" customFormat="1" x14ac:dyDescent="0.2">
      <c r="A35" s="75"/>
      <c r="B35" s="80">
        <f>cover!$C$2</f>
        <v>2016</v>
      </c>
      <c r="C35" s="78" t="s">
        <v>486</v>
      </c>
      <c r="D35" s="75" t="s">
        <v>528</v>
      </c>
      <c r="E35" s="75" t="s">
        <v>412</v>
      </c>
      <c r="F35" s="75" t="s">
        <v>555</v>
      </c>
      <c r="G35" s="75" t="s">
        <v>556</v>
      </c>
      <c r="H35" s="81">
        <f>'S3 professional travel'!C17</f>
        <v>14250.685157646087</v>
      </c>
      <c r="I35" s="75" t="s">
        <v>93</v>
      </c>
      <c r="J35" s="95">
        <f t="shared" si="0"/>
        <v>1</v>
      </c>
      <c r="K35" s="81">
        <f t="shared" si="4"/>
        <v>14250.685157646087</v>
      </c>
      <c r="L35" s="75"/>
      <c r="M35"/>
    </row>
    <row r="36" spans="1:13" s="32" customFormat="1" x14ac:dyDescent="0.2">
      <c r="A36" s="75"/>
      <c r="B36" s="80">
        <f>cover!$C$2</f>
        <v>2016</v>
      </c>
      <c r="C36" s="78" t="s">
        <v>486</v>
      </c>
      <c r="D36" s="75" t="s">
        <v>528</v>
      </c>
      <c r="E36" s="75" t="s">
        <v>480</v>
      </c>
      <c r="F36" s="75" t="s">
        <v>555</v>
      </c>
      <c r="G36" s="75" t="s">
        <v>556</v>
      </c>
      <c r="H36" s="81">
        <f>'S3 professional travel'!C22</f>
        <v>573.46821559943999</v>
      </c>
      <c r="I36" s="75" t="s">
        <v>93</v>
      </c>
      <c r="J36" s="95">
        <f t="shared" si="0"/>
        <v>1</v>
      </c>
      <c r="K36" s="81">
        <f t="shared" si="4"/>
        <v>573.46821559943999</v>
      </c>
      <c r="L36" s="75"/>
      <c r="M36"/>
    </row>
    <row r="37" spans="1:13" s="32" customFormat="1" x14ac:dyDescent="0.2">
      <c r="A37" s="75"/>
      <c r="B37" s="80">
        <f>cover!$C$2</f>
        <v>2016</v>
      </c>
      <c r="C37" s="78" t="s">
        <v>486</v>
      </c>
      <c r="D37" s="75" t="s">
        <v>528</v>
      </c>
      <c r="E37" s="75" t="s">
        <v>481</v>
      </c>
      <c r="F37" s="75" t="s">
        <v>555</v>
      </c>
      <c r="G37" s="75" t="s">
        <v>556</v>
      </c>
      <c r="H37" s="81">
        <f>'S3 professional travel'!C27</f>
        <v>543.20183755391406</v>
      </c>
      <c r="I37" s="75" t="s">
        <v>93</v>
      </c>
      <c r="J37" s="95">
        <f t="shared" si="0"/>
        <v>1</v>
      </c>
      <c r="K37" s="81">
        <f t="shared" si="4"/>
        <v>543.20183755391406</v>
      </c>
      <c r="L37" s="75"/>
      <c r="M37"/>
    </row>
    <row r="38" spans="1:13" s="32" customFormat="1" x14ac:dyDescent="0.2">
      <c r="A38" s="75"/>
      <c r="B38" s="80">
        <f>cover!$C$2</f>
        <v>2016</v>
      </c>
      <c r="C38" s="78" t="s">
        <v>486</v>
      </c>
      <c r="D38" s="75" t="s">
        <v>558</v>
      </c>
      <c r="E38" s="75" t="s">
        <v>412</v>
      </c>
      <c r="F38" s="75" t="s">
        <v>559</v>
      </c>
      <c r="G38" s="75" t="s">
        <v>359</v>
      </c>
      <c r="H38" s="81">
        <f>'S3 commuting Seattle'!H48</f>
        <v>498892.75096912228</v>
      </c>
      <c r="I38" s="75" t="s">
        <v>57</v>
      </c>
      <c r="J38" s="95">
        <f t="shared" si="0"/>
        <v>8.7698354267190717E-3</v>
      </c>
      <c r="K38" s="81">
        <f t="shared" ref="K38:K52" si="5">H38*J38</f>
        <v>4375.2073215823439</v>
      </c>
      <c r="L38" s="75"/>
      <c r="M38"/>
    </row>
    <row r="39" spans="1:13" x14ac:dyDescent="0.2">
      <c r="A39" s="75"/>
      <c r="B39" s="80">
        <f>cover!$C$2</f>
        <v>2016</v>
      </c>
      <c r="C39" s="78" t="s">
        <v>486</v>
      </c>
      <c r="D39" s="75" t="s">
        <v>558</v>
      </c>
      <c r="E39" s="75" t="s">
        <v>412</v>
      </c>
      <c r="F39" s="75" t="s">
        <v>559</v>
      </c>
      <c r="G39" s="75" t="s">
        <v>357</v>
      </c>
      <c r="H39" s="81">
        <f>'S3 commuting Seattle'!H52</f>
        <v>625150.4782276256</v>
      </c>
      <c r="I39" s="75" t="s">
        <v>57</v>
      </c>
      <c r="J39" s="95">
        <f t="shared" ref="J39:J60" si="6">VLOOKUP(G39,lu_EmissionFactors,3,FALSE)</f>
        <v>1.0036701739815712E-2</v>
      </c>
      <c r="K39" s="81">
        <f t="shared" si="5"/>
        <v>6274.4488924738343</v>
      </c>
      <c r="L39" s="75"/>
    </row>
    <row r="40" spans="1:13" x14ac:dyDescent="0.2">
      <c r="A40" s="75"/>
      <c r="B40" s="80">
        <f>cover!$C$2</f>
        <v>2016</v>
      </c>
      <c r="C40" s="78" t="s">
        <v>486</v>
      </c>
      <c r="D40" s="75" t="s">
        <v>558</v>
      </c>
      <c r="E40" s="75" t="s">
        <v>412</v>
      </c>
      <c r="F40" s="75" t="s">
        <v>559</v>
      </c>
      <c r="G40" s="75" t="s">
        <v>358</v>
      </c>
      <c r="H40" s="81">
        <v>0</v>
      </c>
      <c r="I40" s="75" t="s">
        <v>57</v>
      </c>
      <c r="J40" s="95">
        <f t="shared" si="6"/>
        <v>8.02936139185257E-3</v>
      </c>
      <c r="K40" s="81">
        <f t="shared" si="5"/>
        <v>0</v>
      </c>
      <c r="L40" s="75"/>
    </row>
    <row r="41" spans="1:13" x14ac:dyDescent="0.2">
      <c r="A41" s="75"/>
      <c r="B41" s="80">
        <f>cover!$C$2</f>
        <v>2016</v>
      </c>
      <c r="C41" s="78" t="s">
        <v>486</v>
      </c>
      <c r="D41" s="75" t="s">
        <v>558</v>
      </c>
      <c r="E41" s="75" t="s">
        <v>412</v>
      </c>
      <c r="F41" s="75" t="s">
        <v>559</v>
      </c>
      <c r="G41" s="75" t="s">
        <v>25</v>
      </c>
      <c r="H41" s="81">
        <v>0</v>
      </c>
      <c r="I41" s="75" t="s">
        <v>28</v>
      </c>
      <c r="J41" s="95">
        <f t="shared" si="6"/>
        <v>5.3019400848378388E-3</v>
      </c>
      <c r="K41" s="81">
        <f t="shared" si="5"/>
        <v>0</v>
      </c>
      <c r="L41" s="75"/>
    </row>
    <row r="42" spans="1:13" x14ac:dyDescent="0.2">
      <c r="A42" s="75"/>
      <c r="B42" s="80">
        <f>cover!$C$2</f>
        <v>2016</v>
      </c>
      <c r="C42" s="78" t="s">
        <v>486</v>
      </c>
      <c r="D42" s="75" t="s">
        <v>558</v>
      </c>
      <c r="E42" s="75" t="s">
        <v>412</v>
      </c>
      <c r="F42" s="75" t="s">
        <v>559</v>
      </c>
      <c r="G42" s="75" t="s">
        <v>495</v>
      </c>
      <c r="H42" s="81">
        <f>'S3 commuting Seattle'!G56</f>
        <v>1280.1137926123201</v>
      </c>
      <c r="I42" s="75" t="s">
        <v>216</v>
      </c>
      <c r="J42" s="95">
        <f t="shared" si="6"/>
        <v>0</v>
      </c>
      <c r="K42" s="81">
        <f t="shared" si="5"/>
        <v>0</v>
      </c>
      <c r="L42" s="75"/>
    </row>
    <row r="43" spans="1:13" s="32" customFormat="1" x14ac:dyDescent="0.2">
      <c r="A43" s="75"/>
      <c r="B43" s="80">
        <f>cover!$C$2</f>
        <v>2016</v>
      </c>
      <c r="C43" s="78" t="s">
        <v>486</v>
      </c>
      <c r="D43" s="75" t="s">
        <v>558</v>
      </c>
      <c r="E43" s="75" t="s">
        <v>412</v>
      </c>
      <c r="F43" s="75" t="s">
        <v>576</v>
      </c>
      <c r="G43" s="75" t="s">
        <v>359</v>
      </c>
      <c r="H43" s="81">
        <f>'S3 commuting Seattle'!H47</f>
        <v>1723638.7026003697</v>
      </c>
      <c r="I43" s="75" t="s">
        <v>57</v>
      </c>
      <c r="J43" s="95">
        <f t="shared" si="6"/>
        <v>8.7698354267190717E-3</v>
      </c>
      <c r="K43" s="81">
        <f t="shared" si="5"/>
        <v>15116.027756928821</v>
      </c>
      <c r="L43" s="75"/>
      <c r="M43"/>
    </row>
    <row r="44" spans="1:13" s="32" customFormat="1" x14ac:dyDescent="0.2">
      <c r="A44" s="75"/>
      <c r="B44" s="80">
        <f>cover!$C$2</f>
        <v>2016</v>
      </c>
      <c r="C44" s="78" t="s">
        <v>486</v>
      </c>
      <c r="D44" s="75" t="s">
        <v>558</v>
      </c>
      <c r="E44" s="75" t="s">
        <v>412</v>
      </c>
      <c r="F44" s="75" t="s">
        <v>576</v>
      </c>
      <c r="G44" s="75" t="s">
        <v>357</v>
      </c>
      <c r="H44" s="81">
        <f>'S3 commuting Seattle'!H51</f>
        <v>729488.70629563741</v>
      </c>
      <c r="I44" s="75" t="s">
        <v>57</v>
      </c>
      <c r="J44" s="95">
        <f t="shared" si="6"/>
        <v>1.0036701739815712E-2</v>
      </c>
      <c r="K44" s="81">
        <f t="shared" si="5"/>
        <v>7321.6605676533372</v>
      </c>
      <c r="L44" s="75"/>
      <c r="M44"/>
    </row>
    <row r="45" spans="1:13" s="32" customFormat="1" x14ac:dyDescent="0.2">
      <c r="A45" s="75"/>
      <c r="B45" s="80">
        <f>cover!$C$2</f>
        <v>2016</v>
      </c>
      <c r="C45" s="78" t="s">
        <v>486</v>
      </c>
      <c r="D45" s="75" t="s">
        <v>558</v>
      </c>
      <c r="E45" s="75" t="s">
        <v>412</v>
      </c>
      <c r="F45" s="75" t="s">
        <v>576</v>
      </c>
      <c r="G45" s="75" t="s">
        <v>358</v>
      </c>
      <c r="H45" s="81">
        <v>0</v>
      </c>
      <c r="I45" s="75" t="s">
        <v>57</v>
      </c>
      <c r="J45" s="95">
        <f t="shared" si="6"/>
        <v>8.02936139185257E-3</v>
      </c>
      <c r="K45" s="81">
        <f t="shared" si="5"/>
        <v>0</v>
      </c>
      <c r="L45" s="75"/>
      <c r="M45"/>
    </row>
    <row r="46" spans="1:13" s="32" customFormat="1" x14ac:dyDescent="0.2">
      <c r="A46" s="75"/>
      <c r="B46" s="80">
        <f>cover!$C$2</f>
        <v>2016</v>
      </c>
      <c r="C46" s="78" t="s">
        <v>486</v>
      </c>
      <c r="D46" s="75" t="s">
        <v>558</v>
      </c>
      <c r="E46" s="75" t="s">
        <v>412</v>
      </c>
      <c r="F46" s="75" t="s">
        <v>576</v>
      </c>
      <c r="G46" s="75" t="s">
        <v>25</v>
      </c>
      <c r="H46" s="81">
        <v>0</v>
      </c>
      <c r="I46" s="75" t="s">
        <v>28</v>
      </c>
      <c r="J46" s="95">
        <f t="shared" si="6"/>
        <v>5.3019400848378388E-3</v>
      </c>
      <c r="K46" s="81">
        <f t="shared" si="5"/>
        <v>0</v>
      </c>
      <c r="L46" s="75"/>
      <c r="M46"/>
    </row>
    <row r="47" spans="1:13" s="32" customFormat="1" x14ac:dyDescent="0.2">
      <c r="A47" s="75"/>
      <c r="B47" s="80">
        <f>cover!$C$2</f>
        <v>2016</v>
      </c>
      <c r="C47" s="78" t="s">
        <v>486</v>
      </c>
      <c r="D47" s="75" t="s">
        <v>558</v>
      </c>
      <c r="E47" s="75" t="s">
        <v>412</v>
      </c>
      <c r="F47" s="75" t="s">
        <v>576</v>
      </c>
      <c r="G47" s="75" t="s">
        <v>495</v>
      </c>
      <c r="H47" s="81">
        <f>'S3 commuting Seattle'!G55</f>
        <v>1295.849526527827</v>
      </c>
      <c r="I47" s="75" t="s">
        <v>216</v>
      </c>
      <c r="J47" s="95">
        <f t="shared" si="6"/>
        <v>0</v>
      </c>
      <c r="K47" s="81">
        <f t="shared" si="5"/>
        <v>0</v>
      </c>
      <c r="L47" s="75"/>
      <c r="M47"/>
    </row>
    <row r="48" spans="1:13" s="32" customFormat="1" x14ac:dyDescent="0.2">
      <c r="A48" s="75"/>
      <c r="B48" s="80">
        <f>cover!$C$2</f>
        <v>2016</v>
      </c>
      <c r="C48" s="78" t="s">
        <v>486</v>
      </c>
      <c r="D48" s="75" t="s">
        <v>558</v>
      </c>
      <c r="E48" s="75" t="s">
        <v>412</v>
      </c>
      <c r="F48" s="75" t="s">
        <v>577</v>
      </c>
      <c r="G48" s="75" t="s">
        <v>359</v>
      </c>
      <c r="H48" s="81">
        <f>'S3 commuting Seattle'!H46</f>
        <v>395632.52024175099</v>
      </c>
      <c r="I48" s="75" t="s">
        <v>57</v>
      </c>
      <c r="J48" s="95">
        <f t="shared" si="6"/>
        <v>8.7698354267190717E-3</v>
      </c>
      <c r="K48" s="81">
        <f t="shared" si="5"/>
        <v>3469.6320919782579</v>
      </c>
      <c r="L48" s="75"/>
      <c r="M48"/>
    </row>
    <row r="49" spans="1:13" s="32" customFormat="1" x14ac:dyDescent="0.2">
      <c r="A49" s="75"/>
      <c r="B49" s="80">
        <f>cover!$C$2</f>
        <v>2016</v>
      </c>
      <c r="C49" s="78" t="s">
        <v>486</v>
      </c>
      <c r="D49" s="75" t="s">
        <v>558</v>
      </c>
      <c r="E49" s="75" t="s">
        <v>412</v>
      </c>
      <c r="F49" s="75" t="s">
        <v>577</v>
      </c>
      <c r="G49" s="75" t="s">
        <v>357</v>
      </c>
      <c r="H49" s="81">
        <f>'S3 commuting Seattle'!H50</f>
        <v>153603.82418725398</v>
      </c>
      <c r="I49" s="75" t="s">
        <v>57</v>
      </c>
      <c r="J49" s="95">
        <f t="shared" si="6"/>
        <v>1.0036701739815712E-2</v>
      </c>
      <c r="K49" s="81">
        <f t="shared" si="5"/>
        <v>1541.6757694625589</v>
      </c>
      <c r="L49" s="75"/>
      <c r="M49"/>
    </row>
    <row r="50" spans="1:13" s="32" customFormat="1" x14ac:dyDescent="0.2">
      <c r="A50" s="75"/>
      <c r="B50" s="80">
        <f>cover!$C$2</f>
        <v>2016</v>
      </c>
      <c r="C50" s="78" t="s">
        <v>486</v>
      </c>
      <c r="D50" s="75" t="s">
        <v>558</v>
      </c>
      <c r="E50" s="75" t="s">
        <v>412</v>
      </c>
      <c r="F50" s="75" t="s">
        <v>577</v>
      </c>
      <c r="G50" s="75" t="s">
        <v>358</v>
      </c>
      <c r="H50" s="81">
        <v>0</v>
      </c>
      <c r="I50" s="75" t="s">
        <v>57</v>
      </c>
      <c r="J50" s="95">
        <f t="shared" si="6"/>
        <v>8.02936139185257E-3</v>
      </c>
      <c r="K50" s="81">
        <f t="shared" si="5"/>
        <v>0</v>
      </c>
      <c r="L50" s="75"/>
      <c r="M50"/>
    </row>
    <row r="51" spans="1:13" s="32" customFormat="1" x14ac:dyDescent="0.2">
      <c r="A51" s="75"/>
      <c r="B51" s="80">
        <f>cover!$C$2</f>
        <v>2016</v>
      </c>
      <c r="C51" s="78" t="s">
        <v>486</v>
      </c>
      <c r="D51" s="75" t="s">
        <v>558</v>
      </c>
      <c r="E51" s="75" t="s">
        <v>412</v>
      </c>
      <c r="F51" s="75" t="s">
        <v>577</v>
      </c>
      <c r="G51" s="75" t="s">
        <v>25</v>
      </c>
      <c r="H51" s="81">
        <v>0</v>
      </c>
      <c r="I51" s="75" t="s">
        <v>28</v>
      </c>
      <c r="J51" s="95">
        <f t="shared" si="6"/>
        <v>5.3019400848378388E-3</v>
      </c>
      <c r="K51" s="81">
        <f t="shared" si="5"/>
        <v>0</v>
      </c>
      <c r="L51" s="75"/>
      <c r="M51"/>
    </row>
    <row r="52" spans="1:13" s="32" customFormat="1" x14ac:dyDescent="0.2">
      <c r="A52" s="75"/>
      <c r="B52" s="80">
        <f>cover!$C$2</f>
        <v>2016</v>
      </c>
      <c r="C52" s="78" t="s">
        <v>486</v>
      </c>
      <c r="D52" s="75" t="s">
        <v>558</v>
      </c>
      <c r="E52" s="75" t="s">
        <v>412</v>
      </c>
      <c r="F52" s="75" t="s">
        <v>577</v>
      </c>
      <c r="G52" s="75" t="s">
        <v>495</v>
      </c>
      <c r="H52" s="81">
        <f>'S3 commuting Seattle'!G54</f>
        <v>370.91752909140143</v>
      </c>
      <c r="I52" s="75" t="s">
        <v>216</v>
      </c>
      <c r="J52" s="95">
        <f t="shared" si="6"/>
        <v>0</v>
      </c>
      <c r="K52" s="81">
        <f t="shared" si="5"/>
        <v>0</v>
      </c>
      <c r="L52" s="75"/>
      <c r="M52"/>
    </row>
    <row r="53" spans="1:13" s="32" customFormat="1" x14ac:dyDescent="0.2">
      <c r="A53" s="75"/>
      <c r="B53" s="80">
        <f>cover!$C$2</f>
        <v>2016</v>
      </c>
      <c r="C53" s="78" t="s">
        <v>486</v>
      </c>
      <c r="D53" s="75" t="s">
        <v>558</v>
      </c>
      <c r="E53" s="75" t="s">
        <v>480</v>
      </c>
      <c r="F53" s="75" t="s">
        <v>559</v>
      </c>
      <c r="G53" s="75" t="s">
        <v>359</v>
      </c>
      <c r="H53" s="81">
        <f>'S3 commuting Bothell'!C7</f>
        <v>115486.45610194527</v>
      </c>
      <c r="I53" s="75" t="s">
        <v>57</v>
      </c>
      <c r="J53" s="95">
        <f t="shared" si="6"/>
        <v>8.7698354267190717E-3</v>
      </c>
      <c r="K53" s="81">
        <f t="shared" ref="K53:K61" si="7">H53*J53</f>
        <v>1012.7972140290765</v>
      </c>
      <c r="L53" s="75"/>
      <c r="M53"/>
    </row>
    <row r="54" spans="1:13" s="32" customFormat="1" x14ac:dyDescent="0.2">
      <c r="A54" s="75"/>
      <c r="B54" s="80">
        <f>cover!$C$2</f>
        <v>2016</v>
      </c>
      <c r="C54" s="78" t="s">
        <v>486</v>
      </c>
      <c r="D54" s="75" t="s">
        <v>558</v>
      </c>
      <c r="E54" s="75" t="s">
        <v>480</v>
      </c>
      <c r="F54" s="75" t="s">
        <v>559</v>
      </c>
      <c r="G54" s="75" t="s">
        <v>357</v>
      </c>
      <c r="H54" s="81">
        <f>'S3 commuting Bothell'!C8</f>
        <v>144713.29383058762</v>
      </c>
      <c r="I54" s="75" t="s">
        <v>57</v>
      </c>
      <c r="J54" s="95">
        <f t="shared" si="6"/>
        <v>1.0036701739815712E-2</v>
      </c>
      <c r="K54" s="81">
        <f t="shared" si="7"/>
        <v>1452.4441679639212</v>
      </c>
      <c r="L54" s="75"/>
      <c r="M54"/>
    </row>
    <row r="55" spans="1:13" s="32" customFormat="1" ht="14.25" x14ac:dyDescent="0.2">
      <c r="A55" s="75"/>
      <c r="B55" s="80">
        <f>cover!$C$2</f>
        <v>2016</v>
      </c>
      <c r="C55" s="78" t="s">
        <v>486</v>
      </c>
      <c r="D55" s="75" t="s">
        <v>558</v>
      </c>
      <c r="E55" s="75" t="s">
        <v>480</v>
      </c>
      <c r="F55" s="75" t="s">
        <v>576</v>
      </c>
      <c r="G55" s="75" t="s">
        <v>666</v>
      </c>
      <c r="H55" s="81">
        <f>'S3 commuting Bothell'!C18</f>
        <v>531.46153846153845</v>
      </c>
      <c r="I55" s="75" t="s">
        <v>664</v>
      </c>
      <c r="J55" s="95">
        <f t="shared" si="6"/>
        <v>1</v>
      </c>
      <c r="K55" s="81">
        <f t="shared" si="7"/>
        <v>531.46153846153845</v>
      </c>
      <c r="L55" s="75"/>
      <c r="M55"/>
    </row>
    <row r="56" spans="1:13" s="32" customFormat="1" ht="14.25" x14ac:dyDescent="0.2">
      <c r="A56" s="75"/>
      <c r="B56" s="80">
        <f>cover!$C$2</f>
        <v>2016</v>
      </c>
      <c r="C56" s="78" t="s">
        <v>486</v>
      </c>
      <c r="D56" s="75" t="s">
        <v>558</v>
      </c>
      <c r="E56" s="75" t="s">
        <v>480</v>
      </c>
      <c r="F56" s="75" t="s">
        <v>577</v>
      </c>
      <c r="G56" s="75" t="s">
        <v>666</v>
      </c>
      <c r="H56" s="81">
        <f>'S3 commuting Bothell'!C19</f>
        <v>581.53846153846155</v>
      </c>
      <c r="I56" s="75" t="s">
        <v>664</v>
      </c>
      <c r="J56" s="95">
        <f t="shared" si="6"/>
        <v>1</v>
      </c>
      <c r="K56" s="81">
        <f t="shared" si="7"/>
        <v>581.53846153846155</v>
      </c>
      <c r="L56" s="75"/>
      <c r="M56"/>
    </row>
    <row r="57" spans="1:13" s="32" customFormat="1" x14ac:dyDescent="0.2">
      <c r="A57" s="75"/>
      <c r="B57" s="80">
        <f>cover!$C$2</f>
        <v>2016</v>
      </c>
      <c r="C57" s="78" t="s">
        <v>486</v>
      </c>
      <c r="D57" s="75" t="s">
        <v>558</v>
      </c>
      <c r="E57" s="75" t="s">
        <v>481</v>
      </c>
      <c r="F57" s="75" t="s">
        <v>559</v>
      </c>
      <c r="G57" s="75" t="s">
        <v>359</v>
      </c>
      <c r="H57" s="81">
        <f>'S3 commuting Tacoma'!C7</f>
        <v>53229.792422175102</v>
      </c>
      <c r="I57" s="75" t="s">
        <v>57</v>
      </c>
      <c r="J57" s="95">
        <f t="shared" si="6"/>
        <v>8.7698354267190717E-3</v>
      </c>
      <c r="K57" s="81">
        <f t="shared" si="7"/>
        <v>466.81651934089359</v>
      </c>
      <c r="L57" s="75"/>
      <c r="M57"/>
    </row>
    <row r="58" spans="1:13" s="32" customFormat="1" x14ac:dyDescent="0.2">
      <c r="A58" s="75"/>
      <c r="B58" s="80">
        <f>cover!$C$2</f>
        <v>2016</v>
      </c>
      <c r="C58" s="78" t="s">
        <v>486</v>
      </c>
      <c r="D58" s="75" t="s">
        <v>558</v>
      </c>
      <c r="E58" s="75" t="s">
        <v>481</v>
      </c>
      <c r="F58" s="75" t="s">
        <v>559</v>
      </c>
      <c r="G58" s="75" t="s">
        <v>357</v>
      </c>
      <c r="H58" s="81">
        <f>'S3 commuting Tacoma'!C8</f>
        <v>66700.969545134925</v>
      </c>
      <c r="I58" s="75" t="s">
        <v>57</v>
      </c>
      <c r="J58" s="95">
        <f t="shared" si="6"/>
        <v>1.0036701739815712E-2</v>
      </c>
      <c r="K58" s="81">
        <f t="shared" si="7"/>
        <v>669.4577370810506</v>
      </c>
      <c r="L58" s="75"/>
      <c r="M58"/>
    </row>
    <row r="59" spans="1:13" s="32" customFormat="1" ht="14.25" x14ac:dyDescent="0.2">
      <c r="A59" s="75"/>
      <c r="B59" s="80">
        <f>cover!$C$2</f>
        <v>2016</v>
      </c>
      <c r="C59" s="78" t="s">
        <v>486</v>
      </c>
      <c r="D59" s="75" t="s">
        <v>558</v>
      </c>
      <c r="E59" s="75" t="s">
        <v>481</v>
      </c>
      <c r="F59" s="75" t="s">
        <v>576</v>
      </c>
      <c r="G59" s="75" t="s">
        <v>666</v>
      </c>
      <c r="H59" s="81">
        <f>'S3 commuting Tacoma'!C18</f>
        <v>866.77365728900259</v>
      </c>
      <c r="I59" s="75" t="s">
        <v>664</v>
      </c>
      <c r="J59" s="95">
        <f t="shared" si="6"/>
        <v>1</v>
      </c>
      <c r="K59" s="81">
        <f t="shared" si="7"/>
        <v>866.77365728900259</v>
      </c>
      <c r="L59" s="75"/>
      <c r="M59"/>
    </row>
    <row r="60" spans="1:13" s="32" customFormat="1" ht="14.25" x14ac:dyDescent="0.2">
      <c r="A60" s="75"/>
      <c r="B60" s="80">
        <f>cover!$C$2</f>
        <v>2016</v>
      </c>
      <c r="C60" s="78" t="s">
        <v>486</v>
      </c>
      <c r="D60" s="75" t="s">
        <v>558</v>
      </c>
      <c r="E60" s="75" t="s">
        <v>481</v>
      </c>
      <c r="F60" s="75" t="s">
        <v>577</v>
      </c>
      <c r="G60" s="75" t="s">
        <v>666</v>
      </c>
      <c r="H60" s="81">
        <f>'S3 commuting Tacoma'!C19</f>
        <v>670.22634271099741</v>
      </c>
      <c r="I60" s="75" t="s">
        <v>664</v>
      </c>
      <c r="J60" s="95">
        <f t="shared" si="6"/>
        <v>1</v>
      </c>
      <c r="K60" s="81">
        <f t="shared" si="7"/>
        <v>670.22634271099741</v>
      </c>
      <c r="L60" s="75"/>
      <c r="M60"/>
    </row>
    <row r="61" spans="1:13" s="33" customFormat="1" x14ac:dyDescent="0.2">
      <c r="A61" s="75"/>
      <c r="B61" s="80">
        <f>cover!$C$2</f>
        <v>2016</v>
      </c>
      <c r="C61" s="78" t="s">
        <v>484</v>
      </c>
      <c r="D61" s="75" t="s">
        <v>479</v>
      </c>
      <c r="E61" s="75" t="s">
        <v>412</v>
      </c>
      <c r="F61" s="75" t="s">
        <v>356</v>
      </c>
      <c r="G61" s="75" t="s">
        <v>740</v>
      </c>
      <c r="H61" s="81">
        <f>'S1 mobile'!R10</f>
        <v>55209.600000000013</v>
      </c>
      <c r="I61" s="75" t="s">
        <v>57</v>
      </c>
      <c r="J61" s="95">
        <v>1.7099999999999999E-3</v>
      </c>
      <c r="K61" s="81">
        <f t="shared" si="7"/>
        <v>94.408416000000017</v>
      </c>
      <c r="L61" s="75" t="s">
        <v>742</v>
      </c>
    </row>
    <row r="62" spans="1:13" x14ac:dyDescent="0.2">
      <c r="A62" s="75"/>
      <c r="B62" s="75"/>
      <c r="C62" s="75"/>
      <c r="D62" s="75"/>
      <c r="E62" s="75"/>
      <c r="F62" s="75"/>
      <c r="G62" s="75"/>
      <c r="H62" s="75"/>
      <c r="I62" s="75"/>
      <c r="J62" s="75"/>
      <c r="K62" s="75"/>
      <c r="L62" s="75"/>
    </row>
    <row r="63" spans="1:13" x14ac:dyDescent="0.2">
      <c r="A63" s="75"/>
      <c r="B63" s="75"/>
      <c r="C63" s="75"/>
      <c r="D63" s="75"/>
      <c r="E63" s="75"/>
      <c r="F63" s="75"/>
      <c r="G63" s="75"/>
      <c r="H63" s="75"/>
      <c r="I63" s="75"/>
      <c r="J63" s="75"/>
      <c r="K63" s="75"/>
      <c r="L63" s="75"/>
    </row>
    <row r="64" spans="1:13" x14ac:dyDescent="0.2">
      <c r="A64" s="75"/>
      <c r="B64" s="75"/>
      <c r="C64" s="75"/>
      <c r="D64" s="75"/>
      <c r="E64" s="75"/>
      <c r="F64" s="75"/>
      <c r="G64" s="75"/>
      <c r="H64" s="75"/>
      <c r="I64" s="75"/>
      <c r="J64" s="75"/>
      <c r="K64" s="75"/>
      <c r="L64" s="75"/>
    </row>
    <row r="65" spans="1:12" x14ac:dyDescent="0.2">
      <c r="A65" s="75"/>
      <c r="B65" s="75"/>
      <c r="C65" s="75"/>
      <c r="D65" s="75"/>
      <c r="E65" s="75"/>
      <c r="F65" s="75"/>
      <c r="G65" s="75"/>
      <c r="H65" s="75"/>
      <c r="I65" s="75"/>
      <c r="J65" s="75"/>
      <c r="K65" s="75"/>
      <c r="L65" s="75"/>
    </row>
    <row r="66" spans="1:12" x14ac:dyDescent="0.2">
      <c r="A66" s="75"/>
      <c r="B66" s="75"/>
      <c r="C66" s="75"/>
      <c r="D66" s="75"/>
      <c r="E66" s="75"/>
      <c r="F66" s="75"/>
      <c r="G66" s="75"/>
      <c r="H66" s="75"/>
      <c r="I66" s="75"/>
      <c r="J66" s="75"/>
      <c r="K66" s="75"/>
      <c r="L66" s="75"/>
    </row>
    <row r="67" spans="1:12" x14ac:dyDescent="0.2">
      <c r="A67" s="75"/>
      <c r="B67" s="75"/>
      <c r="C67" s="75"/>
      <c r="D67" s="75"/>
      <c r="E67" s="75"/>
      <c r="F67" s="75"/>
      <c r="G67" s="75"/>
      <c r="H67" s="75"/>
      <c r="I67" s="75"/>
      <c r="J67" s="75"/>
      <c r="K67" s="75"/>
      <c r="L67" s="75"/>
    </row>
    <row r="68" spans="1:12" x14ac:dyDescent="0.2">
      <c r="A68" s="75"/>
      <c r="B68" s="75"/>
      <c r="C68" s="75"/>
      <c r="D68" s="75"/>
      <c r="E68" s="75"/>
      <c r="F68" s="75"/>
      <c r="G68" s="75"/>
      <c r="H68" s="75"/>
      <c r="I68" s="75"/>
      <c r="J68" s="75"/>
      <c r="K68" s="75"/>
      <c r="L68" s="75"/>
    </row>
    <row r="69" spans="1:12" x14ac:dyDescent="0.2">
      <c r="A69" s="75"/>
      <c r="B69" s="75"/>
      <c r="C69" s="75"/>
      <c r="D69" s="75"/>
      <c r="E69" s="75"/>
      <c r="F69" s="75"/>
      <c r="G69" s="75"/>
      <c r="H69" s="75"/>
      <c r="I69" s="75"/>
      <c r="J69" s="75"/>
      <c r="K69" s="75"/>
      <c r="L69" s="75"/>
    </row>
    <row r="70" spans="1:12" x14ac:dyDescent="0.2">
      <c r="A70" s="75"/>
      <c r="B70" s="75"/>
      <c r="C70" s="75"/>
      <c r="D70" s="75"/>
      <c r="E70" s="75"/>
      <c r="F70" s="75"/>
      <c r="G70" s="75"/>
      <c r="H70" s="75"/>
      <c r="I70" s="75"/>
      <c r="J70" s="75"/>
      <c r="K70" s="75"/>
      <c r="L70" s="75"/>
    </row>
    <row r="71" spans="1:12" x14ac:dyDescent="0.2">
      <c r="A71" s="75"/>
      <c r="B71" s="75"/>
      <c r="C71" s="75"/>
      <c r="D71" s="75"/>
      <c r="E71" s="75"/>
      <c r="F71" s="75"/>
      <c r="G71" s="75"/>
      <c r="H71" s="75"/>
      <c r="I71" s="75"/>
      <c r="J71" s="75"/>
      <c r="K71" s="75"/>
      <c r="L71" s="75"/>
    </row>
    <row r="82" spans="2:11" x14ac:dyDescent="0.2">
      <c r="B82" s="54"/>
      <c r="C82" s="54" t="s">
        <v>589</v>
      </c>
      <c r="D82" s="54"/>
      <c r="E82" s="54"/>
      <c r="F82" s="54"/>
      <c r="G82" s="54"/>
      <c r="H82" s="54"/>
      <c r="I82" s="54"/>
      <c r="J82" s="54"/>
      <c r="K82" s="54"/>
    </row>
    <row r="83" spans="2:11" x14ac:dyDescent="0.2">
      <c r="J83" s="56" t="s">
        <v>584</v>
      </c>
      <c r="K83" s="39">
        <f>SUM(K6:K82)</f>
        <v>182150.63608551098</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103"/>
  <sheetViews>
    <sheetView topLeftCell="A25" workbookViewId="0">
      <selection activeCell="C38" sqref="C38"/>
    </sheetView>
  </sheetViews>
  <sheetFormatPr defaultRowHeight="12.75" x14ac:dyDescent="0.2"/>
  <cols>
    <col min="1" max="1" width="1.7109375" style="33" customWidth="1"/>
    <col min="2" max="2" width="7.7109375" style="33" customWidth="1"/>
    <col min="3" max="3" width="50.7109375" style="33" customWidth="1"/>
    <col min="4" max="4" width="55.7109375" style="33" customWidth="1"/>
    <col min="5" max="5" width="10.7109375" style="33" customWidth="1"/>
    <col min="6" max="16384" width="9.140625" style="33"/>
  </cols>
  <sheetData>
    <row r="1" spans="1:9" s="20" customFormat="1" ht="31.5" x14ac:dyDescent="0.2">
      <c r="A1" s="33"/>
      <c r="B1" s="2" t="s">
        <v>393</v>
      </c>
      <c r="C1" s="2"/>
      <c r="D1" s="21"/>
      <c r="E1" s="21"/>
    </row>
    <row r="3" spans="1:9" ht="13.5" x14ac:dyDescent="0.25">
      <c r="B3" s="59" t="s">
        <v>374</v>
      </c>
      <c r="C3" s="59" t="s">
        <v>375</v>
      </c>
      <c r="D3" s="59" t="s">
        <v>376</v>
      </c>
      <c r="E3" s="59" t="s">
        <v>377</v>
      </c>
    </row>
    <row r="4" spans="1:9" x14ac:dyDescent="0.2">
      <c r="B4" s="12" t="s">
        <v>468</v>
      </c>
      <c r="C4" s="34"/>
      <c r="D4" s="34"/>
      <c r="E4" s="175"/>
    </row>
    <row r="5" spans="1:9" x14ac:dyDescent="0.2">
      <c r="B5" s="12" t="s">
        <v>405</v>
      </c>
      <c r="C5" s="34" t="s">
        <v>378</v>
      </c>
      <c r="D5" s="34" t="s">
        <v>379</v>
      </c>
      <c r="E5" s="175">
        <v>41488</v>
      </c>
      <c r="F5" s="72"/>
      <c r="G5" s="72"/>
      <c r="H5" s="72"/>
      <c r="I5" s="72"/>
    </row>
    <row r="6" spans="1:9" x14ac:dyDescent="0.2">
      <c r="B6" s="12" t="s">
        <v>394</v>
      </c>
      <c r="C6" s="34" t="s">
        <v>615</v>
      </c>
      <c r="D6" s="34" t="s">
        <v>614</v>
      </c>
      <c r="E6" s="175">
        <v>42144</v>
      </c>
      <c r="F6" s="72"/>
      <c r="G6" s="72"/>
      <c r="H6" s="72"/>
      <c r="I6" s="72"/>
    </row>
    <row r="7" spans="1:9" x14ac:dyDescent="0.2">
      <c r="B7" s="12" t="s">
        <v>395</v>
      </c>
      <c r="C7" s="34"/>
      <c r="D7" s="34" t="s">
        <v>379</v>
      </c>
      <c r="E7" s="175">
        <v>41528</v>
      </c>
      <c r="F7" s="72"/>
      <c r="G7" s="72"/>
      <c r="H7" s="72"/>
      <c r="I7" s="72"/>
    </row>
    <row r="8" spans="1:9" ht="25.5" x14ac:dyDescent="0.2">
      <c r="B8" s="12" t="s">
        <v>396</v>
      </c>
      <c r="C8" s="34" t="s">
        <v>380</v>
      </c>
      <c r="D8" s="34" t="s">
        <v>381</v>
      </c>
      <c r="E8" s="175">
        <v>41529</v>
      </c>
      <c r="F8" s="72"/>
      <c r="G8" s="72"/>
      <c r="H8" s="72"/>
      <c r="I8" s="72"/>
    </row>
    <row r="9" spans="1:9" x14ac:dyDescent="0.2">
      <c r="B9" s="12" t="s">
        <v>397</v>
      </c>
      <c r="C9" s="34"/>
      <c r="D9" s="34" t="s">
        <v>379</v>
      </c>
      <c r="E9" s="175">
        <v>41481</v>
      </c>
      <c r="F9" s="72"/>
      <c r="G9" s="72"/>
      <c r="H9" s="72"/>
      <c r="I9" s="72"/>
    </row>
    <row r="10" spans="1:9" x14ac:dyDescent="0.2">
      <c r="B10" s="12" t="s">
        <v>398</v>
      </c>
      <c r="C10" s="34" t="s">
        <v>382</v>
      </c>
      <c r="D10" s="34" t="s">
        <v>383</v>
      </c>
      <c r="E10" s="175">
        <v>41547</v>
      </c>
      <c r="F10" s="72"/>
      <c r="G10" s="72"/>
      <c r="H10" s="72"/>
      <c r="I10" s="72"/>
    </row>
    <row r="11" spans="1:9" ht="25.5" x14ac:dyDescent="0.2">
      <c r="B11" s="12" t="s">
        <v>399</v>
      </c>
      <c r="C11" s="34" t="s">
        <v>720</v>
      </c>
      <c r="D11" s="34"/>
      <c r="E11" s="175"/>
      <c r="F11" s="72"/>
      <c r="G11" s="72"/>
      <c r="H11" s="72"/>
      <c r="I11" s="72"/>
    </row>
    <row r="12" spans="1:9" ht="25.5" x14ac:dyDescent="0.2">
      <c r="B12" s="12" t="s">
        <v>400</v>
      </c>
      <c r="C12" s="34" t="s">
        <v>721</v>
      </c>
      <c r="D12" s="34" t="s">
        <v>385</v>
      </c>
      <c r="E12" s="175"/>
      <c r="F12" s="72"/>
      <c r="G12" s="72"/>
      <c r="H12" s="72"/>
      <c r="I12" s="72"/>
    </row>
    <row r="13" spans="1:9" x14ac:dyDescent="0.2">
      <c r="B13" s="12" t="s">
        <v>401</v>
      </c>
      <c r="C13" s="34" t="s">
        <v>384</v>
      </c>
      <c r="D13" s="34" t="s">
        <v>385</v>
      </c>
      <c r="E13" s="175">
        <v>41585</v>
      </c>
      <c r="F13" s="72"/>
      <c r="G13" s="72"/>
      <c r="H13" s="72"/>
      <c r="I13" s="72"/>
    </row>
    <row r="14" spans="1:9" x14ac:dyDescent="0.2">
      <c r="B14" s="12" t="s">
        <v>402</v>
      </c>
      <c r="C14" s="34"/>
      <c r="D14" s="34" t="s">
        <v>386</v>
      </c>
      <c r="E14" s="175">
        <v>41425</v>
      </c>
      <c r="F14" s="72"/>
      <c r="G14" s="72"/>
      <c r="H14" s="72"/>
      <c r="I14" s="72"/>
    </row>
    <row r="15" spans="1:9" x14ac:dyDescent="0.2">
      <c r="B15" s="12" t="s">
        <v>403</v>
      </c>
      <c r="C15" s="34" t="s">
        <v>387</v>
      </c>
      <c r="D15" s="34"/>
      <c r="E15" s="175"/>
      <c r="F15" s="72"/>
      <c r="G15" s="72"/>
      <c r="H15" s="72"/>
      <c r="I15" s="72"/>
    </row>
    <row r="16" spans="1:9" x14ac:dyDescent="0.2">
      <c r="B16" s="12" t="s">
        <v>404</v>
      </c>
      <c r="C16" s="34" t="s">
        <v>388</v>
      </c>
      <c r="D16" s="34"/>
      <c r="E16" s="175"/>
      <c r="F16" s="72"/>
      <c r="G16" s="72"/>
      <c r="H16" s="72"/>
      <c r="I16" s="72"/>
    </row>
    <row r="17" spans="2:9" x14ac:dyDescent="0.2">
      <c r="B17" s="12" t="s">
        <v>439</v>
      </c>
      <c r="C17" s="34" t="s">
        <v>457</v>
      </c>
      <c r="D17" s="34" t="s">
        <v>458</v>
      </c>
      <c r="E17" s="175">
        <v>41625</v>
      </c>
      <c r="F17" s="72"/>
      <c r="G17" s="72"/>
      <c r="H17" s="72"/>
      <c r="I17" s="72"/>
    </row>
    <row r="18" spans="2:9" ht="25.5" x14ac:dyDescent="0.2">
      <c r="B18" s="12" t="s">
        <v>475</v>
      </c>
      <c r="C18" s="34" t="s">
        <v>476</v>
      </c>
      <c r="D18" s="34" t="s">
        <v>477</v>
      </c>
      <c r="E18" s="175">
        <v>41626</v>
      </c>
      <c r="F18" s="72"/>
      <c r="G18" s="72"/>
      <c r="H18" s="72"/>
      <c r="I18" s="72"/>
    </row>
    <row r="19" spans="2:9" ht="25.5" x14ac:dyDescent="0.2">
      <c r="B19" s="12" t="s">
        <v>538</v>
      </c>
      <c r="C19" s="34" t="s">
        <v>612</v>
      </c>
      <c r="D19" s="34" t="s">
        <v>613</v>
      </c>
      <c r="E19" s="175">
        <v>41760</v>
      </c>
      <c r="F19" s="72"/>
      <c r="G19" s="72"/>
      <c r="H19" s="72"/>
      <c r="I19" s="72"/>
    </row>
    <row r="20" spans="2:9" ht="25.5" x14ac:dyDescent="0.2">
      <c r="B20" s="12" t="s">
        <v>539</v>
      </c>
      <c r="C20" s="34" t="s">
        <v>722</v>
      </c>
      <c r="D20" s="34"/>
      <c r="E20" s="175"/>
      <c r="F20" s="72"/>
      <c r="G20" s="72"/>
      <c r="H20" s="72"/>
      <c r="I20" s="72"/>
    </row>
    <row r="21" spans="2:9" ht="25.5" x14ac:dyDescent="0.2">
      <c r="B21" s="12" t="s">
        <v>550</v>
      </c>
      <c r="C21" s="34" t="s">
        <v>622</v>
      </c>
      <c r="D21" s="34" t="s">
        <v>551</v>
      </c>
      <c r="E21" s="175">
        <v>42159</v>
      </c>
      <c r="F21" s="66"/>
      <c r="G21" s="72"/>
      <c r="H21" s="72"/>
      <c r="I21" s="72"/>
    </row>
    <row r="22" spans="2:9" ht="25.5" x14ac:dyDescent="0.2">
      <c r="B22" s="12" t="s">
        <v>566</v>
      </c>
      <c r="C22" s="34" t="s">
        <v>567</v>
      </c>
      <c r="D22" s="34" t="s">
        <v>568</v>
      </c>
      <c r="E22" s="175">
        <v>41648</v>
      </c>
      <c r="F22" s="72"/>
      <c r="G22" s="72"/>
      <c r="H22" s="72"/>
      <c r="I22" s="72"/>
    </row>
    <row r="23" spans="2:9" ht="25.5" x14ac:dyDescent="0.2">
      <c r="B23" s="12" t="s">
        <v>569</v>
      </c>
      <c r="C23" s="34" t="s">
        <v>572</v>
      </c>
      <c r="D23" s="34" t="s">
        <v>573</v>
      </c>
      <c r="E23" s="175">
        <v>41648</v>
      </c>
      <c r="F23" s="72"/>
      <c r="G23" s="72"/>
      <c r="H23" s="72"/>
      <c r="I23" s="72"/>
    </row>
    <row r="24" spans="2:9" ht="25.5" x14ac:dyDescent="0.2">
      <c r="B24" s="12" t="s">
        <v>570</v>
      </c>
      <c r="C24" s="34" t="s">
        <v>571</v>
      </c>
      <c r="D24" s="34" t="s">
        <v>574</v>
      </c>
      <c r="E24" s="175">
        <v>41648</v>
      </c>
      <c r="F24" s="72"/>
      <c r="G24" s="72"/>
      <c r="H24" s="72"/>
      <c r="I24" s="72"/>
    </row>
    <row r="25" spans="2:9" x14ac:dyDescent="0.2">
      <c r="B25" s="12" t="s">
        <v>616</v>
      </c>
      <c r="C25" s="34" t="s">
        <v>617</v>
      </c>
      <c r="D25" s="34" t="s">
        <v>618</v>
      </c>
      <c r="E25" s="175">
        <v>42145</v>
      </c>
      <c r="F25" s="72"/>
      <c r="G25" s="72"/>
      <c r="H25" s="72"/>
      <c r="I25" s="72"/>
    </row>
    <row r="26" spans="2:9" x14ac:dyDescent="0.2">
      <c r="B26" s="12" t="s">
        <v>619</v>
      </c>
      <c r="C26" s="34" t="s">
        <v>620</v>
      </c>
      <c r="D26" s="34" t="s">
        <v>621</v>
      </c>
      <c r="E26" s="175">
        <v>42152</v>
      </c>
      <c r="F26" s="72"/>
      <c r="G26" s="72"/>
      <c r="H26" s="72"/>
      <c r="I26" s="72"/>
    </row>
    <row r="27" spans="2:9" ht="25.5" x14ac:dyDescent="0.2">
      <c r="B27" s="12" t="s">
        <v>623</v>
      </c>
      <c r="C27" s="34" t="s">
        <v>625</v>
      </c>
      <c r="D27" s="34" t="s">
        <v>624</v>
      </c>
      <c r="E27" s="175">
        <v>42094</v>
      </c>
      <c r="F27" s="72"/>
      <c r="G27" s="72"/>
      <c r="H27" s="72"/>
      <c r="I27" s="72"/>
    </row>
    <row r="28" spans="2:9" x14ac:dyDescent="0.2">
      <c r="B28" s="12" t="s">
        <v>602</v>
      </c>
      <c r="C28" s="34"/>
      <c r="D28" s="34"/>
      <c r="E28" s="175"/>
      <c r="F28" s="72"/>
      <c r="G28" s="72"/>
      <c r="H28" s="72"/>
      <c r="I28" s="72"/>
    </row>
    <row r="29" spans="2:9" x14ac:dyDescent="0.2">
      <c r="B29" s="12" t="s">
        <v>601</v>
      </c>
      <c r="C29" s="34"/>
      <c r="D29" s="34"/>
      <c r="E29" s="175"/>
      <c r="F29" s="72"/>
      <c r="G29" s="72"/>
      <c r="H29" s="72"/>
      <c r="I29" s="72"/>
    </row>
    <row r="30" spans="2:9" x14ac:dyDescent="0.2">
      <c r="B30" s="12" t="s">
        <v>610</v>
      </c>
      <c r="C30" s="34"/>
      <c r="D30" s="34"/>
      <c r="E30" s="175"/>
      <c r="F30" s="72"/>
      <c r="G30" s="72"/>
      <c r="H30" s="72"/>
      <c r="I30" s="72"/>
    </row>
    <row r="31" spans="2:9" ht="63.75" x14ac:dyDescent="0.2">
      <c r="B31" s="12" t="s">
        <v>389</v>
      </c>
      <c r="C31" s="34" t="s">
        <v>390</v>
      </c>
      <c r="D31" s="34"/>
      <c r="E31" s="175"/>
      <c r="F31" s="72"/>
      <c r="G31" s="72"/>
      <c r="H31" s="72"/>
      <c r="I31" s="72"/>
    </row>
    <row r="32" spans="2:9" ht="51" x14ac:dyDescent="0.2">
      <c r="B32" s="12" t="s">
        <v>391</v>
      </c>
      <c r="C32" s="34" t="s">
        <v>392</v>
      </c>
      <c r="D32" s="34"/>
      <c r="E32" s="175"/>
      <c r="F32" s="72"/>
      <c r="G32" s="72"/>
      <c r="H32" s="72"/>
      <c r="I32" s="72"/>
    </row>
    <row r="33" spans="2:9" ht="51" x14ac:dyDescent="0.2">
      <c r="B33" s="12" t="s">
        <v>631</v>
      </c>
      <c r="C33" s="34" t="s">
        <v>686</v>
      </c>
      <c r="D33" s="34"/>
      <c r="E33" s="175"/>
    </row>
    <row r="34" spans="2:9" ht="63.75" x14ac:dyDescent="0.2">
      <c r="B34" s="12" t="s">
        <v>632</v>
      </c>
      <c r="C34" s="34" t="s">
        <v>685</v>
      </c>
      <c r="D34" s="34"/>
      <c r="E34" s="175"/>
    </row>
    <row r="35" spans="2:9" ht="25.5" x14ac:dyDescent="0.2">
      <c r="B35" s="12" t="s">
        <v>681</v>
      </c>
      <c r="C35" s="34" t="s">
        <v>684</v>
      </c>
      <c r="D35" s="34"/>
      <c r="E35" s="175"/>
    </row>
    <row r="36" spans="2:9" ht="25.5" x14ac:dyDescent="0.2">
      <c r="B36" s="12" t="s">
        <v>683</v>
      </c>
      <c r="C36" s="34" t="s">
        <v>688</v>
      </c>
      <c r="D36" s="34"/>
      <c r="E36" s="175"/>
    </row>
    <row r="37" spans="2:9" ht="51" x14ac:dyDescent="0.2">
      <c r="B37" s="12" t="s">
        <v>682</v>
      </c>
      <c r="C37" s="57" t="s">
        <v>687</v>
      </c>
      <c r="D37" s="34"/>
      <c r="E37" s="175"/>
    </row>
    <row r="38" spans="2:9" ht="51" x14ac:dyDescent="0.2">
      <c r="B38" s="26" t="s">
        <v>727</v>
      </c>
      <c r="C38" s="57" t="s">
        <v>735</v>
      </c>
      <c r="D38" s="34"/>
      <c r="E38" s="175"/>
      <c r="F38" s="72"/>
      <c r="G38" s="72"/>
      <c r="H38" s="72"/>
      <c r="I38" s="72"/>
    </row>
    <row r="39" spans="2:9" x14ac:dyDescent="0.2">
      <c r="B39" s="12"/>
      <c r="C39" s="34"/>
      <c r="D39" s="34"/>
      <c r="E39" s="175"/>
    </row>
    <row r="40" spans="2:9" x14ac:dyDescent="0.2">
      <c r="B40" s="12"/>
      <c r="C40" s="34"/>
      <c r="D40" s="34"/>
      <c r="E40" s="175"/>
    </row>
    <row r="41" spans="2:9" x14ac:dyDescent="0.2">
      <c r="B41" s="12"/>
      <c r="C41" s="34"/>
      <c r="D41" s="34"/>
      <c r="E41" s="175"/>
    </row>
    <row r="42" spans="2:9" x14ac:dyDescent="0.2">
      <c r="B42" s="12"/>
      <c r="C42" s="34"/>
      <c r="D42" s="34"/>
      <c r="E42" s="175"/>
    </row>
    <row r="43" spans="2:9" x14ac:dyDescent="0.2">
      <c r="B43" s="12"/>
      <c r="C43" s="34"/>
      <c r="D43" s="34"/>
      <c r="E43" s="175"/>
    </row>
    <row r="44" spans="2:9" x14ac:dyDescent="0.2">
      <c r="B44" s="12"/>
      <c r="C44" s="34"/>
      <c r="D44" s="34"/>
      <c r="E44" s="175"/>
    </row>
    <row r="45" spans="2:9" x14ac:dyDescent="0.2">
      <c r="B45" s="12"/>
      <c r="C45" s="34"/>
      <c r="D45" s="34"/>
      <c r="E45" s="175"/>
    </row>
    <row r="46" spans="2:9" x14ac:dyDescent="0.2">
      <c r="B46" s="12"/>
      <c r="C46" s="34"/>
      <c r="D46" s="34"/>
      <c r="E46" s="175"/>
    </row>
    <row r="47" spans="2:9" x14ac:dyDescent="0.2">
      <c r="B47" s="12"/>
      <c r="C47" s="34"/>
      <c r="D47" s="34"/>
      <c r="E47" s="175"/>
    </row>
    <row r="48" spans="2:9" x14ac:dyDescent="0.2">
      <c r="B48" s="12"/>
      <c r="C48" s="34"/>
      <c r="D48" s="34"/>
      <c r="E48" s="175"/>
    </row>
    <row r="49" spans="2:5" x14ac:dyDescent="0.2">
      <c r="B49" s="12"/>
      <c r="C49" s="34"/>
      <c r="D49" s="34"/>
      <c r="E49" s="175"/>
    </row>
    <row r="50" spans="2:5" x14ac:dyDescent="0.2">
      <c r="B50" s="12"/>
      <c r="C50" s="34"/>
      <c r="D50" s="34"/>
      <c r="E50" s="175"/>
    </row>
    <row r="51" spans="2:5" x14ac:dyDescent="0.2">
      <c r="B51" s="12"/>
      <c r="C51" s="34"/>
      <c r="D51" s="34"/>
      <c r="E51" s="175"/>
    </row>
    <row r="52" spans="2:5" x14ac:dyDescent="0.2">
      <c r="B52" s="12"/>
      <c r="C52" s="34"/>
      <c r="D52" s="34"/>
      <c r="E52" s="175"/>
    </row>
    <row r="53" spans="2:5" x14ac:dyDescent="0.2">
      <c r="B53" s="12"/>
      <c r="C53" s="34"/>
      <c r="D53" s="34"/>
      <c r="E53" s="175"/>
    </row>
    <row r="54" spans="2:5" x14ac:dyDescent="0.2">
      <c r="B54" s="12"/>
      <c r="C54" s="34"/>
      <c r="D54" s="34"/>
      <c r="E54" s="175"/>
    </row>
    <row r="55" spans="2:5" x14ac:dyDescent="0.2">
      <c r="B55" s="12"/>
      <c r="C55" s="34"/>
      <c r="D55" s="34"/>
      <c r="E55" s="175"/>
    </row>
    <row r="56" spans="2:5" x14ac:dyDescent="0.2">
      <c r="B56" s="12"/>
      <c r="C56" s="34"/>
      <c r="D56" s="34"/>
      <c r="E56" s="175"/>
    </row>
    <row r="57" spans="2:5" x14ac:dyDescent="0.2">
      <c r="B57" s="12"/>
      <c r="C57" s="34"/>
      <c r="D57" s="34"/>
      <c r="E57" s="175"/>
    </row>
    <row r="58" spans="2:5" x14ac:dyDescent="0.2">
      <c r="B58" s="12"/>
      <c r="C58" s="34"/>
      <c r="D58" s="34"/>
      <c r="E58" s="175"/>
    </row>
    <row r="59" spans="2:5" x14ac:dyDescent="0.2">
      <c r="B59" s="12"/>
      <c r="C59" s="34"/>
      <c r="D59" s="34"/>
      <c r="E59" s="175"/>
    </row>
    <row r="60" spans="2:5" x14ac:dyDescent="0.2">
      <c r="B60" s="12"/>
      <c r="C60" s="34"/>
      <c r="D60" s="34"/>
      <c r="E60" s="175"/>
    </row>
    <row r="61" spans="2:5" x14ac:dyDescent="0.2">
      <c r="B61" s="12"/>
      <c r="C61" s="34"/>
      <c r="D61" s="34"/>
      <c r="E61" s="175"/>
    </row>
    <row r="62" spans="2:5" x14ac:dyDescent="0.2">
      <c r="B62" s="12"/>
      <c r="C62" s="34"/>
      <c r="D62" s="34"/>
      <c r="E62" s="175"/>
    </row>
    <row r="63" spans="2:5" x14ac:dyDescent="0.2">
      <c r="B63" s="12"/>
      <c r="C63" s="34"/>
      <c r="D63" s="34"/>
      <c r="E63" s="175"/>
    </row>
    <row r="64" spans="2:5" x14ac:dyDescent="0.2">
      <c r="B64" s="12"/>
      <c r="C64" s="34"/>
      <c r="D64" s="34"/>
      <c r="E64" s="175"/>
    </row>
    <row r="65" spans="2:5" x14ac:dyDescent="0.2">
      <c r="B65" s="12"/>
      <c r="C65" s="34"/>
      <c r="D65" s="34"/>
      <c r="E65" s="175"/>
    </row>
    <row r="66" spans="2:5" x14ac:dyDescent="0.2">
      <c r="B66" s="12"/>
      <c r="C66" s="34"/>
      <c r="D66" s="34"/>
      <c r="E66" s="175"/>
    </row>
    <row r="67" spans="2:5" x14ac:dyDescent="0.2">
      <c r="B67" s="12"/>
      <c r="C67" s="34"/>
      <c r="D67" s="34"/>
      <c r="E67" s="175"/>
    </row>
    <row r="68" spans="2:5" x14ac:dyDescent="0.2">
      <c r="B68" s="12"/>
      <c r="C68" s="34"/>
      <c r="D68" s="34"/>
      <c r="E68" s="175"/>
    </row>
    <row r="69" spans="2:5" x14ac:dyDescent="0.2">
      <c r="B69" s="12"/>
      <c r="C69" s="34"/>
      <c r="D69" s="34"/>
      <c r="E69" s="175"/>
    </row>
    <row r="70" spans="2:5" x14ac:dyDescent="0.2">
      <c r="B70" s="12"/>
      <c r="C70" s="34"/>
      <c r="D70" s="34"/>
      <c r="E70" s="175"/>
    </row>
    <row r="71" spans="2:5" x14ac:dyDescent="0.2">
      <c r="B71" s="12"/>
      <c r="C71" s="34"/>
      <c r="D71" s="34"/>
      <c r="E71" s="175"/>
    </row>
    <row r="72" spans="2:5" x14ac:dyDescent="0.2">
      <c r="B72" s="12"/>
      <c r="C72" s="34"/>
      <c r="D72" s="34"/>
      <c r="E72" s="175"/>
    </row>
    <row r="73" spans="2:5" x14ac:dyDescent="0.2">
      <c r="B73" s="12"/>
      <c r="C73" s="34"/>
      <c r="D73" s="34"/>
      <c r="E73" s="175"/>
    </row>
    <row r="74" spans="2:5" x14ac:dyDescent="0.2">
      <c r="B74" s="12"/>
      <c r="C74" s="34"/>
      <c r="D74" s="34"/>
      <c r="E74" s="175"/>
    </row>
    <row r="75" spans="2:5" x14ac:dyDescent="0.2">
      <c r="B75" s="12"/>
      <c r="C75" s="34"/>
      <c r="D75" s="34"/>
      <c r="E75" s="175"/>
    </row>
    <row r="76" spans="2:5" x14ac:dyDescent="0.2">
      <c r="B76" s="12"/>
      <c r="C76" s="34"/>
      <c r="D76" s="34"/>
      <c r="E76" s="175"/>
    </row>
    <row r="77" spans="2:5" x14ac:dyDescent="0.2">
      <c r="B77" s="12"/>
      <c r="C77" s="34"/>
      <c r="D77" s="34"/>
      <c r="E77" s="175"/>
    </row>
    <row r="78" spans="2:5" x14ac:dyDescent="0.2">
      <c r="B78" s="12"/>
      <c r="C78" s="34"/>
      <c r="D78" s="34"/>
      <c r="E78" s="175"/>
    </row>
    <row r="79" spans="2:5" x14ac:dyDescent="0.2">
      <c r="B79" s="12"/>
      <c r="C79" s="34"/>
      <c r="D79" s="34"/>
      <c r="E79" s="175"/>
    </row>
    <row r="80" spans="2:5" x14ac:dyDescent="0.2">
      <c r="B80" s="12"/>
      <c r="C80" s="34"/>
      <c r="D80" s="34"/>
      <c r="E80" s="175"/>
    </row>
    <row r="81" spans="2:5" x14ac:dyDescent="0.2">
      <c r="B81" s="12"/>
      <c r="C81" s="34"/>
      <c r="D81" s="34"/>
      <c r="E81" s="175"/>
    </row>
    <row r="82" spans="2:5" x14ac:dyDescent="0.2">
      <c r="B82" s="12"/>
      <c r="C82" s="34"/>
      <c r="D82" s="34"/>
      <c r="E82" s="175"/>
    </row>
    <row r="83" spans="2:5" x14ac:dyDescent="0.2">
      <c r="B83" s="12"/>
      <c r="C83" s="34"/>
      <c r="D83" s="34"/>
      <c r="E83" s="175"/>
    </row>
    <row r="84" spans="2:5" x14ac:dyDescent="0.2">
      <c r="B84" s="12"/>
      <c r="C84" s="34"/>
      <c r="D84" s="34"/>
      <c r="E84" s="175"/>
    </row>
    <row r="85" spans="2:5" x14ac:dyDescent="0.2">
      <c r="B85" s="12"/>
      <c r="C85" s="34"/>
      <c r="D85" s="34"/>
      <c r="E85" s="175"/>
    </row>
    <row r="86" spans="2:5" x14ac:dyDescent="0.2">
      <c r="B86" s="12"/>
      <c r="C86" s="34"/>
      <c r="D86" s="34"/>
      <c r="E86" s="175"/>
    </row>
    <row r="87" spans="2:5" x14ac:dyDescent="0.2">
      <c r="B87" s="12"/>
      <c r="C87" s="34"/>
      <c r="D87" s="34"/>
      <c r="E87" s="175"/>
    </row>
    <row r="88" spans="2:5" x14ac:dyDescent="0.2">
      <c r="B88" s="12"/>
      <c r="C88" s="34"/>
      <c r="D88" s="34"/>
      <c r="E88" s="175"/>
    </row>
    <row r="89" spans="2:5" x14ac:dyDescent="0.2">
      <c r="B89" s="12"/>
      <c r="C89" s="34"/>
      <c r="D89" s="34"/>
      <c r="E89" s="175"/>
    </row>
    <row r="90" spans="2:5" x14ac:dyDescent="0.2">
      <c r="B90" s="12"/>
      <c r="C90" s="34"/>
      <c r="D90" s="34"/>
      <c r="E90" s="175"/>
    </row>
    <row r="91" spans="2:5" x14ac:dyDescent="0.2">
      <c r="B91" s="12"/>
      <c r="C91" s="34"/>
      <c r="D91" s="34"/>
      <c r="E91" s="175"/>
    </row>
    <row r="92" spans="2:5" x14ac:dyDescent="0.2">
      <c r="B92" s="12"/>
      <c r="C92" s="34"/>
      <c r="D92" s="34"/>
      <c r="E92" s="175"/>
    </row>
    <row r="93" spans="2:5" x14ac:dyDescent="0.2">
      <c r="B93" s="12"/>
      <c r="C93" s="34"/>
      <c r="D93" s="34"/>
      <c r="E93" s="175"/>
    </row>
    <row r="94" spans="2:5" x14ac:dyDescent="0.2">
      <c r="B94" s="12"/>
      <c r="C94" s="34"/>
      <c r="D94" s="34"/>
      <c r="E94" s="175"/>
    </row>
    <row r="95" spans="2:5" x14ac:dyDescent="0.2">
      <c r="B95" s="12"/>
      <c r="C95" s="34"/>
      <c r="D95" s="34"/>
      <c r="E95" s="175"/>
    </row>
    <row r="96" spans="2:5" x14ac:dyDescent="0.2">
      <c r="B96" s="12"/>
      <c r="C96" s="34"/>
      <c r="D96" s="34"/>
      <c r="E96" s="175"/>
    </row>
    <row r="97" spans="2:5" x14ac:dyDescent="0.2">
      <c r="B97" s="12"/>
      <c r="C97" s="34"/>
      <c r="D97" s="34"/>
      <c r="E97" s="175"/>
    </row>
    <row r="98" spans="2:5" x14ac:dyDescent="0.2">
      <c r="B98" s="12"/>
      <c r="C98" s="34"/>
      <c r="D98" s="34"/>
      <c r="E98" s="175"/>
    </row>
    <row r="99" spans="2:5" x14ac:dyDescent="0.2">
      <c r="B99" s="12"/>
      <c r="C99" s="34"/>
      <c r="D99" s="34"/>
      <c r="E99" s="175"/>
    </row>
    <row r="100" spans="2:5" x14ac:dyDescent="0.2">
      <c r="B100" s="12"/>
      <c r="C100" s="34"/>
      <c r="D100" s="34"/>
      <c r="E100" s="175"/>
    </row>
    <row r="101" spans="2:5" x14ac:dyDescent="0.2">
      <c r="B101" s="12"/>
      <c r="C101" s="34"/>
      <c r="D101" s="34"/>
      <c r="E101" s="175"/>
    </row>
    <row r="102" spans="2:5" x14ac:dyDescent="0.2">
      <c r="B102" s="12"/>
      <c r="C102" s="34"/>
      <c r="D102" s="34"/>
      <c r="E102" s="175"/>
    </row>
    <row r="103" spans="2:5" x14ac:dyDescent="0.2">
      <c r="B103" s="12"/>
      <c r="C103" s="34"/>
      <c r="D103" s="34"/>
      <c r="E103" s="175"/>
    </row>
  </sheetData>
  <sortState ref="A4:K38">
    <sortCondition ref="B4:B38"/>
  </sortState>
  <hyperlinks>
    <hyperlink ref="D22" r:id="rId1"/>
    <hyperlink ref="D23" r:id="rId2"/>
    <hyperlink ref="D24" r:id="rId3"/>
    <hyperlink ref="D8" r:id="rId4"/>
    <hyperlink ref="D21" r:id="rId5"/>
  </hyperlinks>
  <pageMargins left="0.7" right="0.7" top="0.75" bottom="0.75" header="0.3" footer="0.3"/>
  <pageSetup orientation="portrait" r:id="rId6"/>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1:K26"/>
  <sheetViews>
    <sheetView workbookViewId="0">
      <selection activeCell="G5" sqref="G5"/>
    </sheetView>
  </sheetViews>
  <sheetFormatPr defaultRowHeight="12.75" x14ac:dyDescent="0.2"/>
  <cols>
    <col min="1" max="1" width="1.7109375" style="33" customWidth="1"/>
    <col min="2" max="4" width="2.7109375" style="33" customWidth="1"/>
    <col min="5" max="5" width="32.7109375" style="33" customWidth="1"/>
    <col min="6" max="7" width="10.7109375" style="33" customWidth="1"/>
    <col min="8" max="9" width="10.7109375" style="37" customWidth="1"/>
    <col min="10" max="10" width="42.7109375" style="33" customWidth="1"/>
    <col min="11" max="16384" width="9.140625" style="33"/>
  </cols>
  <sheetData>
    <row r="1" spans="2:11" ht="31.5" x14ac:dyDescent="0.2">
      <c r="B1" s="2" t="s">
        <v>626</v>
      </c>
      <c r="C1" s="2"/>
      <c r="D1" s="2"/>
      <c r="E1" s="2"/>
    </row>
    <row r="3" spans="2:11" x14ac:dyDescent="0.2">
      <c r="B3" s="19" t="s">
        <v>701</v>
      </c>
      <c r="C3" s="19"/>
      <c r="D3" s="19"/>
      <c r="E3" s="19"/>
      <c r="F3" s="8"/>
      <c r="G3" s="8"/>
      <c r="H3" s="51"/>
      <c r="I3" s="51"/>
      <c r="J3" s="8"/>
    </row>
    <row r="4" spans="2:11" ht="13.5" x14ac:dyDescent="0.25">
      <c r="B4" s="159"/>
      <c r="C4" s="160"/>
      <c r="D4" s="160"/>
      <c r="E4" s="161"/>
      <c r="F4" s="7" t="s">
        <v>412</v>
      </c>
      <c r="G4" s="7" t="s">
        <v>480</v>
      </c>
      <c r="H4" s="50" t="s">
        <v>481</v>
      </c>
      <c r="I4" s="162" t="s">
        <v>693</v>
      </c>
      <c r="J4" s="7" t="s">
        <v>33</v>
      </c>
    </row>
    <row r="5" spans="2:11" x14ac:dyDescent="0.2">
      <c r="B5" s="158" t="s">
        <v>577</v>
      </c>
      <c r="C5" s="158"/>
      <c r="D5" s="158"/>
      <c r="E5" s="158"/>
      <c r="F5" s="165">
        <v>8946</v>
      </c>
      <c r="G5" s="165">
        <v>360</v>
      </c>
      <c r="H5" s="165">
        <v>341</v>
      </c>
      <c r="I5" s="163">
        <f>SUM(F5:H5)</f>
        <v>9647</v>
      </c>
      <c r="J5" s="176" t="s">
        <v>770</v>
      </c>
    </row>
    <row r="6" spans="2:11" x14ac:dyDescent="0.2">
      <c r="B6" s="158" t="s">
        <v>576</v>
      </c>
      <c r="C6" s="158"/>
      <c r="D6" s="158"/>
      <c r="E6" s="158"/>
      <c r="F6" s="165">
        <v>19733</v>
      </c>
      <c r="G6" s="165">
        <v>329</v>
      </c>
      <c r="H6" s="165">
        <v>441</v>
      </c>
      <c r="I6" s="163">
        <f>SUM(F6:H6)</f>
        <v>20503</v>
      </c>
      <c r="J6" s="176" t="s">
        <v>771</v>
      </c>
    </row>
    <row r="7" spans="2:11" x14ac:dyDescent="0.2">
      <c r="B7" s="158" t="s">
        <v>700</v>
      </c>
      <c r="C7" s="158"/>
      <c r="D7" s="158"/>
      <c r="E7" s="158"/>
      <c r="F7" s="166">
        <f>SUM(F5:F6)</f>
        <v>28679</v>
      </c>
      <c r="G7" s="166">
        <f>SUM(G5:G6)</f>
        <v>689</v>
      </c>
      <c r="H7" s="166">
        <f>SUM(H5:H6)</f>
        <v>782</v>
      </c>
      <c r="I7" s="166">
        <f>SUM(I5:I6)</f>
        <v>30150</v>
      </c>
      <c r="J7" s="45" t="s">
        <v>738</v>
      </c>
    </row>
    <row r="8" spans="2:11" x14ac:dyDescent="0.2">
      <c r="B8" s="158" t="s">
        <v>559</v>
      </c>
      <c r="C8" s="158"/>
      <c r="D8" s="158"/>
      <c r="E8"/>
      <c r="F8" s="37"/>
      <c r="G8" s="37"/>
      <c r="J8"/>
      <c r="K8"/>
    </row>
    <row r="9" spans="2:11" x14ac:dyDescent="0.2">
      <c r="B9" s="14"/>
      <c r="C9" s="158" t="s">
        <v>695</v>
      </c>
      <c r="D9" s="14"/>
      <c r="E9" s="14"/>
      <c r="F9" s="165">
        <v>43385</v>
      </c>
      <c r="G9" s="165">
        <v>10043</v>
      </c>
      <c r="H9" s="165">
        <v>4629</v>
      </c>
      <c r="I9" s="163">
        <f>SUM(F9:H9)</f>
        <v>58057</v>
      </c>
      <c r="J9" s="176" t="s">
        <v>766</v>
      </c>
    </row>
    <row r="10" spans="2:11" x14ac:dyDescent="0.2">
      <c r="B10" s="14"/>
      <c r="C10" s="158" t="s">
        <v>696</v>
      </c>
      <c r="D10" s="14"/>
      <c r="E10" s="14"/>
      <c r="F10" s="165">
        <v>41663</v>
      </c>
      <c r="G10" s="165">
        <v>10043</v>
      </c>
      <c r="H10" s="165">
        <v>4629</v>
      </c>
      <c r="I10" s="163">
        <f>SUM(F10:H10)</f>
        <v>56335</v>
      </c>
      <c r="J10" s="176" t="s">
        <v>767</v>
      </c>
    </row>
    <row r="11" spans="2:11" x14ac:dyDescent="0.2">
      <c r="B11" s="14"/>
      <c r="C11" s="158" t="s">
        <v>698</v>
      </c>
      <c r="D11" s="14"/>
      <c r="E11" s="14"/>
      <c r="F11" s="165">
        <v>14387</v>
      </c>
      <c r="G11" s="165">
        <v>3392</v>
      </c>
      <c r="H11" s="165">
        <v>1554</v>
      </c>
      <c r="I11" s="163">
        <f>SUM(F11:H11)</f>
        <v>19333</v>
      </c>
      <c r="J11" s="45" t="s">
        <v>768</v>
      </c>
    </row>
    <row r="12" spans="2:11" x14ac:dyDescent="0.2">
      <c r="B12" s="14"/>
      <c r="C12" s="158" t="s">
        <v>694</v>
      </c>
      <c r="D12" s="14"/>
      <c r="E12" s="14"/>
      <c r="F12" s="165">
        <v>45182</v>
      </c>
      <c r="G12" s="165">
        <v>10043</v>
      </c>
      <c r="H12" s="165">
        <v>4629</v>
      </c>
      <c r="I12" s="164">
        <f>SUM(F12:H12)</f>
        <v>59854</v>
      </c>
      <c r="J12" s="45" t="s">
        <v>769</v>
      </c>
    </row>
    <row r="13" spans="2:11" x14ac:dyDescent="0.2">
      <c r="B13" s="14"/>
      <c r="C13" s="158" t="s">
        <v>697</v>
      </c>
      <c r="D13" s="14"/>
      <c r="E13" s="14"/>
      <c r="F13" s="166">
        <f>AVERAGE(F9:F10,F12)</f>
        <v>43410</v>
      </c>
      <c r="G13" s="166">
        <f>AVERAGE(G9:G10,G12)</f>
        <v>10043</v>
      </c>
      <c r="H13" s="166">
        <f>AVERAGE(H9:H10,H12)</f>
        <v>4629</v>
      </c>
      <c r="I13" s="166">
        <f>AVERAGE(I9:I10,I12)</f>
        <v>58082</v>
      </c>
    </row>
    <row r="15" spans="2:11" x14ac:dyDescent="0.2">
      <c r="B15" s="19" t="s">
        <v>699</v>
      </c>
      <c r="C15" s="19"/>
      <c r="D15" s="19"/>
      <c r="E15" s="19"/>
      <c r="F15" s="8"/>
      <c r="G15" s="8"/>
      <c r="H15" s="51"/>
      <c r="I15" s="51"/>
      <c r="J15" s="8"/>
    </row>
    <row r="16" spans="2:11" ht="13.5" x14ac:dyDescent="0.25">
      <c r="B16" s="159"/>
      <c r="C16" s="160"/>
      <c r="D16" s="160"/>
      <c r="E16" s="161"/>
      <c r="F16" s="59" t="s">
        <v>412</v>
      </c>
      <c r="G16" s="59" t="s">
        <v>480</v>
      </c>
      <c r="H16" s="162" t="s">
        <v>481</v>
      </c>
      <c r="I16" s="162"/>
      <c r="J16" s="7" t="s">
        <v>33</v>
      </c>
    </row>
    <row r="17" spans="2:10" x14ac:dyDescent="0.2">
      <c r="B17" s="158" t="s">
        <v>577</v>
      </c>
      <c r="C17" s="158"/>
      <c r="D17" s="158"/>
      <c r="E17" s="158"/>
      <c r="F17" s="169">
        <f t="shared" ref="F17:H19" si="0">F5/$I5</f>
        <v>0.92733492277391938</v>
      </c>
      <c r="G17" s="169">
        <f t="shared" si="0"/>
        <v>3.7317300715248261E-2</v>
      </c>
      <c r="H17" s="169">
        <f t="shared" si="0"/>
        <v>3.5347776510832381E-2</v>
      </c>
      <c r="I17" s="164"/>
      <c r="J17" s="65"/>
    </row>
    <row r="18" spans="2:10" x14ac:dyDescent="0.2">
      <c r="B18" s="158" t="s">
        <v>576</v>
      </c>
      <c r="C18" s="158"/>
      <c r="D18" s="158"/>
      <c r="E18" s="158"/>
      <c r="F18" s="169">
        <f t="shared" si="0"/>
        <v>0.96244452031410033</v>
      </c>
      <c r="G18" s="169">
        <f t="shared" si="0"/>
        <v>1.6046432229429839E-2</v>
      </c>
      <c r="H18" s="169">
        <f t="shared" si="0"/>
        <v>2.1509047456469785E-2</v>
      </c>
      <c r="I18" s="164"/>
      <c r="J18" s="65"/>
    </row>
    <row r="19" spans="2:10" x14ac:dyDescent="0.2">
      <c r="B19" s="158" t="s">
        <v>700</v>
      </c>
      <c r="C19" s="158"/>
      <c r="D19" s="158"/>
      <c r="E19" s="158"/>
      <c r="F19" s="169">
        <f t="shared" si="0"/>
        <v>0.95121061359867332</v>
      </c>
      <c r="G19" s="169">
        <f t="shared" si="0"/>
        <v>2.2852404643449419E-2</v>
      </c>
      <c r="H19" s="169">
        <f t="shared" si="0"/>
        <v>2.593698175787728E-2</v>
      </c>
      <c r="I19" s="164"/>
      <c r="J19" s="65"/>
    </row>
    <row r="20" spans="2:10" x14ac:dyDescent="0.2">
      <c r="B20" s="158" t="s">
        <v>559</v>
      </c>
      <c r="C20" s="158"/>
      <c r="D20" s="158"/>
      <c r="F20" s="169"/>
      <c r="G20" s="169"/>
      <c r="H20" s="169"/>
      <c r="I20" s="167"/>
      <c r="J20" s="65"/>
    </row>
    <row r="21" spans="2:10" x14ac:dyDescent="0.2">
      <c r="B21" s="14"/>
      <c r="C21" s="158" t="s">
        <v>695</v>
      </c>
      <c r="D21" s="14"/>
      <c r="E21" s="14"/>
      <c r="F21" s="169">
        <f t="shared" ref="F21:H25" si="1">F9/$I9</f>
        <v>0.74728284272353029</v>
      </c>
      <c r="G21" s="169">
        <f t="shared" si="1"/>
        <v>0.17298516974697281</v>
      </c>
      <c r="H21" s="169">
        <f t="shared" si="1"/>
        <v>7.9731987529496867E-2</v>
      </c>
      <c r="I21" s="164"/>
      <c r="J21" s="65"/>
    </row>
    <row r="22" spans="2:10" x14ac:dyDescent="0.2">
      <c r="B22" s="14"/>
      <c r="C22" s="158" t="s">
        <v>696</v>
      </c>
      <c r="D22" s="14"/>
      <c r="E22" s="14"/>
      <c r="F22" s="169">
        <f t="shared" si="1"/>
        <v>0.73955800124256676</v>
      </c>
      <c r="G22" s="169">
        <f t="shared" si="1"/>
        <v>0.17827283216472886</v>
      </c>
      <c r="H22" s="169">
        <f t="shared" si="1"/>
        <v>8.216916659270436E-2</v>
      </c>
      <c r="I22" s="164"/>
      <c r="J22" s="65"/>
    </row>
    <row r="23" spans="2:10" x14ac:dyDescent="0.2">
      <c r="B23" s="14"/>
      <c r="C23" s="158" t="s">
        <v>698</v>
      </c>
      <c r="D23" s="14"/>
      <c r="E23" s="14"/>
      <c r="F23" s="169">
        <f t="shared" si="1"/>
        <v>0.74416800289660168</v>
      </c>
      <c r="G23" s="169">
        <f t="shared" si="1"/>
        <v>0.17545130088449801</v>
      </c>
      <c r="H23" s="169">
        <f t="shared" si="1"/>
        <v>8.038069621890033E-2</v>
      </c>
      <c r="I23" s="164"/>
      <c r="J23" s="65"/>
    </row>
    <row r="24" spans="2:10" x14ac:dyDescent="0.2">
      <c r="B24" s="14"/>
      <c r="C24" s="158" t="s">
        <v>694</v>
      </c>
      <c r="D24" s="14"/>
      <c r="E24" s="14"/>
      <c r="F24" s="169">
        <f t="shared" si="1"/>
        <v>0.7548701841146791</v>
      </c>
      <c r="G24" s="169">
        <f t="shared" si="1"/>
        <v>0.16779162629064057</v>
      </c>
      <c r="H24" s="169">
        <f t="shared" si="1"/>
        <v>7.733818959468039E-2</v>
      </c>
      <c r="I24" s="164"/>
      <c r="J24" s="65"/>
    </row>
    <row r="25" spans="2:10" x14ac:dyDescent="0.2">
      <c r="B25" s="14"/>
      <c r="C25" s="158" t="s">
        <v>697</v>
      </c>
      <c r="D25" s="14"/>
      <c r="E25" s="14"/>
      <c r="F25" s="169">
        <f t="shared" si="1"/>
        <v>0.74739161874591098</v>
      </c>
      <c r="G25" s="169">
        <f t="shared" si="1"/>
        <v>0.17291071244103165</v>
      </c>
      <c r="H25" s="169">
        <f t="shared" si="1"/>
        <v>7.9697668813057398E-2</v>
      </c>
      <c r="I25" s="166"/>
      <c r="J25"/>
    </row>
    <row r="26" spans="2:10" x14ac:dyDescent="0.2">
      <c r="F26" s="168"/>
      <c r="G26" s="168"/>
      <c r="H26" s="168"/>
    </row>
  </sheetData>
  <sheetProtection sheet="1" objects="1" scenarios="1"/>
  <pageMargins left="0.7" right="0.7" top="0.75" bottom="0.75" header="0.3" footer="0.3"/>
  <pageSetup orientation="portrait" horizontalDpi="4294967292"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93"/>
  <sheetViews>
    <sheetView tabSelected="1" topLeftCell="A52" workbookViewId="0">
      <selection activeCell="F64" sqref="F64"/>
    </sheetView>
  </sheetViews>
  <sheetFormatPr defaultRowHeight="12.75" x14ac:dyDescent="0.2"/>
  <cols>
    <col min="1" max="1" width="2.42578125" customWidth="1"/>
    <col min="2" max="2" width="2.7109375" customWidth="1"/>
    <col min="3" max="4" width="2.7109375" style="33" customWidth="1"/>
    <col min="5" max="5" width="30.7109375" style="33" customWidth="1"/>
    <col min="8" max="8" width="8.7109375" style="37" customWidth="1"/>
    <col min="9" max="9" width="40.7109375" customWidth="1"/>
  </cols>
  <sheetData>
    <row r="1" spans="1:10" s="30" customFormat="1" ht="31.5" x14ac:dyDescent="0.2">
      <c r="B1" s="2" t="s">
        <v>575</v>
      </c>
      <c r="C1" s="2"/>
      <c r="D1" s="2"/>
      <c r="E1" s="2"/>
      <c r="H1" s="37"/>
    </row>
    <row r="3" spans="1:10" x14ac:dyDescent="0.2">
      <c r="B3" s="19" t="s">
        <v>32</v>
      </c>
      <c r="C3" s="19"/>
      <c r="D3" s="19"/>
      <c r="E3" s="19"/>
      <c r="F3" s="8"/>
      <c r="G3" s="8"/>
      <c r="H3" s="51"/>
      <c r="I3" s="8"/>
    </row>
    <row r="4" spans="1:10" x14ac:dyDescent="0.2">
      <c r="A4" s="75"/>
      <c r="B4" s="75" t="s">
        <v>25</v>
      </c>
      <c r="C4" s="75"/>
      <c r="D4" s="75"/>
      <c r="E4" s="75"/>
      <c r="F4" s="75"/>
      <c r="G4" s="75"/>
      <c r="H4" s="78"/>
      <c r="I4" s="75"/>
      <c r="J4" s="75"/>
    </row>
    <row r="5" spans="1:10" x14ac:dyDescent="0.2">
      <c r="A5" s="75"/>
      <c r="B5" s="76" t="s">
        <v>34</v>
      </c>
      <c r="C5" s="76"/>
      <c r="D5" s="76"/>
      <c r="E5" s="76"/>
      <c r="F5" s="75">
        <v>14.47</v>
      </c>
      <c r="G5" s="75" t="s">
        <v>24</v>
      </c>
      <c r="H5" s="78" t="s">
        <v>399</v>
      </c>
      <c r="I5" s="75" t="s">
        <v>361</v>
      </c>
      <c r="J5" s="75"/>
    </row>
    <row r="6" spans="1:10" s="32" customFormat="1" ht="15" x14ac:dyDescent="0.2">
      <c r="A6" s="75"/>
      <c r="B6" s="76" t="s">
        <v>461</v>
      </c>
      <c r="C6" s="76"/>
      <c r="D6" s="76"/>
      <c r="E6" s="76"/>
      <c r="F6" s="75">
        <v>0.67969999999999997</v>
      </c>
      <c r="G6" s="75" t="s">
        <v>452</v>
      </c>
      <c r="H6" s="78" t="s">
        <v>439</v>
      </c>
      <c r="I6" s="75"/>
      <c r="J6" s="75"/>
    </row>
    <row r="7" spans="1:10" s="32" customFormat="1" x14ac:dyDescent="0.2">
      <c r="A7" s="75"/>
      <c r="B7" s="76" t="s">
        <v>51</v>
      </c>
      <c r="C7" s="76"/>
      <c r="D7" s="76"/>
      <c r="E7" s="76"/>
      <c r="F7" s="97">
        <v>22500</v>
      </c>
      <c r="G7" s="75" t="s">
        <v>322</v>
      </c>
      <c r="H7" s="78" t="s">
        <v>538</v>
      </c>
      <c r="I7" s="75" t="s">
        <v>561</v>
      </c>
      <c r="J7" s="75"/>
    </row>
    <row r="8" spans="1:10" x14ac:dyDescent="0.2">
      <c r="A8" s="75"/>
      <c r="B8" s="102" t="s">
        <v>360</v>
      </c>
      <c r="C8" s="102"/>
      <c r="D8" s="102"/>
      <c r="E8" s="102"/>
      <c r="F8" s="75"/>
      <c r="G8" s="75"/>
      <c r="H8" s="78"/>
      <c r="I8" s="75"/>
      <c r="J8" s="75"/>
    </row>
    <row r="9" spans="1:10" x14ac:dyDescent="0.2">
      <c r="A9" s="75"/>
      <c r="B9" s="76" t="s">
        <v>34</v>
      </c>
      <c r="C9" s="76"/>
      <c r="D9" s="76"/>
      <c r="E9" s="76"/>
      <c r="F9" s="75">
        <v>19.95</v>
      </c>
      <c r="G9" s="75" t="s">
        <v>24</v>
      </c>
      <c r="H9" s="78" t="s">
        <v>399</v>
      </c>
      <c r="I9" s="75" t="s">
        <v>361</v>
      </c>
      <c r="J9" s="75"/>
    </row>
    <row r="10" spans="1:10" x14ac:dyDescent="0.2">
      <c r="A10" s="75"/>
      <c r="B10" s="88" t="s">
        <v>62</v>
      </c>
      <c r="C10" s="88"/>
      <c r="D10" s="88"/>
      <c r="E10" s="88"/>
      <c r="F10" s="80">
        <f>F9</f>
        <v>19.95</v>
      </c>
      <c r="G10" s="75" t="s">
        <v>53</v>
      </c>
      <c r="H10" s="78"/>
      <c r="I10" s="75"/>
      <c r="J10" s="75"/>
    </row>
    <row r="11" spans="1:10" x14ac:dyDescent="0.2">
      <c r="A11" s="75"/>
      <c r="B11" s="88" t="s">
        <v>62</v>
      </c>
      <c r="C11" s="88"/>
      <c r="D11" s="88"/>
      <c r="E11" s="88"/>
      <c r="F11" s="103">
        <f>F10*F16</f>
        <v>116.20874999999999</v>
      </c>
      <c r="G11" s="75" t="s">
        <v>54</v>
      </c>
      <c r="H11" s="78"/>
      <c r="I11" s="75"/>
      <c r="J11" s="75"/>
    </row>
    <row r="12" spans="1:10" x14ac:dyDescent="0.2">
      <c r="A12" s="75"/>
      <c r="B12" s="88" t="s">
        <v>62</v>
      </c>
      <c r="C12" s="88"/>
      <c r="D12" s="88"/>
      <c r="E12" s="88"/>
      <c r="F12" s="103">
        <f>F11/bblTOgal</f>
        <v>2.7668749999999998</v>
      </c>
      <c r="G12" s="75" t="s">
        <v>58</v>
      </c>
      <c r="H12" s="78"/>
      <c r="I12" s="75"/>
      <c r="J12" s="75"/>
    </row>
    <row r="13" spans="1:10" x14ac:dyDescent="0.2">
      <c r="A13" s="75"/>
      <c r="B13" s="76" t="s">
        <v>47</v>
      </c>
      <c r="C13" s="76"/>
      <c r="D13" s="76"/>
      <c r="E13" s="76"/>
      <c r="F13" s="75">
        <v>35.5</v>
      </c>
      <c r="G13" s="75" t="s">
        <v>48</v>
      </c>
      <c r="H13" s="78" t="s">
        <v>399</v>
      </c>
      <c r="I13" s="75" t="s">
        <v>49</v>
      </c>
      <c r="J13" s="75"/>
    </row>
    <row r="14" spans="1:10" x14ac:dyDescent="0.2">
      <c r="A14" s="75"/>
      <c r="B14" s="88" t="s">
        <v>62</v>
      </c>
      <c r="C14" s="88"/>
      <c r="D14" s="88"/>
      <c r="E14" s="88"/>
      <c r="F14" s="104">
        <f>141.5/(F13+131.5)</f>
        <v>0.84730538922155685</v>
      </c>
      <c r="G14" s="75" t="s">
        <v>50</v>
      </c>
      <c r="H14" s="78"/>
      <c r="I14" s="75"/>
      <c r="J14" s="75"/>
    </row>
    <row r="15" spans="1:10" x14ac:dyDescent="0.2">
      <c r="A15" s="75"/>
      <c r="B15" s="88" t="s">
        <v>62</v>
      </c>
      <c r="C15" s="88"/>
      <c r="D15" s="88"/>
      <c r="E15" s="88"/>
      <c r="F15" s="103">
        <f>F14/LTOgal</f>
        <v>3.2073898203592814</v>
      </c>
      <c r="G15" s="75" t="s">
        <v>61</v>
      </c>
      <c r="H15" s="78"/>
      <c r="I15" s="75"/>
      <c r="J15" s="75"/>
    </row>
    <row r="16" spans="1:10" x14ac:dyDescent="0.2">
      <c r="A16" s="75"/>
      <c r="B16" s="76" t="s">
        <v>51</v>
      </c>
      <c r="C16" s="76"/>
      <c r="D16" s="76"/>
      <c r="E16" s="76"/>
      <c r="F16" s="75">
        <v>5.8250000000000002</v>
      </c>
      <c r="G16" s="75" t="s">
        <v>52</v>
      </c>
      <c r="H16" s="78" t="s">
        <v>399</v>
      </c>
      <c r="I16" s="75" t="s">
        <v>49</v>
      </c>
      <c r="J16" s="75"/>
    </row>
    <row r="17" spans="1:10" x14ac:dyDescent="0.2">
      <c r="A17" s="75"/>
      <c r="B17" s="102" t="s">
        <v>359</v>
      </c>
      <c r="C17" s="102"/>
      <c r="D17" s="102"/>
      <c r="E17" s="102"/>
      <c r="F17" s="75"/>
      <c r="G17" s="75"/>
      <c r="H17" s="78"/>
      <c r="I17" s="75"/>
      <c r="J17" s="75"/>
    </row>
    <row r="18" spans="1:10" x14ac:dyDescent="0.2">
      <c r="A18" s="75"/>
      <c r="B18" s="76" t="s">
        <v>34</v>
      </c>
      <c r="C18" s="76"/>
      <c r="D18" s="76"/>
      <c r="E18" s="76"/>
      <c r="F18" s="75">
        <v>19.329999999999998</v>
      </c>
      <c r="G18" s="75" t="s">
        <v>24</v>
      </c>
      <c r="H18" s="78" t="s">
        <v>399</v>
      </c>
      <c r="I18" s="75" t="s">
        <v>362</v>
      </c>
      <c r="J18" s="75"/>
    </row>
    <row r="19" spans="1:10" x14ac:dyDescent="0.2">
      <c r="A19" s="75"/>
      <c r="B19" s="88" t="s">
        <v>62</v>
      </c>
      <c r="C19" s="88"/>
      <c r="D19" s="88"/>
      <c r="E19" s="88"/>
      <c r="F19" s="80">
        <f>F18</f>
        <v>19.329999999999998</v>
      </c>
      <c r="G19" s="75" t="s">
        <v>53</v>
      </c>
      <c r="H19" s="78"/>
      <c r="I19" s="75"/>
      <c r="J19" s="75"/>
    </row>
    <row r="20" spans="1:10" x14ac:dyDescent="0.2">
      <c r="A20" s="75"/>
      <c r="B20" s="88" t="s">
        <v>62</v>
      </c>
      <c r="C20" s="88"/>
      <c r="D20" s="88"/>
      <c r="E20" s="88"/>
      <c r="F20" s="103">
        <f>F19*F22</f>
        <v>101.54048999999999</v>
      </c>
      <c r="G20" s="75" t="s">
        <v>54</v>
      </c>
      <c r="H20" s="78"/>
      <c r="I20" s="75"/>
      <c r="J20" s="75"/>
    </row>
    <row r="21" spans="1:10" x14ac:dyDescent="0.2">
      <c r="A21" s="75"/>
      <c r="B21" s="88" t="s">
        <v>62</v>
      </c>
      <c r="C21" s="88"/>
      <c r="D21" s="88"/>
      <c r="E21" s="88"/>
      <c r="F21" s="103">
        <f>F20/bblTOgal</f>
        <v>2.4176307142857141</v>
      </c>
      <c r="G21" s="75" t="s">
        <v>58</v>
      </c>
      <c r="H21" s="78"/>
      <c r="I21" s="75"/>
      <c r="J21" s="75"/>
    </row>
    <row r="22" spans="1:10" x14ac:dyDescent="0.2">
      <c r="A22" s="75"/>
      <c r="B22" s="76" t="s">
        <v>51</v>
      </c>
      <c r="C22" s="76"/>
      <c r="D22" s="76"/>
      <c r="E22" s="76"/>
      <c r="F22" s="75">
        <v>5.2530000000000001</v>
      </c>
      <c r="G22" s="75" t="s">
        <v>52</v>
      </c>
      <c r="H22" s="78" t="s">
        <v>399</v>
      </c>
      <c r="I22" s="75" t="s">
        <v>363</v>
      </c>
      <c r="J22" s="75"/>
    </row>
    <row r="23" spans="1:10" s="32" customFormat="1" x14ac:dyDescent="0.2">
      <c r="A23" s="75"/>
      <c r="B23" s="102" t="s">
        <v>542</v>
      </c>
      <c r="C23" s="102"/>
      <c r="D23" s="102"/>
      <c r="E23" s="102"/>
      <c r="F23" s="75"/>
      <c r="G23" s="75"/>
      <c r="H23" s="78"/>
      <c r="I23" s="75"/>
      <c r="J23" s="75"/>
    </row>
    <row r="24" spans="1:10" s="32" customFormat="1" x14ac:dyDescent="0.2">
      <c r="A24" s="75"/>
      <c r="B24" s="76" t="s">
        <v>34</v>
      </c>
      <c r="C24" s="76"/>
      <c r="D24" s="76"/>
      <c r="E24" s="76"/>
      <c r="F24" s="75">
        <v>19.7</v>
      </c>
      <c r="G24" s="75" t="s">
        <v>24</v>
      </c>
      <c r="H24" s="78" t="s">
        <v>539</v>
      </c>
      <c r="I24" s="75" t="s">
        <v>540</v>
      </c>
      <c r="J24" s="75"/>
    </row>
    <row r="25" spans="1:10" s="32" customFormat="1" x14ac:dyDescent="0.2">
      <c r="A25" s="75"/>
      <c r="B25" s="88" t="s">
        <v>62</v>
      </c>
      <c r="C25" s="88"/>
      <c r="D25" s="88"/>
      <c r="E25" s="88"/>
      <c r="F25" s="80">
        <f>F24</f>
        <v>19.7</v>
      </c>
      <c r="G25" s="75" t="s">
        <v>53</v>
      </c>
      <c r="H25" s="78"/>
      <c r="I25" s="75"/>
      <c r="J25" s="75"/>
    </row>
    <row r="26" spans="1:10" s="32" customFormat="1" x14ac:dyDescent="0.2">
      <c r="A26" s="75"/>
      <c r="B26" s="88" t="s">
        <v>62</v>
      </c>
      <c r="C26" s="88"/>
      <c r="D26" s="88"/>
      <c r="E26" s="88"/>
      <c r="F26" s="103">
        <f>F25*F28</f>
        <v>111.699</v>
      </c>
      <c r="G26" s="75" t="s">
        <v>54</v>
      </c>
      <c r="H26" s="78"/>
      <c r="I26" s="75"/>
      <c r="J26" s="75"/>
    </row>
    <row r="27" spans="1:10" s="32" customFormat="1" x14ac:dyDescent="0.2">
      <c r="A27" s="75"/>
      <c r="B27" s="88" t="s">
        <v>62</v>
      </c>
      <c r="C27" s="88"/>
      <c r="D27" s="88"/>
      <c r="E27" s="88"/>
      <c r="F27" s="103">
        <f>F26/bblTOgal</f>
        <v>2.6595</v>
      </c>
      <c r="G27" s="75" t="s">
        <v>58</v>
      </c>
      <c r="H27" s="78"/>
      <c r="I27" s="75"/>
      <c r="J27" s="75"/>
    </row>
    <row r="28" spans="1:10" s="32" customFormat="1" x14ac:dyDescent="0.2">
      <c r="A28" s="75"/>
      <c r="B28" s="76" t="s">
        <v>51</v>
      </c>
      <c r="C28" s="76"/>
      <c r="D28" s="76"/>
      <c r="E28" s="76"/>
      <c r="F28" s="75">
        <v>5.67</v>
      </c>
      <c r="G28" s="75" t="s">
        <v>52</v>
      </c>
      <c r="H28" s="78" t="s">
        <v>539</v>
      </c>
      <c r="I28" s="75" t="s">
        <v>541</v>
      </c>
      <c r="J28" s="75"/>
    </row>
    <row r="30" spans="1:10" x14ac:dyDescent="0.2">
      <c r="B30" s="8" t="s">
        <v>36</v>
      </c>
      <c r="C30" s="8"/>
      <c r="D30" s="8"/>
      <c r="E30" s="8"/>
      <c r="F30" s="8"/>
      <c r="G30" s="8"/>
      <c r="H30" s="51"/>
      <c r="I30" s="8"/>
    </row>
    <row r="31" spans="1:10" x14ac:dyDescent="0.2">
      <c r="A31" s="75"/>
      <c r="B31" s="75" t="s">
        <v>25</v>
      </c>
      <c r="C31" s="75"/>
      <c r="D31" s="75"/>
      <c r="E31" s="75"/>
      <c r="F31" s="105"/>
      <c r="G31" s="98"/>
      <c r="H31" s="78"/>
      <c r="I31" s="75"/>
      <c r="J31" s="75"/>
    </row>
    <row r="32" spans="1:10" ht="14.25" x14ac:dyDescent="0.2">
      <c r="A32" s="75"/>
      <c r="B32" s="86" t="s">
        <v>45</v>
      </c>
      <c r="C32" s="86"/>
      <c r="D32" s="86"/>
      <c r="E32" s="86"/>
      <c r="F32" s="105">
        <f>F5*F87/1000</f>
        <v>5.301940084837839E-2</v>
      </c>
      <c r="G32" s="98" t="s">
        <v>471</v>
      </c>
      <c r="H32" s="78"/>
      <c r="I32" s="75"/>
      <c r="J32" s="75"/>
    </row>
    <row r="33" spans="1:10" ht="14.25" x14ac:dyDescent="0.2">
      <c r="A33" s="75"/>
      <c r="B33" s="86" t="s">
        <v>45</v>
      </c>
      <c r="C33" s="86"/>
      <c r="D33" s="86"/>
      <c r="E33" s="86"/>
      <c r="F33" s="106">
        <f>F32/mmBtuTOtherm</f>
        <v>5.3019400848378388E-3</v>
      </c>
      <c r="G33" s="98" t="s">
        <v>469</v>
      </c>
      <c r="H33" s="78"/>
      <c r="I33" s="75"/>
      <c r="J33" s="75"/>
    </row>
    <row r="34" spans="1:10" x14ac:dyDescent="0.2">
      <c r="A34" s="75"/>
      <c r="B34" s="75" t="s">
        <v>360</v>
      </c>
      <c r="C34" s="75"/>
      <c r="D34" s="75"/>
      <c r="E34" s="75"/>
      <c r="F34" s="75"/>
      <c r="G34" s="75"/>
      <c r="H34" s="78"/>
      <c r="I34" s="75"/>
      <c r="J34" s="75"/>
    </row>
    <row r="35" spans="1:10" ht="14.25" x14ac:dyDescent="0.2">
      <c r="A35" s="75"/>
      <c r="B35" s="86" t="s">
        <v>46</v>
      </c>
      <c r="C35" s="86"/>
      <c r="D35" s="86"/>
      <c r="E35" s="86"/>
      <c r="F35" s="107">
        <f>0.99*F12*F87</f>
        <v>10.036701739815712</v>
      </c>
      <c r="G35" s="98" t="s">
        <v>63</v>
      </c>
      <c r="H35" s="78"/>
      <c r="I35" s="75"/>
      <c r="J35" s="75"/>
    </row>
    <row r="36" spans="1:10" x14ac:dyDescent="0.2">
      <c r="A36" s="75"/>
      <c r="B36" s="84" t="s">
        <v>62</v>
      </c>
      <c r="C36" s="84"/>
      <c r="D36" s="84"/>
      <c r="E36" s="84"/>
      <c r="F36" s="108">
        <f>F35/1000</f>
        <v>1.0036701739815712E-2</v>
      </c>
      <c r="G36" s="98" t="s">
        <v>470</v>
      </c>
      <c r="H36" s="78"/>
      <c r="I36" s="75"/>
      <c r="J36" s="75"/>
    </row>
    <row r="37" spans="1:10" x14ac:dyDescent="0.2">
      <c r="A37" s="75"/>
      <c r="B37" s="85" t="s">
        <v>358</v>
      </c>
      <c r="C37" s="85"/>
      <c r="D37" s="85"/>
      <c r="E37" s="85"/>
      <c r="F37" s="108">
        <f>0.8*F36</f>
        <v>8.02936139185257E-3</v>
      </c>
      <c r="G37" s="98" t="s">
        <v>470</v>
      </c>
      <c r="H37" s="78"/>
      <c r="I37" s="75"/>
      <c r="J37" s="75"/>
    </row>
    <row r="38" spans="1:10" x14ac:dyDescent="0.2">
      <c r="A38" s="75"/>
      <c r="B38" s="75" t="s">
        <v>359</v>
      </c>
      <c r="C38" s="75"/>
      <c r="D38" s="75"/>
      <c r="E38" s="75"/>
      <c r="F38" s="75"/>
      <c r="G38" s="75"/>
      <c r="H38" s="78"/>
      <c r="I38" s="75"/>
      <c r="J38" s="75"/>
    </row>
    <row r="39" spans="1:10" ht="14.25" x14ac:dyDescent="0.2">
      <c r="A39" s="75"/>
      <c r="B39" s="86" t="s">
        <v>46</v>
      </c>
      <c r="C39" s="86"/>
      <c r="D39" s="86"/>
      <c r="E39" s="86"/>
      <c r="F39" s="107">
        <f>0.99*F21*F87</f>
        <v>8.7698354267190712</v>
      </c>
      <c r="G39" s="98" t="s">
        <v>63</v>
      </c>
      <c r="H39" s="78"/>
      <c r="I39" s="75"/>
      <c r="J39" s="75"/>
    </row>
    <row r="40" spans="1:10" x14ac:dyDescent="0.2">
      <c r="A40" s="75"/>
      <c r="B40" s="84" t="s">
        <v>62</v>
      </c>
      <c r="C40" s="84"/>
      <c r="D40" s="84"/>
      <c r="E40" s="84"/>
      <c r="F40" s="109">
        <f>F39/1000</f>
        <v>8.7698354267190717E-3</v>
      </c>
      <c r="G40" s="98" t="s">
        <v>470</v>
      </c>
      <c r="H40" s="78"/>
      <c r="I40" s="75"/>
      <c r="J40" s="75"/>
    </row>
    <row r="41" spans="1:10" s="32" customFormat="1" x14ac:dyDescent="0.2">
      <c r="A41" s="75"/>
      <c r="B41" s="75" t="s">
        <v>542</v>
      </c>
      <c r="C41" s="75"/>
      <c r="D41" s="75"/>
      <c r="E41" s="75"/>
      <c r="F41" s="75"/>
      <c r="G41" s="75"/>
      <c r="H41" s="78"/>
      <c r="I41" s="75"/>
      <c r="J41" s="75"/>
    </row>
    <row r="42" spans="1:10" s="32" customFormat="1" ht="14.25" x14ac:dyDescent="0.2">
      <c r="A42" s="75"/>
      <c r="B42" s="86" t="s">
        <v>46</v>
      </c>
      <c r="C42" s="86"/>
      <c r="D42" s="86"/>
      <c r="E42" s="86"/>
      <c r="F42" s="107">
        <f>0.99*F27*$F$87</f>
        <v>9.6472042564408902</v>
      </c>
      <c r="G42" s="98" t="s">
        <v>63</v>
      </c>
      <c r="H42" s="78"/>
      <c r="I42" s="75"/>
      <c r="J42" s="75"/>
    </row>
    <row r="43" spans="1:10" s="32" customFormat="1" x14ac:dyDescent="0.2">
      <c r="A43" s="75"/>
      <c r="B43" s="84" t="s">
        <v>62</v>
      </c>
      <c r="C43" s="84"/>
      <c r="D43" s="84"/>
      <c r="E43" s="84"/>
      <c r="F43" s="109">
        <f>F42/1000</f>
        <v>9.6472042564408906E-3</v>
      </c>
      <c r="G43" s="98" t="s">
        <v>470</v>
      </c>
      <c r="H43" s="78"/>
      <c r="I43" s="75"/>
      <c r="J43" s="75"/>
    </row>
    <row r="44" spans="1:10" s="32" customFormat="1" x14ac:dyDescent="0.2">
      <c r="A44" s="75"/>
      <c r="B44" s="85" t="s">
        <v>464</v>
      </c>
      <c r="C44" s="85"/>
      <c r="D44" s="85"/>
      <c r="E44" s="85"/>
      <c r="F44" s="106"/>
      <c r="G44" s="98"/>
      <c r="H44" s="78"/>
      <c r="I44" s="75"/>
      <c r="J44" s="75"/>
    </row>
    <row r="45" spans="1:10" s="32" customFormat="1" x14ac:dyDescent="0.2">
      <c r="A45" s="75"/>
      <c r="B45" s="86" t="s">
        <v>465</v>
      </c>
      <c r="C45" s="86"/>
      <c r="D45" s="86"/>
      <c r="E45" s="86"/>
      <c r="F45" s="75">
        <v>0.97599999999999998</v>
      </c>
      <c r="G45" s="98" t="s">
        <v>472</v>
      </c>
      <c r="H45" s="78" t="s">
        <v>468</v>
      </c>
      <c r="I45" s="75"/>
      <c r="J45" s="75"/>
    </row>
    <row r="46" spans="1:10" s="32" customFormat="1" x14ac:dyDescent="0.2">
      <c r="B46" s="86" t="s">
        <v>466</v>
      </c>
      <c r="C46" s="86"/>
      <c r="D46" s="86"/>
      <c r="E46" s="86"/>
      <c r="F46" s="32">
        <v>1.097</v>
      </c>
      <c r="G46" s="15" t="s">
        <v>472</v>
      </c>
      <c r="H46" s="37" t="s">
        <v>468</v>
      </c>
    </row>
    <row r="47" spans="1:10" s="32" customFormat="1" x14ac:dyDescent="0.2">
      <c r="B47" s="86" t="s">
        <v>467</v>
      </c>
      <c r="C47" s="86"/>
      <c r="D47" s="86"/>
      <c r="E47" s="86"/>
      <c r="F47" s="32">
        <v>0.56200000000000006</v>
      </c>
      <c r="G47" s="15" t="s">
        <v>472</v>
      </c>
      <c r="H47" s="37" t="s">
        <v>468</v>
      </c>
    </row>
    <row r="48" spans="1:10" ht="14.25" x14ac:dyDescent="0.2">
      <c r="B48" s="102" t="s">
        <v>462</v>
      </c>
      <c r="C48" s="102"/>
      <c r="D48" s="102"/>
      <c r="E48" s="102"/>
      <c r="F48" s="35">
        <v>0</v>
      </c>
      <c r="G48" s="15" t="s">
        <v>421</v>
      </c>
      <c r="H48" s="12"/>
      <c r="I48" s="45" t="s">
        <v>422</v>
      </c>
    </row>
    <row r="49" spans="1:10" ht="14.25" x14ac:dyDescent="0.2">
      <c r="B49" s="75" t="s">
        <v>463</v>
      </c>
      <c r="C49" s="75"/>
      <c r="D49" s="75"/>
      <c r="E49" s="75"/>
      <c r="F49" s="41">
        <f>SUMPRODUCT($F$45:$F$47,F50:F52)</f>
        <v>0.45399999999999996</v>
      </c>
      <c r="G49" s="15" t="s">
        <v>421</v>
      </c>
    </row>
    <row r="50" spans="1:10" x14ac:dyDescent="0.2">
      <c r="B50" s="110" t="s">
        <v>473</v>
      </c>
      <c r="C50" s="110"/>
      <c r="D50" s="110"/>
      <c r="E50" s="110"/>
      <c r="F50" s="42">
        <v>0.35</v>
      </c>
      <c r="H50" s="12"/>
      <c r="I50" s="45" t="s">
        <v>761</v>
      </c>
    </row>
    <row r="51" spans="1:10" x14ac:dyDescent="0.2">
      <c r="B51" s="110" t="s">
        <v>474</v>
      </c>
      <c r="C51" s="110"/>
      <c r="D51" s="110"/>
      <c r="E51" s="110"/>
      <c r="F51" s="42">
        <v>0</v>
      </c>
      <c r="H51" s="12"/>
      <c r="I51" s="45" t="s">
        <v>62</v>
      </c>
    </row>
    <row r="52" spans="1:10" x14ac:dyDescent="0.2">
      <c r="B52" s="110" t="s">
        <v>478</v>
      </c>
      <c r="C52" s="110"/>
      <c r="D52" s="110"/>
      <c r="E52" s="110"/>
      <c r="F52" s="42">
        <v>0.2</v>
      </c>
      <c r="H52" s="12"/>
      <c r="I52" s="45" t="s">
        <v>62</v>
      </c>
    </row>
    <row r="53" spans="1:10" s="32" customFormat="1" ht="14.25" x14ac:dyDescent="0.2">
      <c r="B53" s="75" t="s">
        <v>500</v>
      </c>
      <c r="C53" s="75"/>
      <c r="D53" s="75"/>
      <c r="E53" s="75"/>
      <c r="F53" s="41">
        <f>SUMPRODUCT($F$45:$F$47,F54:F56)</f>
        <v>2.5139999999999999E-2</v>
      </c>
      <c r="G53" s="15" t="s">
        <v>421</v>
      </c>
      <c r="H53" s="37"/>
    </row>
    <row r="54" spans="1:10" s="32" customFormat="1" x14ac:dyDescent="0.2">
      <c r="B54" s="110" t="s">
        <v>473</v>
      </c>
      <c r="C54" s="110"/>
      <c r="D54" s="110"/>
      <c r="E54" s="110"/>
      <c r="F54" s="42">
        <v>0.02</v>
      </c>
      <c r="H54" s="12"/>
      <c r="I54" s="45" t="s">
        <v>761</v>
      </c>
    </row>
    <row r="55" spans="1:10" s="32" customFormat="1" x14ac:dyDescent="0.2">
      <c r="B55" s="110" t="s">
        <v>474</v>
      </c>
      <c r="C55" s="110"/>
      <c r="D55" s="110"/>
      <c r="E55" s="110"/>
      <c r="F55" s="42">
        <v>0</v>
      </c>
      <c r="H55" s="12"/>
      <c r="I55" s="45" t="s">
        <v>62</v>
      </c>
    </row>
    <row r="56" spans="1:10" s="32" customFormat="1" x14ac:dyDescent="0.2">
      <c r="B56" s="110" t="s">
        <v>478</v>
      </c>
      <c r="C56" s="110"/>
      <c r="D56" s="110"/>
      <c r="E56" s="110"/>
      <c r="F56" s="42">
        <v>0.01</v>
      </c>
      <c r="H56" s="12"/>
      <c r="I56" s="45" t="s">
        <v>62</v>
      </c>
    </row>
    <row r="57" spans="1:10" s="32" customFormat="1" ht="14.25" x14ac:dyDescent="0.2">
      <c r="B57" s="101" t="s">
        <v>516</v>
      </c>
      <c r="C57" s="101"/>
      <c r="D57" s="101"/>
      <c r="E57" s="101"/>
      <c r="F57" s="46">
        <v>8.8999999999999996E-2</v>
      </c>
      <c r="G57" s="15" t="s">
        <v>518</v>
      </c>
      <c r="H57" s="26" t="s">
        <v>405</v>
      </c>
      <c r="I57" s="45" t="s">
        <v>517</v>
      </c>
    </row>
    <row r="58" spans="1:10" s="33" customFormat="1" x14ac:dyDescent="0.2">
      <c r="H58" s="37"/>
    </row>
    <row r="59" spans="1:10" s="33" customFormat="1" x14ac:dyDescent="0.2">
      <c r="B59" s="8" t="s">
        <v>707</v>
      </c>
      <c r="C59" s="8"/>
      <c r="D59" s="8"/>
      <c r="E59" s="8"/>
      <c r="F59" s="8"/>
      <c r="G59" s="8"/>
      <c r="H59" s="51"/>
      <c r="I59" s="8"/>
    </row>
    <row r="60" spans="1:10" s="33" customFormat="1" x14ac:dyDescent="0.2">
      <c r="A60" s="75"/>
      <c r="B60" s="75" t="s">
        <v>705</v>
      </c>
      <c r="C60" s="75"/>
      <c r="D60" s="75"/>
      <c r="E60" s="75"/>
      <c r="F60" s="105"/>
      <c r="G60" s="98"/>
      <c r="H60" s="78"/>
      <c r="I60" s="75"/>
      <c r="J60" s="75"/>
    </row>
    <row r="61" spans="1:10" s="33" customFormat="1" x14ac:dyDescent="0.2">
      <c r="A61" s="75"/>
      <c r="B61" s="85"/>
      <c r="C61" s="85" t="s">
        <v>706</v>
      </c>
      <c r="D61" s="85"/>
      <c r="E61" s="85"/>
      <c r="F61" s="52">
        <v>25.4</v>
      </c>
      <c r="G61" s="15" t="s">
        <v>340</v>
      </c>
      <c r="H61" s="26"/>
      <c r="I61" s="45" t="s">
        <v>762</v>
      </c>
      <c r="J61" s="75"/>
    </row>
    <row r="62" spans="1:10" s="33" customFormat="1" x14ac:dyDescent="0.2">
      <c r="A62" s="75"/>
      <c r="B62" s="85"/>
      <c r="C62" s="85" t="s">
        <v>708</v>
      </c>
      <c r="D62" s="85"/>
      <c r="E62" s="85"/>
      <c r="F62" s="95">
        <f>1/F61</f>
        <v>3.937007874015748E-2</v>
      </c>
      <c r="G62" s="170" t="s">
        <v>703</v>
      </c>
      <c r="H62" s="78"/>
      <c r="I62" s="75"/>
      <c r="J62" s="75"/>
    </row>
    <row r="63" spans="1:10" s="33" customFormat="1" x14ac:dyDescent="0.2">
      <c r="A63" s="75"/>
      <c r="B63" s="171"/>
      <c r="C63" s="171" t="s">
        <v>739</v>
      </c>
      <c r="D63" s="171"/>
      <c r="E63" s="171"/>
      <c r="F63" s="52">
        <v>2.2000000000000002</v>
      </c>
      <c r="G63" s="15"/>
      <c r="H63" s="26"/>
      <c r="I63" s="45" t="s">
        <v>774</v>
      </c>
      <c r="J63" s="75"/>
    </row>
    <row r="64" spans="1:10" s="33" customFormat="1" x14ac:dyDescent="0.2">
      <c r="A64" s="75"/>
      <c r="B64" s="85"/>
      <c r="C64" s="85" t="s">
        <v>709</v>
      </c>
      <c r="D64" s="85"/>
      <c r="E64" s="85"/>
      <c r="F64" s="173">
        <f>F62/F63</f>
        <v>1.7895490336435216E-2</v>
      </c>
      <c r="G64" s="170" t="s">
        <v>703</v>
      </c>
      <c r="H64" s="78"/>
      <c r="I64" s="75"/>
      <c r="J64" s="75"/>
    </row>
    <row r="65" spans="1:10" s="33" customFormat="1" x14ac:dyDescent="0.2">
      <c r="A65" s="75"/>
      <c r="B65" s="85" t="s">
        <v>710</v>
      </c>
      <c r="C65" s="85"/>
      <c r="D65" s="85"/>
      <c r="E65" s="85"/>
      <c r="F65" s="108"/>
      <c r="G65" s="170"/>
      <c r="H65" s="78"/>
      <c r="I65" s="75"/>
      <c r="J65" s="75"/>
    </row>
    <row r="66" spans="1:10" s="33" customFormat="1" x14ac:dyDescent="0.2">
      <c r="A66" s="75"/>
      <c r="B66" s="85"/>
      <c r="C66" s="85" t="s">
        <v>712</v>
      </c>
      <c r="D66" s="85"/>
      <c r="E66" s="85"/>
      <c r="F66" s="11">
        <v>2475</v>
      </c>
      <c r="G66" s="174" t="s">
        <v>711</v>
      </c>
      <c r="H66" s="26"/>
      <c r="I66" s="45" t="s">
        <v>763</v>
      </c>
      <c r="J66" s="75"/>
    </row>
    <row r="67" spans="1:10" s="33" customFormat="1" x14ac:dyDescent="0.2">
      <c r="A67" s="75"/>
      <c r="B67" s="171"/>
      <c r="C67" s="171" t="s">
        <v>713</v>
      </c>
      <c r="D67" s="171"/>
      <c r="E67" s="171"/>
      <c r="F67" s="173">
        <f>F66/(10^6*F22/bblTOgal)</f>
        <v>1.9788692175899486E-2</v>
      </c>
      <c r="G67" s="171" t="s">
        <v>703</v>
      </c>
      <c r="H67" s="78"/>
      <c r="I67" s="75"/>
      <c r="J67" s="75"/>
    </row>
    <row r="68" spans="1:10" s="33" customFormat="1" x14ac:dyDescent="0.2">
      <c r="A68" s="75"/>
      <c r="B68" s="85" t="s">
        <v>714</v>
      </c>
      <c r="C68" s="85"/>
      <c r="D68" s="85"/>
      <c r="E68" s="85"/>
      <c r="F68" s="172"/>
      <c r="G68" s="170"/>
      <c r="H68" s="78"/>
      <c r="I68" s="75" t="s">
        <v>723</v>
      </c>
      <c r="J68" s="75"/>
    </row>
    <row r="69" spans="1:10" s="33" customFormat="1" x14ac:dyDescent="0.2">
      <c r="A69" s="75"/>
      <c r="B69" s="85"/>
      <c r="C69" s="85" t="s">
        <v>724</v>
      </c>
      <c r="D69" s="85"/>
      <c r="E69" s="85"/>
      <c r="F69" s="52">
        <v>493327.76400000002</v>
      </c>
      <c r="G69" s="170" t="s">
        <v>730</v>
      </c>
      <c r="H69" s="26" t="s">
        <v>727</v>
      </c>
      <c r="I69" s="45" t="s">
        <v>729</v>
      </c>
      <c r="J69" s="75"/>
    </row>
    <row r="70" spans="1:10" s="33" customFormat="1" x14ac:dyDescent="0.2">
      <c r="A70" s="75"/>
      <c r="B70" s="85"/>
      <c r="C70" s="85" t="s">
        <v>725</v>
      </c>
      <c r="D70" s="85"/>
      <c r="E70" s="85"/>
      <c r="F70" s="52">
        <v>10159.1</v>
      </c>
      <c r="G70" s="170" t="s">
        <v>726</v>
      </c>
      <c r="H70" s="26" t="s">
        <v>727</v>
      </c>
      <c r="I70" s="45" t="s">
        <v>728</v>
      </c>
      <c r="J70" s="75"/>
    </row>
    <row r="71" spans="1:10" s="33" customFormat="1" x14ac:dyDescent="0.2">
      <c r="A71" s="75"/>
      <c r="B71" s="85"/>
      <c r="C71" s="85" t="s">
        <v>718</v>
      </c>
      <c r="D71" s="85"/>
      <c r="E71" s="85"/>
      <c r="F71" s="180">
        <f>F69/F70</f>
        <v>48.560183874555818</v>
      </c>
      <c r="G71" s="174" t="s">
        <v>717</v>
      </c>
      <c r="J71" s="75"/>
    </row>
    <row r="72" spans="1:10" s="33" customFormat="1" x14ac:dyDescent="0.2">
      <c r="A72" s="75"/>
      <c r="B72" s="85"/>
      <c r="C72" s="85" t="s">
        <v>715</v>
      </c>
      <c r="D72" s="85"/>
      <c r="E72" s="85"/>
      <c r="F72" s="95">
        <f>1/F71</f>
        <v>2.0593002748574271E-2</v>
      </c>
      <c r="G72" s="171" t="s">
        <v>703</v>
      </c>
      <c r="H72" s="78"/>
      <c r="I72" s="75"/>
      <c r="J72" s="75"/>
    </row>
    <row r="73" spans="1:10" s="33" customFormat="1" x14ac:dyDescent="0.2">
      <c r="A73" s="75"/>
      <c r="B73" s="85"/>
      <c r="C73" s="85" t="s">
        <v>731</v>
      </c>
      <c r="D73" s="85"/>
      <c r="E73" s="85"/>
      <c r="F73" s="52">
        <v>35310.720000000001</v>
      </c>
      <c r="G73" s="170" t="s">
        <v>730</v>
      </c>
      <c r="H73" s="26" t="s">
        <v>727</v>
      </c>
      <c r="I73" s="45" t="s">
        <v>729</v>
      </c>
      <c r="J73" s="75"/>
    </row>
    <row r="74" spans="1:10" s="33" customFormat="1" x14ac:dyDescent="0.2">
      <c r="A74" s="75"/>
      <c r="B74" s="85"/>
      <c r="C74" s="85" t="s">
        <v>732</v>
      </c>
      <c r="D74" s="85"/>
      <c r="E74" s="85"/>
      <c r="F74" s="52">
        <v>16566.476999999999</v>
      </c>
      <c r="G74" s="170" t="s">
        <v>216</v>
      </c>
      <c r="H74" s="26" t="s">
        <v>727</v>
      </c>
      <c r="I74" s="45" t="s">
        <v>728</v>
      </c>
      <c r="J74" s="75"/>
    </row>
    <row r="75" spans="1:10" s="33" customFormat="1" x14ac:dyDescent="0.2">
      <c r="A75" s="75"/>
      <c r="B75" s="85"/>
      <c r="C75" s="85" t="s">
        <v>733</v>
      </c>
      <c r="D75" s="85"/>
      <c r="E75" s="85"/>
      <c r="F75" s="180">
        <f>F73/F74</f>
        <v>2.1314561931302598</v>
      </c>
      <c r="G75" s="174" t="s">
        <v>734</v>
      </c>
      <c r="J75" s="75"/>
    </row>
    <row r="76" spans="1:10" s="33" customFormat="1" x14ac:dyDescent="0.2">
      <c r="B76" s="171"/>
      <c r="C76" s="171" t="s">
        <v>716</v>
      </c>
      <c r="D76" s="171"/>
      <c r="E76" s="171"/>
      <c r="F76" s="181">
        <f>1/F75</f>
        <v>0.46916282080909133</v>
      </c>
      <c r="G76" s="171" t="s">
        <v>704</v>
      </c>
      <c r="H76" s="78"/>
      <c r="I76" s="75"/>
    </row>
    <row r="77" spans="1:10" s="33" customFormat="1" x14ac:dyDescent="0.2">
      <c r="A77" s="75"/>
      <c r="B77" s="85" t="s">
        <v>691</v>
      </c>
      <c r="C77" s="85"/>
      <c r="D77" s="85"/>
      <c r="E77" s="85"/>
      <c r="F77" s="172"/>
      <c r="G77" s="170"/>
      <c r="H77" s="78"/>
      <c r="I77" s="75"/>
      <c r="J77" s="75"/>
    </row>
    <row r="78" spans="1:10" s="33" customFormat="1" x14ac:dyDescent="0.2">
      <c r="A78" s="75"/>
      <c r="B78" s="85"/>
      <c r="C78" s="85" t="s">
        <v>736</v>
      </c>
      <c r="D78" s="85"/>
      <c r="E78" s="85"/>
      <c r="F78" s="52">
        <v>83984.649000000005</v>
      </c>
      <c r="G78" s="170" t="s">
        <v>730</v>
      </c>
      <c r="H78" s="26" t="s">
        <v>727</v>
      </c>
      <c r="I78" s="45" t="s">
        <v>729</v>
      </c>
      <c r="J78" s="75"/>
    </row>
    <row r="79" spans="1:10" s="33" customFormat="1" x14ac:dyDescent="0.2">
      <c r="A79" s="75"/>
      <c r="B79" s="85"/>
      <c r="C79" s="85" t="s">
        <v>737</v>
      </c>
      <c r="D79" s="85"/>
      <c r="E79" s="85"/>
      <c r="F79" s="52">
        <v>12110.2</v>
      </c>
      <c r="G79" s="170" t="s">
        <v>216</v>
      </c>
      <c r="H79" s="26" t="s">
        <v>727</v>
      </c>
      <c r="I79" s="45" t="s">
        <v>728</v>
      </c>
      <c r="J79" s="75"/>
    </row>
    <row r="80" spans="1:10" s="33" customFormat="1" x14ac:dyDescent="0.2">
      <c r="A80" s="75"/>
      <c r="B80" s="85"/>
      <c r="C80" s="85" t="s">
        <v>733</v>
      </c>
      <c r="D80" s="85"/>
      <c r="E80" s="85"/>
      <c r="F80" s="180">
        <f>F78/F79</f>
        <v>6.9350340209079953</v>
      </c>
      <c r="G80" s="174" t="s">
        <v>734</v>
      </c>
      <c r="J80" s="75"/>
    </row>
    <row r="81" spans="1:12" s="33" customFormat="1" x14ac:dyDescent="0.2">
      <c r="B81" s="171"/>
      <c r="C81" s="171" t="s">
        <v>716</v>
      </c>
      <c r="D81" s="171"/>
      <c r="E81" s="171"/>
      <c r="F81" s="181">
        <f>1/F80</f>
        <v>0.14419539932827485</v>
      </c>
      <c r="G81" s="171" t="s">
        <v>704</v>
      </c>
      <c r="H81" s="78"/>
      <c r="I81" s="75"/>
    </row>
    <row r="82" spans="1:12" s="33" customFormat="1" x14ac:dyDescent="0.2">
      <c r="A82" s="75"/>
      <c r="B82" s="85"/>
      <c r="C82" s="85"/>
      <c r="D82" s="85"/>
      <c r="E82" s="85"/>
      <c r="F82" s="173"/>
      <c r="G82" s="171"/>
      <c r="H82" s="78"/>
      <c r="I82" s="75"/>
      <c r="J82" s="75"/>
    </row>
    <row r="83" spans="1:12" x14ac:dyDescent="0.2">
      <c r="B83" s="8" t="s">
        <v>490</v>
      </c>
      <c r="C83" s="8"/>
      <c r="D83" s="8"/>
      <c r="E83" s="8"/>
      <c r="F83" s="8"/>
      <c r="G83" s="8"/>
      <c r="H83" s="51"/>
      <c r="I83" s="8"/>
    </row>
    <row r="84" spans="1:12" x14ac:dyDescent="0.2">
      <c r="B84" s="75" t="s">
        <v>37</v>
      </c>
      <c r="C84" s="75"/>
      <c r="D84" s="75"/>
      <c r="E84" s="75"/>
      <c r="F84" s="75">
        <v>12.011150000000001</v>
      </c>
      <c r="G84" s="75" t="s">
        <v>38</v>
      </c>
      <c r="H84" s="78" t="s">
        <v>400</v>
      </c>
      <c r="I84" s="75"/>
      <c r="J84" s="75"/>
      <c r="K84" s="75"/>
      <c r="L84" s="75"/>
    </row>
    <row r="85" spans="1:12" x14ac:dyDescent="0.2">
      <c r="B85" s="75" t="s">
        <v>39</v>
      </c>
      <c r="C85" s="75"/>
      <c r="D85" s="75"/>
      <c r="E85" s="75"/>
      <c r="F85" s="75">
        <v>15.9994</v>
      </c>
      <c r="G85" s="75" t="s">
        <v>38</v>
      </c>
      <c r="H85" s="78" t="s">
        <v>400</v>
      </c>
      <c r="I85" s="75"/>
      <c r="J85" s="75"/>
      <c r="K85" s="75"/>
      <c r="L85" s="75"/>
    </row>
    <row r="86" spans="1:12" ht="14.25" x14ac:dyDescent="0.2">
      <c r="B86" s="75" t="s">
        <v>40</v>
      </c>
      <c r="C86" s="75"/>
      <c r="D86" s="75"/>
      <c r="E86" s="75"/>
      <c r="F86" s="107">
        <f>F84+F85*2</f>
        <v>44.009950000000003</v>
      </c>
      <c r="G86" s="75" t="s">
        <v>38</v>
      </c>
      <c r="H86" s="78"/>
      <c r="I86" s="75"/>
      <c r="J86" s="75"/>
      <c r="K86" s="75"/>
      <c r="L86" s="75"/>
    </row>
    <row r="87" spans="1:12" ht="14.25" x14ac:dyDescent="0.2">
      <c r="B87" s="75" t="s">
        <v>41</v>
      </c>
      <c r="C87" s="75"/>
      <c r="D87" s="75"/>
      <c r="E87" s="75"/>
      <c r="F87" s="111">
        <f>F86/F84</f>
        <v>3.6640912818506139</v>
      </c>
      <c r="G87" s="75" t="s">
        <v>42</v>
      </c>
      <c r="H87" s="78"/>
      <c r="I87" s="75"/>
      <c r="J87" s="75"/>
      <c r="K87" s="75"/>
      <c r="L87" s="75"/>
    </row>
    <row r="89" spans="1:12" s="32" customFormat="1" x14ac:dyDescent="0.2">
      <c r="B89" s="8" t="s">
        <v>459</v>
      </c>
      <c r="C89" s="8"/>
      <c r="D89" s="8"/>
      <c r="E89" s="8"/>
      <c r="F89" s="8"/>
      <c r="G89" s="8"/>
      <c r="H89" s="51"/>
      <c r="I89" s="8"/>
    </row>
    <row r="90" spans="1:12" s="32" customFormat="1" ht="14.25" x14ac:dyDescent="0.2">
      <c r="B90" s="32" t="s">
        <v>557</v>
      </c>
      <c r="C90" s="33"/>
      <c r="D90" s="33"/>
      <c r="E90" s="33"/>
      <c r="F90" s="32">
        <v>1</v>
      </c>
      <c r="G90" s="32" t="s">
        <v>42</v>
      </c>
      <c r="H90" s="37"/>
    </row>
    <row r="91" spans="1:12" ht="14.25" x14ac:dyDescent="0.2">
      <c r="B91" s="32" t="s">
        <v>460</v>
      </c>
      <c r="F91">
        <v>21</v>
      </c>
      <c r="G91" s="15" t="s">
        <v>42</v>
      </c>
    </row>
    <row r="92" spans="1:12" s="33" customFormat="1" x14ac:dyDescent="0.2">
      <c r="B92" s="8" t="s">
        <v>36</v>
      </c>
      <c r="C92" s="8"/>
      <c r="D92" s="8"/>
      <c r="E92" s="8"/>
      <c r="F92" s="8"/>
      <c r="G92" s="8"/>
      <c r="H92" s="51"/>
      <c r="I92" s="8"/>
      <c r="J92" s="33" t="s">
        <v>741</v>
      </c>
    </row>
    <row r="93" spans="1:12" s="33" customFormat="1" x14ac:dyDescent="0.2">
      <c r="A93" s="75"/>
      <c r="B93" s="85" t="s">
        <v>740</v>
      </c>
      <c r="C93" s="85"/>
      <c r="D93" s="85"/>
      <c r="E93" s="85"/>
      <c r="F93" s="108">
        <f>0.17*F36</f>
        <v>1.7062392957686713E-3</v>
      </c>
      <c r="G93" s="98" t="s">
        <v>470</v>
      </c>
      <c r="H93" s="78"/>
      <c r="I93" s="75"/>
      <c r="J93" s="75" t="s">
        <v>743</v>
      </c>
    </row>
  </sheetData>
  <pageMargins left="0.7" right="0.7" top="0.75" bottom="0.75" header="0.3" footer="0.3"/>
  <pageSetup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19"/>
  <sheetViews>
    <sheetView workbookViewId="0">
      <selection activeCell="G11" sqref="G11"/>
    </sheetView>
  </sheetViews>
  <sheetFormatPr defaultRowHeight="12.75" x14ac:dyDescent="0.2"/>
  <cols>
    <col min="1" max="1" width="2.42578125" style="32" customWidth="1"/>
    <col min="2" max="2" width="30.7109375" style="32" customWidth="1"/>
    <col min="3" max="4" width="12.7109375" style="32" customWidth="1"/>
    <col min="5" max="6" width="12.7109375" customWidth="1"/>
    <col min="7" max="16384" width="9.140625" style="32"/>
  </cols>
  <sheetData>
    <row r="1" spans="1:6" ht="31.5" x14ac:dyDescent="0.2">
      <c r="B1" s="2" t="s">
        <v>659</v>
      </c>
    </row>
    <row r="3" spans="1:6" x14ac:dyDescent="0.2">
      <c r="B3" s="184" t="s">
        <v>665</v>
      </c>
      <c r="C3" s="8"/>
      <c r="D3" s="8"/>
    </row>
    <row r="4" spans="1:6" ht="13.5" x14ac:dyDescent="0.25">
      <c r="B4" s="7" t="s">
        <v>660</v>
      </c>
      <c r="C4" s="7" t="s">
        <v>661</v>
      </c>
      <c r="D4" s="7" t="s">
        <v>662</v>
      </c>
    </row>
    <row r="5" spans="1:6" ht="15" x14ac:dyDescent="0.3">
      <c r="B5" s="7" t="s">
        <v>425</v>
      </c>
      <c r="C5" s="7" t="s">
        <v>663</v>
      </c>
      <c r="D5" s="7" t="s">
        <v>426</v>
      </c>
    </row>
    <row r="6" spans="1:6" x14ac:dyDescent="0.2">
      <c r="A6" s="75"/>
      <c r="B6" s="75" t="s">
        <v>358</v>
      </c>
      <c r="C6" s="72" t="s">
        <v>57</v>
      </c>
      <c r="D6" s="112">
        <f>constants!F37</f>
        <v>8.02936139185257E-3</v>
      </c>
    </row>
    <row r="7" spans="1:6" x14ac:dyDescent="0.2">
      <c r="A7" s="75"/>
      <c r="B7" s="75" t="s">
        <v>556</v>
      </c>
      <c r="C7" s="72" t="s">
        <v>664</v>
      </c>
      <c r="D7" s="113">
        <v>1</v>
      </c>
    </row>
    <row r="8" spans="1:6" ht="14.25" x14ac:dyDescent="0.2">
      <c r="A8" s="75"/>
      <c r="B8" s="75" t="s">
        <v>666</v>
      </c>
      <c r="C8" s="72" t="s">
        <v>664</v>
      </c>
      <c r="D8" s="64">
        <v>1</v>
      </c>
      <c r="E8" s="32"/>
      <c r="F8" s="32"/>
    </row>
    <row r="9" spans="1:6" x14ac:dyDescent="0.2">
      <c r="A9" s="75"/>
      <c r="B9" s="75" t="s">
        <v>357</v>
      </c>
      <c r="C9" s="75" t="s">
        <v>57</v>
      </c>
      <c r="D9" s="114">
        <f>constants!F36</f>
        <v>1.0036701739815712E-2</v>
      </c>
    </row>
    <row r="10" spans="1:6" x14ac:dyDescent="0.2">
      <c r="A10" s="75"/>
      <c r="B10" s="75" t="s">
        <v>498</v>
      </c>
      <c r="C10" s="72" t="s">
        <v>216</v>
      </c>
      <c r="D10" s="115">
        <f>constants!F49</f>
        <v>0.45399999999999996</v>
      </c>
    </row>
    <row r="11" spans="1:6" x14ac:dyDescent="0.2">
      <c r="A11" s="75"/>
      <c r="B11" s="75" t="s">
        <v>495</v>
      </c>
      <c r="C11" s="72" t="s">
        <v>216</v>
      </c>
      <c r="D11" s="115">
        <f>constants!F48</f>
        <v>0</v>
      </c>
    </row>
    <row r="12" spans="1:6" x14ac:dyDescent="0.2">
      <c r="A12" s="75"/>
      <c r="B12" s="75" t="s">
        <v>502</v>
      </c>
      <c r="C12" s="72" t="s">
        <v>216</v>
      </c>
      <c r="D12" s="115">
        <f>constants!F53</f>
        <v>2.5139999999999999E-2</v>
      </c>
    </row>
    <row r="13" spans="1:6" x14ac:dyDescent="0.2">
      <c r="A13" s="75"/>
      <c r="B13" s="75" t="s">
        <v>29</v>
      </c>
      <c r="C13" s="75" t="s">
        <v>57</v>
      </c>
      <c r="D13" s="114">
        <f>constants!F36</f>
        <v>1.0036701739815712E-2</v>
      </c>
    </row>
    <row r="14" spans="1:6" x14ac:dyDescent="0.2">
      <c r="A14" s="75"/>
      <c r="B14" s="75" t="s">
        <v>359</v>
      </c>
      <c r="C14" s="72" t="s">
        <v>57</v>
      </c>
      <c r="D14" s="112">
        <f>constants!F40</f>
        <v>8.7698354267190717E-3</v>
      </c>
    </row>
    <row r="15" spans="1:6" x14ac:dyDescent="0.2">
      <c r="A15" s="75"/>
      <c r="B15" s="75" t="s">
        <v>493</v>
      </c>
      <c r="C15" s="72" t="s">
        <v>664</v>
      </c>
      <c r="D15" s="74">
        <f>constants!F91</f>
        <v>21</v>
      </c>
    </row>
    <row r="16" spans="1:6" x14ac:dyDescent="0.2">
      <c r="A16" s="75"/>
      <c r="B16" s="75" t="s">
        <v>25</v>
      </c>
      <c r="C16" s="75" t="s">
        <v>28</v>
      </c>
      <c r="D16" s="112">
        <f>constants!$F$33</f>
        <v>5.3019400848378388E-3</v>
      </c>
    </row>
    <row r="17" spans="1:4" x14ac:dyDescent="0.2">
      <c r="A17" s="75"/>
      <c r="B17" s="75" t="s">
        <v>509</v>
      </c>
      <c r="C17" s="72" t="s">
        <v>510</v>
      </c>
      <c r="D17" s="114">
        <f>constants!F57</f>
        <v>8.8999999999999996E-2</v>
      </c>
    </row>
    <row r="18" spans="1:4" s="33" customFormat="1" x14ac:dyDescent="0.2">
      <c r="A18" s="75"/>
      <c r="B18" s="75" t="s">
        <v>740</v>
      </c>
      <c r="C18" s="72" t="s">
        <v>57</v>
      </c>
      <c r="D18" s="112">
        <f>constants!F93</f>
        <v>1.7062392957686713E-3</v>
      </c>
    </row>
    <row r="19" spans="1:4" x14ac:dyDescent="0.2">
      <c r="A19" s="75"/>
      <c r="B19" s="75"/>
      <c r="C19" s="75"/>
      <c r="D19" s="75"/>
    </row>
  </sheetData>
  <sortState ref="B6:D16">
    <sortCondition ref="B5"/>
  </sortState>
  <pageMargins left="0.7" right="0.7" top="0.75" bottom="0.75" header="0.3" footer="0.3"/>
  <pageSetup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tabColor theme="4" tint="-0.249977111117893"/>
  </sheetPr>
  <dimension ref="A1:G226"/>
  <sheetViews>
    <sheetView topLeftCell="A136" workbookViewId="0"/>
  </sheetViews>
  <sheetFormatPr defaultColWidth="6.7109375" defaultRowHeight="12.75" x14ac:dyDescent="0.2"/>
  <cols>
    <col min="1" max="1" width="2.42578125" style="30" customWidth="1"/>
    <col min="2" max="3" width="11" style="30" customWidth="1"/>
    <col min="4" max="4" width="18.28515625" style="30" customWidth="1"/>
    <col min="5" max="5" width="9.5703125" style="30" customWidth="1"/>
    <col min="6" max="6" width="2.7109375" style="20" customWidth="1"/>
    <col min="7" max="7" width="60.7109375" style="20" customWidth="1"/>
    <col min="8" max="16384" width="6.7109375" style="20"/>
  </cols>
  <sheetData>
    <row r="1" spans="1:5" ht="31.5" x14ac:dyDescent="0.2">
      <c r="A1" s="20"/>
      <c r="B1" s="2" t="s">
        <v>367</v>
      </c>
      <c r="C1" s="21"/>
      <c r="D1" s="21"/>
      <c r="E1" s="21"/>
    </row>
    <row r="2" spans="1:5" x14ac:dyDescent="0.2">
      <c r="A2" s="20"/>
      <c r="B2" s="21"/>
      <c r="C2" s="21"/>
      <c r="D2" s="21"/>
      <c r="E2" s="21"/>
    </row>
    <row r="3" spans="1:5" ht="13.5" x14ac:dyDescent="0.25">
      <c r="A3" s="20"/>
      <c r="B3" s="1" t="s">
        <v>64</v>
      </c>
      <c r="C3" s="1"/>
      <c r="D3" s="7"/>
      <c r="E3" s="7" t="s">
        <v>65</v>
      </c>
    </row>
    <row r="4" spans="1:5" ht="13.5" x14ac:dyDescent="0.25">
      <c r="A4" s="20"/>
      <c r="B4" s="7" t="s">
        <v>66</v>
      </c>
      <c r="C4" s="7" t="s">
        <v>35</v>
      </c>
      <c r="D4" s="7" t="s">
        <v>67</v>
      </c>
      <c r="E4" s="7" t="s">
        <v>68</v>
      </c>
    </row>
    <row r="5" spans="1:5" x14ac:dyDescent="0.2">
      <c r="A5" s="20"/>
      <c r="B5" s="21"/>
      <c r="C5" s="21"/>
      <c r="D5" s="22"/>
      <c r="E5" s="21"/>
    </row>
    <row r="6" spans="1:5" x14ac:dyDescent="0.2">
      <c r="A6" s="20"/>
      <c r="B6" s="23" t="s">
        <v>69</v>
      </c>
      <c r="C6" s="23"/>
      <c r="D6" s="23"/>
      <c r="E6" s="23"/>
    </row>
    <row r="7" spans="1:5" s="75" customFormat="1" x14ac:dyDescent="0.2">
      <c r="B7" s="123" t="s">
        <v>70</v>
      </c>
      <c r="C7" s="123" t="s">
        <v>71</v>
      </c>
      <c r="D7" s="123" t="s">
        <v>72</v>
      </c>
      <c r="E7" s="124">
        <f>1/E9</f>
        <v>0.39370078740157477</v>
      </c>
    </row>
    <row r="8" spans="1:5" s="75" customFormat="1" x14ac:dyDescent="0.2">
      <c r="B8" s="123" t="s">
        <v>73</v>
      </c>
      <c r="C8" s="123" t="s">
        <v>74</v>
      </c>
      <c r="D8" s="123" t="s">
        <v>75</v>
      </c>
      <c r="E8" s="123">
        <v>0.30480000000000002</v>
      </c>
    </row>
    <row r="9" spans="1:5" s="75" customFormat="1" x14ac:dyDescent="0.2">
      <c r="B9" s="123" t="s">
        <v>71</v>
      </c>
      <c r="C9" s="123" t="s">
        <v>70</v>
      </c>
      <c r="D9" s="123" t="s">
        <v>76</v>
      </c>
      <c r="E9" s="125">
        <f>E10/10</f>
        <v>2.54</v>
      </c>
    </row>
    <row r="10" spans="1:5" s="75" customFormat="1" x14ac:dyDescent="0.2">
      <c r="B10" s="123" t="s">
        <v>71</v>
      </c>
      <c r="C10" s="123" t="s">
        <v>77</v>
      </c>
      <c r="D10" s="123" t="s">
        <v>78</v>
      </c>
      <c r="E10" s="123">
        <v>25.4</v>
      </c>
    </row>
    <row r="11" spans="1:5" s="75" customFormat="1" x14ac:dyDescent="0.2">
      <c r="B11" s="123" t="s">
        <v>79</v>
      </c>
      <c r="C11" s="123" t="s">
        <v>80</v>
      </c>
      <c r="D11" s="123" t="s">
        <v>81</v>
      </c>
      <c r="E11" s="124">
        <f>1/E12</f>
        <v>0.62150403977625857</v>
      </c>
    </row>
    <row r="12" spans="1:5" s="75" customFormat="1" x14ac:dyDescent="0.2">
      <c r="B12" s="123" t="s">
        <v>80</v>
      </c>
      <c r="C12" s="123" t="s">
        <v>79</v>
      </c>
      <c r="D12" s="123" t="s">
        <v>82</v>
      </c>
      <c r="E12" s="123">
        <v>1.609</v>
      </c>
    </row>
    <row r="13" spans="1:5" s="75" customFormat="1" x14ac:dyDescent="0.2">
      <c r="B13" s="123" t="s">
        <v>77</v>
      </c>
      <c r="C13" s="123" t="s">
        <v>71</v>
      </c>
      <c r="D13" s="123" t="s">
        <v>83</v>
      </c>
      <c r="E13" s="126">
        <f>1/E10</f>
        <v>3.937007874015748E-2</v>
      </c>
    </row>
    <row r="14" spans="1:5" s="75" customFormat="1" x14ac:dyDescent="0.2">
      <c r="B14" s="123"/>
      <c r="C14" s="123"/>
      <c r="D14" s="123"/>
      <c r="E14" s="123"/>
    </row>
    <row r="15" spans="1:5" x14ac:dyDescent="0.2">
      <c r="A15" s="20"/>
      <c r="B15" s="23" t="s">
        <v>84</v>
      </c>
      <c r="C15" s="23"/>
      <c r="D15" s="23"/>
      <c r="E15" s="23"/>
    </row>
    <row r="16" spans="1:5" s="75" customFormat="1" x14ac:dyDescent="0.2">
      <c r="B16" s="123" t="s">
        <v>85</v>
      </c>
      <c r="C16" s="123" t="s">
        <v>86</v>
      </c>
      <c r="D16" s="123" t="s">
        <v>87</v>
      </c>
      <c r="E16" s="123">
        <v>2.2049999999999999E-3</v>
      </c>
    </row>
    <row r="17" spans="1:5" s="75" customFormat="1" x14ac:dyDescent="0.2">
      <c r="B17" s="123" t="s">
        <v>88</v>
      </c>
      <c r="C17" s="123" t="s">
        <v>85</v>
      </c>
      <c r="D17" s="123" t="s">
        <v>89</v>
      </c>
      <c r="E17" s="123">
        <v>1000</v>
      </c>
    </row>
    <row r="18" spans="1:5" s="75" customFormat="1" x14ac:dyDescent="0.2">
      <c r="B18" s="123" t="s">
        <v>88</v>
      </c>
      <c r="C18" s="123" t="s">
        <v>86</v>
      </c>
      <c r="D18" s="123" t="s">
        <v>90</v>
      </c>
      <c r="E18" s="125">
        <f>1/E20</f>
        <v>2.204585537918871</v>
      </c>
    </row>
    <row r="19" spans="1:5" s="75" customFormat="1" x14ac:dyDescent="0.2">
      <c r="B19" s="123" t="s">
        <v>86</v>
      </c>
      <c r="C19" s="123" t="s">
        <v>85</v>
      </c>
      <c r="D19" s="123" t="s">
        <v>91</v>
      </c>
      <c r="E19" s="127">
        <f>lbTOkg*1000</f>
        <v>453.6</v>
      </c>
    </row>
    <row r="20" spans="1:5" s="75" customFormat="1" x14ac:dyDescent="0.2">
      <c r="B20" s="123" t="s">
        <v>86</v>
      </c>
      <c r="C20" s="123" t="s">
        <v>88</v>
      </c>
      <c r="D20" s="123" t="s">
        <v>92</v>
      </c>
      <c r="E20" s="123">
        <v>0.4536</v>
      </c>
    </row>
    <row r="21" spans="1:5" s="75" customFormat="1" x14ac:dyDescent="0.2">
      <c r="B21" s="123" t="s">
        <v>86</v>
      </c>
      <c r="C21" s="123" t="s">
        <v>93</v>
      </c>
      <c r="D21" s="123" t="s">
        <v>94</v>
      </c>
      <c r="E21" s="128">
        <f>lbTOkg/1000</f>
        <v>4.5360000000000002E-4</v>
      </c>
    </row>
    <row r="22" spans="1:5" s="75" customFormat="1" x14ac:dyDescent="0.2">
      <c r="B22" s="123" t="s">
        <v>86</v>
      </c>
      <c r="C22" s="123" t="s">
        <v>95</v>
      </c>
      <c r="D22" s="123" t="s">
        <v>96</v>
      </c>
      <c r="E22" s="128">
        <f>1/E27</f>
        <v>5.0000000000000001E-4</v>
      </c>
    </row>
    <row r="23" spans="1:5" s="75" customFormat="1" x14ac:dyDescent="0.2">
      <c r="B23" s="123" t="s">
        <v>93</v>
      </c>
      <c r="C23" s="123" t="s">
        <v>88</v>
      </c>
      <c r="D23" s="123" t="s">
        <v>97</v>
      </c>
      <c r="E23" s="123">
        <v>1000</v>
      </c>
    </row>
    <row r="24" spans="1:5" s="75" customFormat="1" x14ac:dyDescent="0.2">
      <c r="B24" s="123" t="s">
        <v>93</v>
      </c>
      <c r="C24" s="123" t="s">
        <v>95</v>
      </c>
      <c r="D24" s="123" t="s">
        <v>98</v>
      </c>
      <c r="E24" s="125">
        <f>1/E29</f>
        <v>1.1023170704821534</v>
      </c>
    </row>
    <row r="25" spans="1:5" s="75" customFormat="1" x14ac:dyDescent="0.2">
      <c r="B25" s="123" t="s">
        <v>86</v>
      </c>
      <c r="C25" s="123" t="s">
        <v>99</v>
      </c>
      <c r="D25" s="123" t="s">
        <v>100</v>
      </c>
      <c r="E25" s="123">
        <v>16</v>
      </c>
    </row>
    <row r="26" spans="1:5" s="75" customFormat="1" x14ac:dyDescent="0.2">
      <c r="B26" s="123" t="s">
        <v>99</v>
      </c>
      <c r="C26" s="123" t="s">
        <v>88</v>
      </c>
      <c r="D26" s="123" t="s">
        <v>101</v>
      </c>
      <c r="E26" s="129">
        <f>lbTOkg/lbTOoz</f>
        <v>2.835E-2</v>
      </c>
    </row>
    <row r="27" spans="1:5" s="75" customFormat="1" x14ac:dyDescent="0.2">
      <c r="B27" s="123" t="s">
        <v>95</v>
      </c>
      <c r="C27" s="123" t="s">
        <v>86</v>
      </c>
      <c r="D27" s="123" t="s">
        <v>102</v>
      </c>
      <c r="E27" s="123">
        <v>2000</v>
      </c>
    </row>
    <row r="28" spans="1:5" s="75" customFormat="1" x14ac:dyDescent="0.2">
      <c r="B28" s="123" t="s">
        <v>95</v>
      </c>
      <c r="C28" s="123" t="s">
        <v>88</v>
      </c>
      <c r="D28" s="123" t="s">
        <v>103</v>
      </c>
      <c r="E28" s="127">
        <f>tonTOt*1000</f>
        <v>907.18</v>
      </c>
    </row>
    <row r="29" spans="1:5" s="75" customFormat="1" x14ac:dyDescent="0.2">
      <c r="B29" s="123" t="s">
        <v>95</v>
      </c>
      <c r="C29" s="123" t="s">
        <v>93</v>
      </c>
      <c r="D29" s="123" t="s">
        <v>104</v>
      </c>
      <c r="E29" s="123">
        <v>0.90717999999999999</v>
      </c>
    </row>
    <row r="30" spans="1:5" s="75" customFormat="1" x14ac:dyDescent="0.2">
      <c r="B30" s="123"/>
      <c r="C30" s="123"/>
      <c r="D30" s="123"/>
      <c r="E30" s="130"/>
    </row>
    <row r="31" spans="1:5" x14ac:dyDescent="0.2">
      <c r="A31" s="20"/>
      <c r="B31" s="23" t="s">
        <v>105</v>
      </c>
      <c r="C31" s="23"/>
      <c r="D31" s="23"/>
      <c r="E31" s="23"/>
    </row>
    <row r="32" spans="1:5" s="75" customFormat="1" x14ac:dyDescent="0.2">
      <c r="B32" s="123" t="s">
        <v>106</v>
      </c>
      <c r="C32" s="123" t="s">
        <v>107</v>
      </c>
      <c r="D32" s="123" t="s">
        <v>108</v>
      </c>
      <c r="E32" s="131">
        <v>1440</v>
      </c>
    </row>
    <row r="33" spans="2:5" s="75" customFormat="1" x14ac:dyDescent="0.2">
      <c r="B33" s="123" t="s">
        <v>106</v>
      </c>
      <c r="C33" s="123" t="s">
        <v>109</v>
      </c>
      <c r="D33" s="123" t="s">
        <v>110</v>
      </c>
      <c r="E33" s="132">
        <f>1/E44</f>
        <v>2.7379257474537291E-3</v>
      </c>
    </row>
    <row r="34" spans="2:5" s="75" customFormat="1" x14ac:dyDescent="0.2">
      <c r="B34" s="123" t="s">
        <v>111</v>
      </c>
      <c r="C34" s="123" t="s">
        <v>106</v>
      </c>
      <c r="D34" s="123" t="s">
        <v>112</v>
      </c>
      <c r="E34" s="130">
        <v>4.1669999999999999E-2</v>
      </c>
    </row>
    <row r="35" spans="2:5" s="75" customFormat="1" x14ac:dyDescent="0.2">
      <c r="B35" s="123" t="s">
        <v>111</v>
      </c>
      <c r="C35" s="123" t="s">
        <v>107</v>
      </c>
      <c r="D35" s="123" t="s">
        <v>113</v>
      </c>
      <c r="E35" s="131">
        <v>60</v>
      </c>
    </row>
    <row r="36" spans="2:5" s="75" customFormat="1" x14ac:dyDescent="0.2">
      <c r="B36" s="123" t="s">
        <v>111</v>
      </c>
      <c r="C36" s="123" t="s">
        <v>114</v>
      </c>
      <c r="D36" s="123" t="s">
        <v>115</v>
      </c>
      <c r="E36" s="123">
        <v>3600</v>
      </c>
    </row>
    <row r="37" spans="2:5" s="75" customFormat="1" x14ac:dyDescent="0.2">
      <c r="B37" s="123" t="s">
        <v>111</v>
      </c>
      <c r="C37" s="123" t="s">
        <v>109</v>
      </c>
      <c r="D37" s="123" t="s">
        <v>116</v>
      </c>
      <c r="E37" s="128">
        <f>1/E45</f>
        <v>1.1415525114155251E-4</v>
      </c>
    </row>
    <row r="38" spans="2:5" s="75" customFormat="1" x14ac:dyDescent="0.2">
      <c r="B38" s="123" t="s">
        <v>107</v>
      </c>
      <c r="C38" s="123" t="s">
        <v>106</v>
      </c>
      <c r="D38" s="123" t="s">
        <v>117</v>
      </c>
      <c r="E38" s="133">
        <f>1/dayTOmin</f>
        <v>6.9444444444444447E-4</v>
      </c>
    </row>
    <row r="39" spans="2:5" s="75" customFormat="1" x14ac:dyDescent="0.2">
      <c r="B39" s="123" t="s">
        <v>118</v>
      </c>
      <c r="C39" s="123" t="s">
        <v>106</v>
      </c>
      <c r="D39" s="123" t="s">
        <v>119</v>
      </c>
      <c r="E39" s="134">
        <f>yrTOday/yrTOmo</f>
        <v>30.436666666666667</v>
      </c>
    </row>
    <row r="40" spans="2:5" s="75" customFormat="1" x14ac:dyDescent="0.2">
      <c r="B40" s="123" t="s">
        <v>118</v>
      </c>
      <c r="C40" s="123" t="s">
        <v>109</v>
      </c>
      <c r="D40" s="123" t="s">
        <v>120</v>
      </c>
      <c r="E40" s="129">
        <f>1/yrTOmo</f>
        <v>8.3333333333333329E-2</v>
      </c>
    </row>
    <row r="41" spans="2:5" s="75" customFormat="1" x14ac:dyDescent="0.2">
      <c r="B41" s="123" t="s">
        <v>114</v>
      </c>
      <c r="C41" s="123" t="s">
        <v>106</v>
      </c>
      <c r="D41" s="123" t="s">
        <v>121</v>
      </c>
      <c r="E41" s="135">
        <v>1.1574E-5</v>
      </c>
    </row>
    <row r="42" spans="2:5" s="75" customFormat="1" x14ac:dyDescent="0.2">
      <c r="B42" s="123" t="s">
        <v>114</v>
      </c>
      <c r="C42" s="123" t="s">
        <v>111</v>
      </c>
      <c r="D42" s="123" t="s">
        <v>122</v>
      </c>
      <c r="E42" s="128">
        <f>1/E36</f>
        <v>2.7777777777777778E-4</v>
      </c>
    </row>
    <row r="43" spans="2:5" s="75" customFormat="1" x14ac:dyDescent="0.2">
      <c r="B43" s="123" t="s">
        <v>114</v>
      </c>
      <c r="C43" s="123" t="s">
        <v>109</v>
      </c>
      <c r="D43" s="123" t="s">
        <v>123</v>
      </c>
      <c r="E43" s="136">
        <f>1/E47</f>
        <v>3.1709791983764586E-8</v>
      </c>
    </row>
    <row r="44" spans="2:5" s="75" customFormat="1" x14ac:dyDescent="0.2">
      <c r="B44" s="123" t="s">
        <v>109</v>
      </c>
      <c r="C44" s="123" t="s">
        <v>106</v>
      </c>
      <c r="D44" s="123" t="s">
        <v>124</v>
      </c>
      <c r="E44" s="137">
        <v>365.24</v>
      </c>
    </row>
    <row r="45" spans="2:5" s="75" customFormat="1" x14ac:dyDescent="0.2">
      <c r="B45" s="123" t="s">
        <v>109</v>
      </c>
      <c r="C45" s="123" t="s">
        <v>111</v>
      </c>
      <c r="D45" s="123" t="s">
        <v>125</v>
      </c>
      <c r="E45" s="123">
        <v>8760</v>
      </c>
    </row>
    <row r="46" spans="2:5" s="75" customFormat="1" x14ac:dyDescent="0.2">
      <c r="B46" s="123" t="s">
        <v>109</v>
      </c>
      <c r="C46" s="123" t="s">
        <v>118</v>
      </c>
      <c r="D46" s="123" t="s">
        <v>126</v>
      </c>
      <c r="E46" s="123">
        <v>12</v>
      </c>
    </row>
    <row r="47" spans="2:5" s="75" customFormat="1" x14ac:dyDescent="0.2">
      <c r="B47" s="123" t="s">
        <v>109</v>
      </c>
      <c r="C47" s="123" t="s">
        <v>114</v>
      </c>
      <c r="D47" s="123" t="s">
        <v>127</v>
      </c>
      <c r="E47" s="136">
        <f>yrTOhr*hrTOs</f>
        <v>31536000</v>
      </c>
    </row>
    <row r="48" spans="2:5" s="75" customFormat="1" x14ac:dyDescent="0.2">
      <c r="B48" s="123"/>
      <c r="C48" s="123"/>
      <c r="D48" s="123"/>
      <c r="E48" s="123"/>
    </row>
    <row r="49" spans="1:5" x14ac:dyDescent="0.2">
      <c r="A49" s="20"/>
      <c r="B49" s="23" t="s">
        <v>128</v>
      </c>
      <c r="C49" s="23"/>
      <c r="D49" s="23"/>
      <c r="E49" s="23"/>
    </row>
    <row r="50" spans="1:5" s="75" customFormat="1" x14ac:dyDescent="0.2">
      <c r="B50" s="123" t="s">
        <v>129</v>
      </c>
      <c r="C50" s="123" t="s">
        <v>130</v>
      </c>
      <c r="D50" s="123" t="s">
        <v>131</v>
      </c>
      <c r="E50" s="123">
        <v>43560</v>
      </c>
    </row>
    <row r="51" spans="1:5" s="75" customFormat="1" x14ac:dyDescent="0.2">
      <c r="B51" s="123" t="s">
        <v>129</v>
      </c>
      <c r="C51" s="123" t="s">
        <v>132</v>
      </c>
      <c r="D51" s="123" t="s">
        <v>133</v>
      </c>
      <c r="E51" s="123">
        <v>0.40468700000000002</v>
      </c>
    </row>
    <row r="52" spans="1:5" s="75" customFormat="1" x14ac:dyDescent="0.2">
      <c r="B52" s="123" t="s">
        <v>129</v>
      </c>
      <c r="C52" s="123" t="s">
        <v>134</v>
      </c>
      <c r="D52" s="123" t="s">
        <v>135</v>
      </c>
      <c r="E52" s="123">
        <v>4.0468600000000002E-3</v>
      </c>
    </row>
    <row r="53" spans="1:5" s="75" customFormat="1" x14ac:dyDescent="0.2">
      <c r="B53" s="123" t="s">
        <v>129</v>
      </c>
      <c r="C53" s="123" t="s">
        <v>136</v>
      </c>
      <c r="D53" s="123" t="s">
        <v>137</v>
      </c>
      <c r="E53" s="123">
        <v>4046.856421</v>
      </c>
    </row>
    <row r="54" spans="1:5" s="75" customFormat="1" x14ac:dyDescent="0.2">
      <c r="B54" s="123" t="s">
        <v>129</v>
      </c>
      <c r="C54" s="123" t="s">
        <v>138</v>
      </c>
      <c r="D54" s="123" t="s">
        <v>139</v>
      </c>
      <c r="E54" s="123">
        <v>1.5625000000000001E-3</v>
      </c>
    </row>
    <row r="55" spans="1:5" s="75" customFormat="1" x14ac:dyDescent="0.2">
      <c r="B55" s="123" t="s">
        <v>130</v>
      </c>
      <c r="C55" s="123" t="s">
        <v>136</v>
      </c>
      <c r="D55" s="123" t="s">
        <v>140</v>
      </c>
      <c r="E55" s="123">
        <v>9.2899999999999996E-2</v>
      </c>
    </row>
    <row r="56" spans="1:5" s="75" customFormat="1" x14ac:dyDescent="0.2">
      <c r="B56" s="123" t="s">
        <v>130</v>
      </c>
      <c r="C56" s="123" t="s">
        <v>141</v>
      </c>
      <c r="D56" s="123" t="s">
        <v>142</v>
      </c>
      <c r="E56" s="138">
        <f>1/E68</f>
        <v>0.1111111111111111</v>
      </c>
    </row>
    <row r="57" spans="1:5" s="75" customFormat="1" x14ac:dyDescent="0.2">
      <c r="B57" s="123" t="s">
        <v>132</v>
      </c>
      <c r="C57" s="123" t="s">
        <v>129</v>
      </c>
      <c r="D57" s="123" t="s">
        <v>143</v>
      </c>
      <c r="E57" s="125">
        <f>1/E51</f>
        <v>2.4710455240716898</v>
      </c>
    </row>
    <row r="58" spans="1:5" s="75" customFormat="1" x14ac:dyDescent="0.2">
      <c r="B58" s="123" t="s">
        <v>132</v>
      </c>
      <c r="C58" s="123" t="s">
        <v>134</v>
      </c>
      <c r="D58" s="123" t="s">
        <v>144</v>
      </c>
      <c r="E58" s="137">
        <v>0.01</v>
      </c>
    </row>
    <row r="59" spans="1:5" s="75" customFormat="1" x14ac:dyDescent="0.2">
      <c r="B59" s="123" t="s">
        <v>134</v>
      </c>
      <c r="C59" s="123" t="s">
        <v>129</v>
      </c>
      <c r="D59" s="123" t="s">
        <v>145</v>
      </c>
      <c r="E59" s="127">
        <f>1/acreTOkm2</f>
        <v>247.10516301527602</v>
      </c>
    </row>
    <row r="60" spans="1:5" s="75" customFormat="1" x14ac:dyDescent="0.2">
      <c r="B60" s="123" t="s">
        <v>134</v>
      </c>
      <c r="C60" s="123" t="s">
        <v>132</v>
      </c>
      <c r="D60" s="123" t="s">
        <v>146</v>
      </c>
      <c r="E60" s="127">
        <f>1/haTOkm2</f>
        <v>100</v>
      </c>
    </row>
    <row r="61" spans="1:5" s="75" customFormat="1" x14ac:dyDescent="0.2">
      <c r="B61" s="123" t="s">
        <v>134</v>
      </c>
      <c r="C61" s="123" t="s">
        <v>136</v>
      </c>
      <c r="D61" s="123" t="s">
        <v>147</v>
      </c>
      <c r="E61" s="139">
        <v>1000000</v>
      </c>
    </row>
    <row r="62" spans="1:5" s="75" customFormat="1" x14ac:dyDescent="0.2">
      <c r="B62" s="123" t="s">
        <v>134</v>
      </c>
      <c r="C62" s="123" t="s">
        <v>138</v>
      </c>
      <c r="D62" s="123" t="s">
        <v>148</v>
      </c>
      <c r="E62" s="140">
        <v>0.3861</v>
      </c>
    </row>
    <row r="63" spans="1:5" s="75" customFormat="1" x14ac:dyDescent="0.2">
      <c r="B63" s="123" t="s">
        <v>136</v>
      </c>
      <c r="C63" s="123" t="s">
        <v>129</v>
      </c>
      <c r="D63" s="123" t="s">
        <v>149</v>
      </c>
      <c r="E63" s="128">
        <f>1/E53</f>
        <v>2.4710538155265082E-4</v>
      </c>
    </row>
    <row r="64" spans="1:5" s="75" customFormat="1" x14ac:dyDescent="0.2">
      <c r="B64" s="123" t="s">
        <v>136</v>
      </c>
      <c r="C64" s="123" t="s">
        <v>130</v>
      </c>
      <c r="D64" s="123" t="s">
        <v>150</v>
      </c>
      <c r="E64" s="141">
        <f>1/E55</f>
        <v>10.764262648008613</v>
      </c>
    </row>
    <row r="65" spans="1:5" s="75" customFormat="1" x14ac:dyDescent="0.2">
      <c r="B65" s="123" t="s">
        <v>136</v>
      </c>
      <c r="C65" s="123" t="s">
        <v>132</v>
      </c>
      <c r="D65" s="123" t="s">
        <v>151</v>
      </c>
      <c r="E65" s="123">
        <v>1E-4</v>
      </c>
    </row>
    <row r="66" spans="1:5" s="75" customFormat="1" x14ac:dyDescent="0.2">
      <c r="B66" s="123" t="s">
        <v>136</v>
      </c>
      <c r="C66" s="123" t="s">
        <v>134</v>
      </c>
      <c r="D66" s="123" t="s">
        <v>152</v>
      </c>
      <c r="E66" s="135">
        <v>9.9999999999999995E-7</v>
      </c>
    </row>
    <row r="67" spans="1:5" s="75" customFormat="1" x14ac:dyDescent="0.2">
      <c r="B67" s="123" t="s">
        <v>138</v>
      </c>
      <c r="C67" s="123" t="s">
        <v>129</v>
      </c>
      <c r="D67" s="123" t="s">
        <v>153</v>
      </c>
      <c r="E67" s="142">
        <f>1/E54</f>
        <v>640</v>
      </c>
    </row>
    <row r="68" spans="1:5" s="75" customFormat="1" x14ac:dyDescent="0.2">
      <c r="B68" s="123" t="s">
        <v>141</v>
      </c>
      <c r="C68" s="123" t="s">
        <v>130</v>
      </c>
      <c r="D68" s="123" t="s">
        <v>154</v>
      </c>
      <c r="E68" s="131">
        <v>9</v>
      </c>
    </row>
    <row r="69" spans="1:5" s="75" customFormat="1" x14ac:dyDescent="0.2">
      <c r="B69" s="123" t="s">
        <v>138</v>
      </c>
      <c r="C69" s="123" t="s">
        <v>134</v>
      </c>
      <c r="D69" s="123" t="s">
        <v>155</v>
      </c>
      <c r="E69" s="130">
        <v>2.5899899999999998</v>
      </c>
    </row>
    <row r="70" spans="1:5" s="75" customFormat="1" x14ac:dyDescent="0.2">
      <c r="B70" s="123"/>
      <c r="C70" s="123"/>
      <c r="D70" s="123"/>
      <c r="E70" s="123"/>
    </row>
    <row r="71" spans="1:5" x14ac:dyDescent="0.2">
      <c r="A71" s="20"/>
      <c r="B71" s="23" t="s">
        <v>156</v>
      </c>
      <c r="C71" s="23"/>
      <c r="D71" s="23"/>
      <c r="E71" s="23"/>
    </row>
    <row r="72" spans="1:5" s="75" customFormat="1" x14ac:dyDescent="0.2">
      <c r="B72" s="123" t="s">
        <v>157</v>
      </c>
      <c r="C72" s="123" t="s">
        <v>57</v>
      </c>
      <c r="D72" s="123" t="s">
        <v>158</v>
      </c>
      <c r="E72" s="143">
        <v>325900</v>
      </c>
    </row>
    <row r="73" spans="1:5" s="75" customFormat="1" x14ac:dyDescent="0.2">
      <c r="B73" s="123" t="s">
        <v>157</v>
      </c>
      <c r="C73" s="123" t="s">
        <v>159</v>
      </c>
      <c r="D73" s="123" t="s">
        <v>160</v>
      </c>
      <c r="E73" s="144">
        <v>1233.482</v>
      </c>
    </row>
    <row r="74" spans="1:5" s="75" customFormat="1" x14ac:dyDescent="0.2">
      <c r="B74" s="123" t="s">
        <v>161</v>
      </c>
      <c r="C74" s="123" t="s">
        <v>57</v>
      </c>
      <c r="D74" s="123" t="s">
        <v>162</v>
      </c>
      <c r="E74" s="123">
        <v>27154.286</v>
      </c>
    </row>
    <row r="75" spans="1:5" s="75" customFormat="1" x14ac:dyDescent="0.2">
      <c r="B75" s="123" t="s">
        <v>56</v>
      </c>
      <c r="C75" s="123" t="s">
        <v>57</v>
      </c>
      <c r="D75" s="123" t="s">
        <v>55</v>
      </c>
      <c r="E75" s="131">
        <v>42</v>
      </c>
    </row>
    <row r="76" spans="1:5" s="75" customFormat="1" x14ac:dyDescent="0.2">
      <c r="B76" s="123" t="s">
        <v>56</v>
      </c>
      <c r="C76" s="123" t="s">
        <v>60</v>
      </c>
      <c r="D76" s="123" t="s">
        <v>163</v>
      </c>
      <c r="E76" s="127">
        <f>bblTOgal*galTOL</f>
        <v>158.98680000000002</v>
      </c>
    </row>
    <row r="77" spans="1:5" s="75" customFormat="1" x14ac:dyDescent="0.2">
      <c r="B77" s="123" t="s">
        <v>164</v>
      </c>
      <c r="C77" s="123" t="s">
        <v>57</v>
      </c>
      <c r="D77" s="123" t="s">
        <v>165</v>
      </c>
      <c r="E77" s="123">
        <v>7.4805200000000003</v>
      </c>
    </row>
    <row r="78" spans="1:5" s="75" customFormat="1" x14ac:dyDescent="0.2">
      <c r="B78" s="123" t="s">
        <v>164</v>
      </c>
      <c r="C78" s="123" t="s">
        <v>60</v>
      </c>
      <c r="D78" s="123" t="s">
        <v>166</v>
      </c>
      <c r="E78" s="123">
        <v>28.316870000000002</v>
      </c>
    </row>
    <row r="79" spans="1:5" s="75" customFormat="1" x14ac:dyDescent="0.2">
      <c r="B79" s="123" t="s">
        <v>164</v>
      </c>
      <c r="C79" s="123" t="s">
        <v>159</v>
      </c>
      <c r="D79" s="123" t="s">
        <v>167</v>
      </c>
      <c r="E79" s="123">
        <v>2.8320000000000001E-2</v>
      </c>
    </row>
    <row r="80" spans="1:5" s="75" customFormat="1" x14ac:dyDescent="0.2">
      <c r="B80" s="123" t="s">
        <v>57</v>
      </c>
      <c r="C80" s="123" t="s">
        <v>157</v>
      </c>
      <c r="D80" s="123" t="s">
        <v>168</v>
      </c>
      <c r="E80" s="136">
        <f>1/E72</f>
        <v>3.068425897514575E-6</v>
      </c>
    </row>
    <row r="81" spans="1:5" s="75" customFormat="1" x14ac:dyDescent="0.2">
      <c r="B81" s="123" t="s">
        <v>57</v>
      </c>
      <c r="C81" s="123" t="s">
        <v>161</v>
      </c>
      <c r="D81" s="123" t="s">
        <v>169</v>
      </c>
      <c r="E81" s="136">
        <f>1/E74</f>
        <v>3.6826598939114067E-5</v>
      </c>
    </row>
    <row r="82" spans="1:5" s="75" customFormat="1" x14ac:dyDescent="0.2">
      <c r="B82" s="123" t="s">
        <v>57</v>
      </c>
      <c r="C82" s="123" t="s">
        <v>56</v>
      </c>
      <c r="D82" s="123" t="s">
        <v>170</v>
      </c>
      <c r="E82" s="129">
        <f>1/bblTOgal</f>
        <v>2.3809523809523808E-2</v>
      </c>
    </row>
    <row r="83" spans="1:5" s="75" customFormat="1" x14ac:dyDescent="0.2">
      <c r="B83" s="123" t="s">
        <v>57</v>
      </c>
      <c r="C83" s="123" t="s">
        <v>60</v>
      </c>
      <c r="D83" s="123" t="s">
        <v>171</v>
      </c>
      <c r="E83" s="123">
        <v>3.7854000000000001</v>
      </c>
    </row>
    <row r="84" spans="1:5" s="75" customFormat="1" x14ac:dyDescent="0.2">
      <c r="B84" s="123" t="s">
        <v>57</v>
      </c>
      <c r="C84" s="123" t="s">
        <v>159</v>
      </c>
      <c r="D84" s="123" t="s">
        <v>172</v>
      </c>
      <c r="E84" s="123">
        <v>3.7850000000000002E-3</v>
      </c>
    </row>
    <row r="85" spans="1:5" s="75" customFormat="1" x14ac:dyDescent="0.2">
      <c r="B85" s="123" t="s">
        <v>60</v>
      </c>
      <c r="C85" s="123" t="s">
        <v>164</v>
      </c>
      <c r="D85" s="123" t="s">
        <v>173</v>
      </c>
      <c r="E85" s="123">
        <v>3.5310000000000001E-2</v>
      </c>
    </row>
    <row r="86" spans="1:5" s="75" customFormat="1" x14ac:dyDescent="0.2">
      <c r="B86" s="123" t="s">
        <v>60</v>
      </c>
      <c r="C86" s="123" t="s">
        <v>57</v>
      </c>
      <c r="D86" s="123" t="s">
        <v>59</v>
      </c>
      <c r="E86" s="138">
        <f>1/galTOliter</f>
        <v>0.2641728747292228</v>
      </c>
    </row>
    <row r="87" spans="1:5" s="75" customFormat="1" x14ac:dyDescent="0.2">
      <c r="B87" s="123" t="s">
        <v>60</v>
      </c>
      <c r="C87" s="123" t="s">
        <v>159</v>
      </c>
      <c r="D87" s="123" t="s">
        <v>174</v>
      </c>
      <c r="E87" s="123">
        <v>1E-3</v>
      </c>
    </row>
    <row r="88" spans="1:5" s="75" customFormat="1" x14ac:dyDescent="0.2">
      <c r="B88" s="123" t="s">
        <v>159</v>
      </c>
      <c r="C88" s="123" t="s">
        <v>157</v>
      </c>
      <c r="D88" s="123" t="s">
        <v>175</v>
      </c>
      <c r="E88" s="128">
        <f>1/E73</f>
        <v>8.1071308701707845E-4</v>
      </c>
    </row>
    <row r="89" spans="1:5" s="75" customFormat="1" x14ac:dyDescent="0.2">
      <c r="B89" s="123" t="s">
        <v>159</v>
      </c>
      <c r="C89" s="123" t="s">
        <v>164</v>
      </c>
      <c r="D89" s="123" t="s">
        <v>176</v>
      </c>
      <c r="E89" s="141">
        <f>1/E79</f>
        <v>35.310734463276837</v>
      </c>
    </row>
    <row r="90" spans="1:5" s="75" customFormat="1" x14ac:dyDescent="0.2">
      <c r="B90" s="123" t="s">
        <v>159</v>
      </c>
      <c r="C90" s="123" t="s">
        <v>57</v>
      </c>
      <c r="D90" s="123" t="s">
        <v>177</v>
      </c>
      <c r="E90" s="142">
        <f>1/E84</f>
        <v>264.20079260237782</v>
      </c>
    </row>
    <row r="91" spans="1:5" s="75" customFormat="1" x14ac:dyDescent="0.2">
      <c r="B91" s="123" t="s">
        <v>159</v>
      </c>
      <c r="C91" s="123" t="s">
        <v>178</v>
      </c>
      <c r="D91" s="123" t="s">
        <v>179</v>
      </c>
      <c r="E91" s="145">
        <f>1/LTOm3</f>
        <v>1000</v>
      </c>
    </row>
    <row r="92" spans="1:5" s="75" customFormat="1" x14ac:dyDescent="0.2">
      <c r="B92" s="123" t="s">
        <v>180</v>
      </c>
      <c r="C92" s="123" t="s">
        <v>159</v>
      </c>
      <c r="D92" s="123" t="s">
        <v>181</v>
      </c>
      <c r="E92" s="123">
        <v>0.76454999999999995</v>
      </c>
    </row>
    <row r="93" spans="1:5" s="75" customFormat="1" x14ac:dyDescent="0.2">
      <c r="B93" s="123"/>
      <c r="C93" s="123"/>
      <c r="D93" s="123"/>
      <c r="E93" s="146"/>
    </row>
    <row r="94" spans="1:5" x14ac:dyDescent="0.2">
      <c r="A94" s="20"/>
      <c r="B94" s="23" t="s">
        <v>182</v>
      </c>
      <c r="C94" s="23"/>
      <c r="D94" s="23"/>
      <c r="E94" s="23"/>
    </row>
    <row r="95" spans="1:5" s="75" customFormat="1" x14ac:dyDescent="0.2">
      <c r="B95" s="123" t="s">
        <v>86</v>
      </c>
      <c r="C95" s="123" t="s">
        <v>183</v>
      </c>
      <c r="D95" s="123" t="s">
        <v>184</v>
      </c>
      <c r="E95" s="130">
        <v>4.4482200000000001</v>
      </c>
    </row>
    <row r="96" spans="1:5" s="75" customFormat="1" x14ac:dyDescent="0.2">
      <c r="B96" s="123"/>
      <c r="C96" s="123"/>
      <c r="D96" s="123"/>
      <c r="E96" s="146"/>
    </row>
    <row r="97" spans="1:5" x14ac:dyDescent="0.2">
      <c r="A97" s="20"/>
      <c r="B97" s="23" t="s">
        <v>185</v>
      </c>
      <c r="C97" s="23"/>
      <c r="D97" s="23"/>
      <c r="E97" s="23"/>
    </row>
    <row r="98" spans="1:5" s="75" customFormat="1" x14ac:dyDescent="0.2">
      <c r="B98" s="123" t="s">
        <v>186</v>
      </c>
      <c r="C98" s="123" t="s">
        <v>187</v>
      </c>
      <c r="D98" s="123" t="s">
        <v>188</v>
      </c>
      <c r="E98" s="147">
        <v>1.01325</v>
      </c>
    </row>
    <row r="99" spans="1:5" s="75" customFormat="1" x14ac:dyDescent="0.2">
      <c r="B99" s="123" t="s">
        <v>186</v>
      </c>
      <c r="C99" s="123" t="s">
        <v>189</v>
      </c>
      <c r="D99" s="123" t="s">
        <v>190</v>
      </c>
      <c r="E99" s="140">
        <v>14.696</v>
      </c>
    </row>
    <row r="100" spans="1:5" s="75" customFormat="1" x14ac:dyDescent="0.2">
      <c r="B100" s="123" t="s">
        <v>187</v>
      </c>
      <c r="C100" s="123" t="s">
        <v>191</v>
      </c>
      <c r="D100" s="123" t="s">
        <v>192</v>
      </c>
      <c r="E100" s="123">
        <v>100000</v>
      </c>
    </row>
    <row r="101" spans="1:5" s="75" customFormat="1" x14ac:dyDescent="0.2">
      <c r="B101" s="123" t="s">
        <v>187</v>
      </c>
      <c r="C101" s="123" t="s">
        <v>189</v>
      </c>
      <c r="D101" s="123" t="s">
        <v>193</v>
      </c>
      <c r="E101" s="140">
        <v>14.5038</v>
      </c>
    </row>
    <row r="102" spans="1:5" s="75" customFormat="1" x14ac:dyDescent="0.2">
      <c r="B102" s="123" t="s">
        <v>189</v>
      </c>
      <c r="C102" s="123" t="s">
        <v>191</v>
      </c>
      <c r="D102" s="123" t="s">
        <v>194</v>
      </c>
      <c r="E102" s="137">
        <v>6894.76</v>
      </c>
    </row>
    <row r="103" spans="1:5" s="75" customFormat="1" x14ac:dyDescent="0.2">
      <c r="B103" s="123"/>
      <c r="C103" s="123"/>
      <c r="D103" s="123"/>
      <c r="E103" s="123"/>
    </row>
    <row r="104" spans="1:5" x14ac:dyDescent="0.2">
      <c r="A104" s="20"/>
      <c r="B104" s="23" t="s">
        <v>195</v>
      </c>
      <c r="C104" s="23"/>
      <c r="D104" s="23"/>
      <c r="E104" s="23"/>
    </row>
    <row r="105" spans="1:5" s="75" customFormat="1" x14ac:dyDescent="0.2">
      <c r="B105" s="123" t="s">
        <v>196</v>
      </c>
      <c r="C105" s="123" t="s">
        <v>197</v>
      </c>
      <c r="D105" s="123" t="s">
        <v>198</v>
      </c>
      <c r="E105" s="144">
        <v>251.99600000000001</v>
      </c>
    </row>
    <row r="106" spans="1:5" s="75" customFormat="1" x14ac:dyDescent="0.2">
      <c r="B106" s="123" t="s">
        <v>196</v>
      </c>
      <c r="C106" s="123" t="s">
        <v>199</v>
      </c>
      <c r="D106" s="123" t="s">
        <v>200</v>
      </c>
      <c r="E106" s="148">
        <v>1054.18</v>
      </c>
    </row>
    <row r="107" spans="1:5" s="75" customFormat="1" x14ac:dyDescent="0.2">
      <c r="B107" s="123" t="s">
        <v>196</v>
      </c>
      <c r="C107" s="123" t="s">
        <v>201</v>
      </c>
      <c r="D107" s="123" t="s">
        <v>202</v>
      </c>
      <c r="E107" s="125">
        <f>E106/1000</f>
        <v>1.0541800000000001</v>
      </c>
    </row>
    <row r="108" spans="1:5" s="75" customFormat="1" x14ac:dyDescent="0.2">
      <c r="B108" s="123" t="s">
        <v>196</v>
      </c>
      <c r="C108" s="123" t="s">
        <v>203</v>
      </c>
      <c r="D108" s="123" t="s">
        <v>204</v>
      </c>
      <c r="E108" s="123">
        <v>2.92875E-4</v>
      </c>
    </row>
    <row r="109" spans="1:5" s="75" customFormat="1" x14ac:dyDescent="0.2">
      <c r="B109" s="123" t="s">
        <v>196</v>
      </c>
      <c r="C109" s="123" t="s">
        <v>205</v>
      </c>
      <c r="D109" s="123" t="s">
        <v>206</v>
      </c>
      <c r="E109" s="132">
        <f>E106/1000000</f>
        <v>1.05418E-3</v>
      </c>
    </row>
    <row r="110" spans="1:5" s="75" customFormat="1" x14ac:dyDescent="0.2">
      <c r="B110" s="149" t="s">
        <v>196</v>
      </c>
      <c r="C110" s="149" t="s">
        <v>28</v>
      </c>
      <c r="D110" s="149" t="s">
        <v>565</v>
      </c>
      <c r="E110" s="126">
        <f>1/thermTOBtu</f>
        <v>1.0000000000000001E-5</v>
      </c>
    </row>
    <row r="111" spans="1:5" s="75" customFormat="1" x14ac:dyDescent="0.2">
      <c r="B111" s="123" t="s">
        <v>196</v>
      </c>
      <c r="C111" s="123" t="s">
        <v>207</v>
      </c>
      <c r="D111" s="123" t="s">
        <v>208</v>
      </c>
      <c r="E111" s="124">
        <f>E108*1000</f>
        <v>0.292875</v>
      </c>
    </row>
    <row r="112" spans="1:5" s="75" customFormat="1" x14ac:dyDescent="0.2">
      <c r="B112" s="123" t="s">
        <v>197</v>
      </c>
      <c r="C112" s="123" t="s">
        <v>196</v>
      </c>
      <c r="D112" s="123" t="s">
        <v>209</v>
      </c>
      <c r="E112" s="132">
        <f>1/E105</f>
        <v>3.9683169574120224E-3</v>
      </c>
    </row>
    <row r="113" spans="2:7" s="75" customFormat="1" x14ac:dyDescent="0.2">
      <c r="B113" s="123" t="s">
        <v>197</v>
      </c>
      <c r="C113" s="123" t="s">
        <v>199</v>
      </c>
      <c r="D113" s="123" t="s">
        <v>210</v>
      </c>
      <c r="E113" s="123">
        <v>4.1840000000000002</v>
      </c>
    </row>
    <row r="114" spans="2:7" s="75" customFormat="1" x14ac:dyDescent="0.2">
      <c r="B114" s="123" t="s">
        <v>211</v>
      </c>
      <c r="C114" s="123" t="s">
        <v>212</v>
      </c>
      <c r="D114" s="123" t="s">
        <v>213</v>
      </c>
      <c r="E114" s="142">
        <f>1/E151</f>
        <v>277.82330993134985</v>
      </c>
    </row>
    <row r="115" spans="2:7" s="75" customFormat="1" x14ac:dyDescent="0.2">
      <c r="B115" s="123" t="s">
        <v>214</v>
      </c>
      <c r="C115" s="149" t="s">
        <v>196</v>
      </c>
      <c r="D115" s="149" t="s">
        <v>562</v>
      </c>
      <c r="E115" s="150">
        <f>5.66*constants!F7</f>
        <v>127350</v>
      </c>
      <c r="G115" s="149" t="s">
        <v>560</v>
      </c>
    </row>
    <row r="116" spans="2:7" s="75" customFormat="1" x14ac:dyDescent="0.2">
      <c r="B116" s="149" t="s">
        <v>214</v>
      </c>
      <c r="C116" s="149" t="s">
        <v>28</v>
      </c>
      <c r="D116" s="149" t="s">
        <v>564</v>
      </c>
      <c r="E116" s="151">
        <f>ggeTOBtu*BtuTOtherm</f>
        <v>1.2735000000000001</v>
      </c>
      <c r="G116" s="149"/>
    </row>
    <row r="117" spans="2:7" s="75" customFormat="1" x14ac:dyDescent="0.2">
      <c r="B117" s="123" t="s">
        <v>215</v>
      </c>
      <c r="C117" s="123" t="s">
        <v>216</v>
      </c>
      <c r="D117" s="123" t="s">
        <v>217</v>
      </c>
      <c r="E117" s="124">
        <f>1/E140</f>
        <v>0.2778233099313499</v>
      </c>
    </row>
    <row r="118" spans="2:7" s="75" customFormat="1" x14ac:dyDescent="0.2">
      <c r="B118" s="123" t="s">
        <v>215</v>
      </c>
      <c r="C118" s="123" t="s">
        <v>44</v>
      </c>
      <c r="D118" s="123" t="s">
        <v>218</v>
      </c>
      <c r="E118" s="124">
        <f>kJTOBtu</f>
        <v>0.94860460262953183</v>
      </c>
    </row>
    <row r="119" spans="2:7" s="75" customFormat="1" x14ac:dyDescent="0.2">
      <c r="B119" s="123" t="s">
        <v>215</v>
      </c>
      <c r="C119" s="123" t="s">
        <v>28</v>
      </c>
      <c r="D119" s="123" t="s">
        <v>219</v>
      </c>
      <c r="E119" s="124">
        <f>GJTOmmBtu*mmBtuTOtherm</f>
        <v>9.4860460262953179</v>
      </c>
    </row>
    <row r="120" spans="2:7" s="75" customFormat="1" x14ac:dyDescent="0.2">
      <c r="B120" s="123" t="s">
        <v>199</v>
      </c>
      <c r="C120" s="123" t="s">
        <v>196</v>
      </c>
      <c r="D120" s="123" t="s">
        <v>220</v>
      </c>
      <c r="E120" s="128">
        <f>1/E106</f>
        <v>9.4860460262953192E-4</v>
      </c>
    </row>
    <row r="121" spans="2:7" s="75" customFormat="1" x14ac:dyDescent="0.2">
      <c r="B121" s="123" t="s">
        <v>199</v>
      </c>
      <c r="C121" s="123" t="s">
        <v>197</v>
      </c>
      <c r="D121" s="123" t="s">
        <v>221</v>
      </c>
      <c r="E121" s="124">
        <f>1/E113</f>
        <v>0.23900573613766729</v>
      </c>
    </row>
    <row r="122" spans="2:7" s="75" customFormat="1" x14ac:dyDescent="0.2">
      <c r="B122" s="123" t="s">
        <v>199</v>
      </c>
      <c r="C122" s="123" t="s">
        <v>207</v>
      </c>
      <c r="D122" s="123" t="s">
        <v>222</v>
      </c>
      <c r="E122" s="128">
        <f>1/E154</f>
        <v>2.7782330993134986E-4</v>
      </c>
    </row>
    <row r="123" spans="2:7" s="75" customFormat="1" x14ac:dyDescent="0.2">
      <c r="B123" s="123" t="s">
        <v>223</v>
      </c>
      <c r="C123" s="123" t="s">
        <v>205</v>
      </c>
      <c r="D123" s="123" t="s">
        <v>224</v>
      </c>
      <c r="E123" s="132">
        <f>E113/1000</f>
        <v>4.1840000000000002E-3</v>
      </c>
    </row>
    <row r="124" spans="2:7" s="75" customFormat="1" x14ac:dyDescent="0.2">
      <c r="B124" s="123" t="s">
        <v>201</v>
      </c>
      <c r="C124" s="123" t="s">
        <v>196</v>
      </c>
      <c r="D124" s="123" t="s">
        <v>225</v>
      </c>
      <c r="E124" s="124">
        <f>1/E107</f>
        <v>0.94860460262953183</v>
      </c>
    </row>
    <row r="125" spans="2:7" s="75" customFormat="1" x14ac:dyDescent="0.2">
      <c r="B125" s="123" t="s">
        <v>203</v>
      </c>
      <c r="C125" s="123" t="s">
        <v>196</v>
      </c>
      <c r="D125" s="123" t="s">
        <v>226</v>
      </c>
      <c r="E125" s="152">
        <f>1/E108</f>
        <v>3414.4259496372174</v>
      </c>
    </row>
    <row r="126" spans="2:7" s="75" customFormat="1" x14ac:dyDescent="0.2">
      <c r="B126" s="123" t="s">
        <v>203</v>
      </c>
      <c r="C126" s="123" t="s">
        <v>205</v>
      </c>
      <c r="D126" s="123" t="s">
        <v>227</v>
      </c>
      <c r="E126" s="125">
        <f>E154/1000</f>
        <v>3.5994099999999998</v>
      </c>
    </row>
    <row r="127" spans="2:7" s="75" customFormat="1" x14ac:dyDescent="0.2">
      <c r="B127" s="123" t="s">
        <v>205</v>
      </c>
      <c r="C127" s="123" t="s">
        <v>196</v>
      </c>
      <c r="D127" s="123" t="s">
        <v>228</v>
      </c>
      <c r="E127" s="142">
        <f>1000000/E106</f>
        <v>948.60460262953188</v>
      </c>
    </row>
    <row r="128" spans="2:7" s="75" customFormat="1" x14ac:dyDescent="0.2">
      <c r="B128" s="123" t="s">
        <v>205</v>
      </c>
      <c r="C128" s="123" t="s">
        <v>203</v>
      </c>
      <c r="D128" s="123" t="s">
        <v>229</v>
      </c>
      <c r="E128" s="124">
        <f>1/E126</f>
        <v>0.2778233099313499</v>
      </c>
    </row>
    <row r="129" spans="2:5" s="75" customFormat="1" x14ac:dyDescent="0.2">
      <c r="B129" s="123" t="s">
        <v>205</v>
      </c>
      <c r="C129" s="123" t="s">
        <v>223</v>
      </c>
      <c r="D129" s="123" t="s">
        <v>230</v>
      </c>
      <c r="E129" s="142">
        <f>1/E123</f>
        <v>239.0057361376673</v>
      </c>
    </row>
    <row r="130" spans="2:5" s="75" customFormat="1" x14ac:dyDescent="0.2">
      <c r="B130" s="123" t="s">
        <v>205</v>
      </c>
      <c r="C130" s="123" t="s">
        <v>216</v>
      </c>
      <c r="D130" s="123" t="s">
        <v>231</v>
      </c>
      <c r="E130" s="128">
        <f>MJTOkWh/1000</f>
        <v>2.7782330993134991E-4</v>
      </c>
    </row>
    <row r="131" spans="2:5" s="75" customFormat="1" x14ac:dyDescent="0.2">
      <c r="B131" s="123" t="s">
        <v>205</v>
      </c>
      <c r="C131" s="123" t="s">
        <v>28</v>
      </c>
      <c r="D131" s="123" t="s">
        <v>232</v>
      </c>
      <c r="E131" s="153">
        <f>GJTOtherm/1000</f>
        <v>9.4860460262953181E-3</v>
      </c>
    </row>
    <row r="132" spans="2:5" s="75" customFormat="1" x14ac:dyDescent="0.2">
      <c r="B132" s="123" t="s">
        <v>44</v>
      </c>
      <c r="C132" s="123" t="s">
        <v>205</v>
      </c>
      <c r="D132" s="123" t="s">
        <v>233</v>
      </c>
      <c r="E132" s="145">
        <f>BtuTOJ</f>
        <v>1054.18</v>
      </c>
    </row>
    <row r="133" spans="2:5" s="75" customFormat="1" x14ac:dyDescent="0.2">
      <c r="B133" s="123" t="s">
        <v>44</v>
      </c>
      <c r="C133" s="123" t="s">
        <v>216</v>
      </c>
      <c r="D133" s="123" t="s">
        <v>234</v>
      </c>
      <c r="E133" s="124">
        <f>E108*1000</f>
        <v>0.292875</v>
      </c>
    </row>
    <row r="134" spans="2:5" s="75" customFormat="1" x14ac:dyDescent="0.2">
      <c r="B134" s="123" t="s">
        <v>44</v>
      </c>
      <c r="C134" s="123" t="s">
        <v>28</v>
      </c>
      <c r="D134" s="123" t="s">
        <v>43</v>
      </c>
      <c r="E134" s="137">
        <v>10</v>
      </c>
    </row>
    <row r="135" spans="2:5" s="75" customFormat="1" x14ac:dyDescent="0.2">
      <c r="B135" s="123" t="s">
        <v>44</v>
      </c>
      <c r="C135" s="123" t="s">
        <v>235</v>
      </c>
      <c r="D135" s="123" t="s">
        <v>236</v>
      </c>
      <c r="E135" s="153">
        <f>mmBtuTOMJ/1000000</f>
        <v>1.05418E-3</v>
      </c>
    </row>
    <row r="136" spans="2:5" s="75" customFormat="1" x14ac:dyDescent="0.2">
      <c r="B136" s="123" t="s">
        <v>237</v>
      </c>
      <c r="C136" s="123" t="s">
        <v>238</v>
      </c>
      <c r="D136" s="123" t="s">
        <v>239</v>
      </c>
      <c r="E136" s="131">
        <v>11630</v>
      </c>
    </row>
    <row r="137" spans="2:5" s="75" customFormat="1" x14ac:dyDescent="0.2">
      <c r="B137" s="123" t="s">
        <v>237</v>
      </c>
      <c r="C137" s="123" t="s">
        <v>44</v>
      </c>
      <c r="D137" s="123" t="s">
        <v>240</v>
      </c>
      <c r="E137" s="143">
        <v>39680000</v>
      </c>
    </row>
    <row r="138" spans="2:5" s="75" customFormat="1" x14ac:dyDescent="0.2">
      <c r="B138" s="123" t="s">
        <v>237</v>
      </c>
      <c r="C138" s="123" t="s">
        <v>235</v>
      </c>
      <c r="D138" s="123" t="s">
        <v>241</v>
      </c>
      <c r="E138" s="131">
        <v>41868</v>
      </c>
    </row>
    <row r="139" spans="2:5" s="75" customFormat="1" x14ac:dyDescent="0.2">
      <c r="B139" s="123" t="s">
        <v>242</v>
      </c>
      <c r="C139" s="123" t="s">
        <v>216</v>
      </c>
      <c r="D139" s="123" t="s">
        <v>243</v>
      </c>
      <c r="E139" s="145">
        <f>yrTOhr</f>
        <v>8760</v>
      </c>
    </row>
    <row r="140" spans="2:5" s="75" customFormat="1" x14ac:dyDescent="0.2">
      <c r="B140" s="123" t="s">
        <v>216</v>
      </c>
      <c r="C140" s="123" t="s">
        <v>215</v>
      </c>
      <c r="D140" s="123" t="s">
        <v>244</v>
      </c>
      <c r="E140" s="125">
        <f>E126</f>
        <v>3.5994099999999998</v>
      </c>
    </row>
    <row r="141" spans="2:5" s="75" customFormat="1" x14ac:dyDescent="0.2">
      <c r="B141" s="123" t="s">
        <v>216</v>
      </c>
      <c r="C141" s="123" t="s">
        <v>44</v>
      </c>
      <c r="D141" s="123" t="s">
        <v>245</v>
      </c>
      <c r="E141" s="125">
        <f>1/E133</f>
        <v>3.4144259496372174</v>
      </c>
    </row>
    <row r="142" spans="2:5" s="75" customFormat="1" x14ac:dyDescent="0.2">
      <c r="B142" s="123" t="s">
        <v>216</v>
      </c>
      <c r="C142" s="123" t="s">
        <v>242</v>
      </c>
      <c r="D142" s="123" t="s">
        <v>246</v>
      </c>
      <c r="E142" s="154">
        <f>hrTOyr</f>
        <v>1.1415525114155251E-4</v>
      </c>
    </row>
    <row r="143" spans="2:5" s="75" customFormat="1" x14ac:dyDescent="0.2">
      <c r="B143" s="123" t="s">
        <v>216</v>
      </c>
      <c r="C143" s="123" t="s">
        <v>235</v>
      </c>
      <c r="D143" s="123" t="s">
        <v>247</v>
      </c>
      <c r="E143" s="132">
        <f>MWhTOGJ/1000</f>
        <v>3.5994099999999999E-3</v>
      </c>
    </row>
    <row r="144" spans="2:5" s="75" customFormat="1" x14ac:dyDescent="0.2">
      <c r="B144" s="123" t="s">
        <v>248</v>
      </c>
      <c r="C144" s="123" t="s">
        <v>211</v>
      </c>
      <c r="D144" s="123" t="s">
        <v>249</v>
      </c>
      <c r="E144" s="125">
        <f>quadTOTWh*TWhTOEJ</f>
        <v>1.0541772037499999</v>
      </c>
    </row>
    <row r="145" spans="1:5" s="75" customFormat="1" x14ac:dyDescent="0.2">
      <c r="B145" s="123" t="s">
        <v>248</v>
      </c>
      <c r="C145" s="123" t="s">
        <v>212</v>
      </c>
      <c r="D145" s="123" t="s">
        <v>250</v>
      </c>
      <c r="E145" s="127">
        <f>1/E152</f>
        <v>292.875</v>
      </c>
    </row>
    <row r="146" spans="1:5" s="75" customFormat="1" x14ac:dyDescent="0.2">
      <c r="B146" s="123" t="s">
        <v>28</v>
      </c>
      <c r="C146" s="123" t="s">
        <v>196</v>
      </c>
      <c r="D146" s="123" t="s">
        <v>251</v>
      </c>
      <c r="E146" s="131">
        <v>100000</v>
      </c>
    </row>
    <row r="147" spans="1:5" s="75" customFormat="1" x14ac:dyDescent="0.2">
      <c r="B147" s="123" t="s">
        <v>28</v>
      </c>
      <c r="C147" s="123" t="s">
        <v>215</v>
      </c>
      <c r="D147" s="123" t="s">
        <v>252</v>
      </c>
      <c r="E147" s="153">
        <f>1/GJTOtherm</f>
        <v>0.10541800000000003</v>
      </c>
    </row>
    <row r="148" spans="1:5" s="75" customFormat="1" x14ac:dyDescent="0.2">
      <c r="B148" s="123" t="s">
        <v>28</v>
      </c>
      <c r="C148" s="123" t="s">
        <v>203</v>
      </c>
      <c r="D148" s="123" t="s">
        <v>253</v>
      </c>
      <c r="E148" s="134">
        <f>thermTOBtu*BtuTOkWh</f>
        <v>29.287500000000001</v>
      </c>
    </row>
    <row r="149" spans="1:5" s="75" customFormat="1" x14ac:dyDescent="0.2">
      <c r="B149" s="123" t="s">
        <v>28</v>
      </c>
      <c r="C149" s="123" t="s">
        <v>205</v>
      </c>
      <c r="D149" s="123" t="s">
        <v>254</v>
      </c>
      <c r="E149" s="127">
        <f>1/MJTOtherm</f>
        <v>105.41800000000002</v>
      </c>
    </row>
    <row r="150" spans="1:5" s="75" customFormat="1" x14ac:dyDescent="0.2">
      <c r="B150" s="123" t="s">
        <v>28</v>
      </c>
      <c r="C150" s="123" t="s">
        <v>235</v>
      </c>
      <c r="D150" s="123" t="s">
        <v>255</v>
      </c>
      <c r="E150" s="133">
        <f>thermTOMJ/1000000</f>
        <v>1.0541800000000003E-4</v>
      </c>
    </row>
    <row r="151" spans="1:5" s="75" customFormat="1" x14ac:dyDescent="0.2">
      <c r="B151" s="123" t="s">
        <v>212</v>
      </c>
      <c r="C151" s="123" t="s">
        <v>211</v>
      </c>
      <c r="D151" s="123" t="s">
        <v>256</v>
      </c>
      <c r="E151" s="132">
        <f>WhTOJ/1000000</f>
        <v>3.5994099999999999E-3</v>
      </c>
    </row>
    <row r="152" spans="1:5" s="75" customFormat="1" x14ac:dyDescent="0.2">
      <c r="B152" s="123" t="s">
        <v>212</v>
      </c>
      <c r="C152" s="123" t="s">
        <v>248</v>
      </c>
      <c r="D152" s="123" t="s">
        <v>257</v>
      </c>
      <c r="E152" s="132">
        <f>E141/1000</f>
        <v>3.4144259496372174E-3</v>
      </c>
    </row>
    <row r="153" spans="1:5" s="75" customFormat="1" x14ac:dyDescent="0.2">
      <c r="B153" s="123" t="s">
        <v>207</v>
      </c>
      <c r="C153" s="123" t="s">
        <v>196</v>
      </c>
      <c r="D153" s="123" t="s">
        <v>258</v>
      </c>
      <c r="E153" s="125">
        <f>1/E111</f>
        <v>3.4144259496372174</v>
      </c>
    </row>
    <row r="154" spans="1:5" s="75" customFormat="1" x14ac:dyDescent="0.2">
      <c r="B154" s="123" t="s">
        <v>207</v>
      </c>
      <c r="C154" s="123" t="s">
        <v>199</v>
      </c>
      <c r="D154" s="123" t="s">
        <v>259</v>
      </c>
      <c r="E154" s="123">
        <v>3599.41</v>
      </c>
    </row>
    <row r="155" spans="1:5" s="75" customFormat="1" x14ac:dyDescent="0.2">
      <c r="B155" s="123"/>
      <c r="C155" s="123"/>
      <c r="D155" s="123"/>
      <c r="E155" s="123"/>
    </row>
    <row r="156" spans="1:5" x14ac:dyDescent="0.2">
      <c r="A156" s="20"/>
      <c r="B156" s="23" t="s">
        <v>260</v>
      </c>
      <c r="C156" s="23"/>
      <c r="D156" s="23"/>
      <c r="E156" s="23"/>
    </row>
    <row r="157" spans="1:5" s="75" customFormat="1" x14ac:dyDescent="0.2">
      <c r="B157" s="123" t="s">
        <v>261</v>
      </c>
      <c r="C157" s="123" t="s">
        <v>262</v>
      </c>
      <c r="D157" s="123" t="s">
        <v>263</v>
      </c>
      <c r="E157" s="124">
        <f>1000/E36</f>
        <v>0.27777777777777779</v>
      </c>
    </row>
    <row r="158" spans="1:5" s="75" customFormat="1" x14ac:dyDescent="0.2">
      <c r="B158" s="123" t="s">
        <v>264</v>
      </c>
      <c r="C158" s="123" t="s">
        <v>265</v>
      </c>
      <c r="D158" s="123" t="s">
        <v>266</v>
      </c>
      <c r="E158" s="131">
        <v>1000000</v>
      </c>
    </row>
    <row r="159" spans="1:5" s="75" customFormat="1" x14ac:dyDescent="0.2">
      <c r="B159" s="123" t="s">
        <v>264</v>
      </c>
      <c r="C159" s="123" t="s">
        <v>267</v>
      </c>
      <c r="D159" s="123" t="s">
        <v>268</v>
      </c>
      <c r="E159" s="126">
        <f>1/E166</f>
        <v>2.9910371318822026E-2</v>
      </c>
    </row>
    <row r="160" spans="1:5" s="75" customFormat="1" x14ac:dyDescent="0.2">
      <c r="B160" s="123" t="s">
        <v>264</v>
      </c>
      <c r="C160" s="123" t="s">
        <v>269</v>
      </c>
      <c r="D160" s="123" t="s">
        <v>270</v>
      </c>
      <c r="E160" s="151">
        <f>1/E167</f>
        <v>8.76</v>
      </c>
    </row>
    <row r="161" spans="1:5" s="75" customFormat="1" x14ac:dyDescent="0.2">
      <c r="B161" s="123" t="s">
        <v>271</v>
      </c>
      <c r="C161" s="123" t="s">
        <v>265</v>
      </c>
      <c r="D161" s="123" t="s">
        <v>272</v>
      </c>
      <c r="E161" s="123">
        <v>0.746</v>
      </c>
    </row>
    <row r="162" spans="1:5" s="75" customFormat="1" x14ac:dyDescent="0.2">
      <c r="B162" s="123" t="s">
        <v>265</v>
      </c>
      <c r="C162" s="123" t="s">
        <v>271</v>
      </c>
      <c r="D162" s="123" t="s">
        <v>273</v>
      </c>
      <c r="E162" s="125">
        <f>1/E161</f>
        <v>1.3404825737265416</v>
      </c>
    </row>
    <row r="163" spans="1:5" s="75" customFormat="1" x14ac:dyDescent="0.2">
      <c r="B163" s="123" t="s">
        <v>274</v>
      </c>
      <c r="C163" s="123" t="s">
        <v>265</v>
      </c>
      <c r="D163" s="123" t="s">
        <v>275</v>
      </c>
      <c r="E163" s="138">
        <f>GJ.hrTOMW</f>
        <v>0.27777777777777779</v>
      </c>
    </row>
    <row r="164" spans="1:5" s="75" customFormat="1" x14ac:dyDescent="0.2">
      <c r="B164" s="123" t="s">
        <v>262</v>
      </c>
      <c r="C164" s="123" t="s">
        <v>261</v>
      </c>
      <c r="D164" s="123" t="s">
        <v>276</v>
      </c>
      <c r="E164" s="125">
        <f>1/E157</f>
        <v>3.5999999999999996</v>
      </c>
    </row>
    <row r="165" spans="1:5" s="75" customFormat="1" x14ac:dyDescent="0.2">
      <c r="B165" s="123" t="s">
        <v>262</v>
      </c>
      <c r="C165" s="123" t="s">
        <v>265</v>
      </c>
      <c r="D165" s="123" t="s">
        <v>277</v>
      </c>
      <c r="E165" s="131">
        <v>1000</v>
      </c>
    </row>
    <row r="166" spans="1:5" s="75" customFormat="1" x14ac:dyDescent="0.2">
      <c r="B166" s="123" t="s">
        <v>267</v>
      </c>
      <c r="C166" s="123" t="s">
        <v>264</v>
      </c>
      <c r="D166" s="123" t="s">
        <v>278</v>
      </c>
      <c r="E166" s="134">
        <f>quadTOTWh*hrTOyr*1000</f>
        <v>33.43321917808219</v>
      </c>
    </row>
    <row r="167" spans="1:5" s="75" customFormat="1" x14ac:dyDescent="0.2">
      <c r="B167" s="123" t="s">
        <v>269</v>
      </c>
      <c r="C167" s="123" t="s">
        <v>264</v>
      </c>
      <c r="D167" s="123" t="s">
        <v>279</v>
      </c>
      <c r="E167" s="138">
        <f>1000*hrTOyr</f>
        <v>0.11415525114155251</v>
      </c>
    </row>
    <row r="168" spans="1:5" s="75" customFormat="1" x14ac:dyDescent="0.2">
      <c r="B168" s="123"/>
      <c r="C168" s="123"/>
      <c r="D168" s="123"/>
      <c r="E168" s="123"/>
    </row>
    <row r="169" spans="1:5" x14ac:dyDescent="0.2">
      <c r="A169" s="20"/>
      <c r="B169" s="23" t="s">
        <v>280</v>
      </c>
      <c r="C169" s="23"/>
      <c r="D169" s="23"/>
      <c r="E169" s="23"/>
    </row>
    <row r="170" spans="1:5" s="75" customFormat="1" x14ac:dyDescent="0.2">
      <c r="B170" s="123" t="s">
        <v>281</v>
      </c>
      <c r="C170" s="123" t="s">
        <v>282</v>
      </c>
      <c r="D170" s="123" t="s">
        <v>283</v>
      </c>
      <c r="E170" s="123">
        <v>6.3089999999999993E-2</v>
      </c>
    </row>
    <row r="171" spans="1:5" s="75" customFormat="1" x14ac:dyDescent="0.2">
      <c r="B171" s="123" t="s">
        <v>284</v>
      </c>
      <c r="C171" s="123" t="s">
        <v>281</v>
      </c>
      <c r="D171" s="123" t="s">
        <v>285</v>
      </c>
      <c r="E171" s="141">
        <f>1/E170</f>
        <v>15.85037248375337</v>
      </c>
    </row>
    <row r="172" spans="1:5" s="75" customFormat="1" x14ac:dyDescent="0.2">
      <c r="B172" s="123" t="s">
        <v>373</v>
      </c>
      <c r="C172" s="123" t="s">
        <v>281</v>
      </c>
      <c r="D172" s="123" t="s">
        <v>286</v>
      </c>
      <c r="E172" s="138">
        <f>L.sTOgpm*41:41/LTOm3</f>
        <v>0.1834522111269615</v>
      </c>
    </row>
    <row r="173" spans="1:5" s="75" customFormat="1" x14ac:dyDescent="0.2">
      <c r="B173" s="123"/>
      <c r="C173" s="123"/>
      <c r="D173" s="123"/>
      <c r="E173" s="123"/>
    </row>
    <row r="174" spans="1:5" x14ac:dyDescent="0.2">
      <c r="A174" s="20"/>
      <c r="B174" s="23" t="s">
        <v>287</v>
      </c>
      <c r="C174" s="23"/>
      <c r="D174" s="23"/>
      <c r="E174" s="23"/>
    </row>
    <row r="175" spans="1:5" s="75" customFormat="1" x14ac:dyDescent="0.2">
      <c r="B175" s="123" t="s">
        <v>288</v>
      </c>
      <c r="C175" s="123" t="s">
        <v>289</v>
      </c>
      <c r="D175" s="123" t="s">
        <v>290</v>
      </c>
      <c r="E175" s="132">
        <f>1/(E161*1000)</f>
        <v>1.3404825737265416E-3</v>
      </c>
    </row>
    <row r="176" spans="1:5" s="75" customFormat="1" x14ac:dyDescent="0.2">
      <c r="B176" s="123" t="s">
        <v>291</v>
      </c>
      <c r="C176" s="123" t="s">
        <v>289</v>
      </c>
      <c r="D176" s="123" t="s">
        <v>292</v>
      </c>
      <c r="E176" s="128">
        <f>1/E179</f>
        <v>9.4860460262953192E-4</v>
      </c>
    </row>
    <row r="177" spans="1:5" s="75" customFormat="1" x14ac:dyDescent="0.2">
      <c r="B177" s="123" t="s">
        <v>293</v>
      </c>
      <c r="C177" s="123" t="s">
        <v>289</v>
      </c>
      <c r="D177" s="123" t="s">
        <v>294</v>
      </c>
      <c r="E177" s="124">
        <f>1/E180</f>
        <v>0.94860460262953183</v>
      </c>
    </row>
    <row r="178" spans="1:5" s="75" customFormat="1" x14ac:dyDescent="0.2">
      <c r="B178" s="123" t="s">
        <v>289</v>
      </c>
      <c r="C178" s="123" t="s">
        <v>288</v>
      </c>
      <c r="D178" s="123" t="s">
        <v>295</v>
      </c>
      <c r="E178" s="142">
        <f>1/E175</f>
        <v>746</v>
      </c>
    </row>
    <row r="179" spans="1:5" s="75" customFormat="1" x14ac:dyDescent="0.2">
      <c r="B179" s="123" t="s">
        <v>289</v>
      </c>
      <c r="C179" s="123" t="s">
        <v>291</v>
      </c>
      <c r="D179" s="123" t="s">
        <v>296</v>
      </c>
      <c r="E179" s="152">
        <f>E106</f>
        <v>1054.18</v>
      </c>
    </row>
    <row r="180" spans="1:5" s="75" customFormat="1" x14ac:dyDescent="0.2">
      <c r="B180" s="123" t="s">
        <v>289</v>
      </c>
      <c r="C180" s="123" t="s">
        <v>293</v>
      </c>
      <c r="D180" s="123" t="s">
        <v>297</v>
      </c>
      <c r="E180" s="125">
        <f>E107</f>
        <v>1.0541800000000001</v>
      </c>
    </row>
    <row r="181" spans="1:5" s="75" customFormat="1" x14ac:dyDescent="0.2">
      <c r="B181" s="123"/>
      <c r="C181" s="123"/>
      <c r="D181" s="123"/>
      <c r="E181" s="123"/>
    </row>
    <row r="182" spans="1:5" x14ac:dyDescent="0.2">
      <c r="A182" s="20"/>
      <c r="B182" s="23" t="s">
        <v>298</v>
      </c>
      <c r="C182" s="23"/>
      <c r="D182" s="23"/>
      <c r="E182" s="23"/>
    </row>
    <row r="183" spans="1:5" s="75" customFormat="1" x14ac:dyDescent="0.2">
      <c r="B183" s="123" t="s">
        <v>299</v>
      </c>
      <c r="C183" s="123" t="s">
        <v>300</v>
      </c>
      <c r="D183" s="123" t="s">
        <v>301</v>
      </c>
      <c r="E183" s="125">
        <f>E18*E162</f>
        <v>2.9552084958698002</v>
      </c>
    </row>
    <row r="184" spans="1:5" s="75" customFormat="1" x14ac:dyDescent="0.2">
      <c r="B184" s="123" t="s">
        <v>302</v>
      </c>
      <c r="C184" s="123" t="s">
        <v>300</v>
      </c>
      <c r="D184" s="123" t="s">
        <v>303</v>
      </c>
      <c r="E184" s="125">
        <f>E18</f>
        <v>2.204585537918871</v>
      </c>
    </row>
    <row r="185" spans="1:5" s="75" customFormat="1" x14ac:dyDescent="0.2">
      <c r="B185" s="123" t="s">
        <v>304</v>
      </c>
      <c r="C185" s="123" t="s">
        <v>300</v>
      </c>
      <c r="D185" s="123" t="s">
        <v>305</v>
      </c>
      <c r="E185" s="125">
        <f>1/E191</f>
        <v>7.9352072310405646</v>
      </c>
    </row>
    <row r="186" spans="1:5" s="75" customFormat="1" x14ac:dyDescent="0.2">
      <c r="B186" s="123" t="s">
        <v>306</v>
      </c>
      <c r="C186" s="123" t="s">
        <v>307</v>
      </c>
      <c r="D186" s="123" t="s">
        <v>308</v>
      </c>
      <c r="E186" s="128">
        <f>E21</f>
        <v>4.5360000000000002E-4</v>
      </c>
    </row>
    <row r="187" spans="1:5" s="75" customFormat="1" x14ac:dyDescent="0.2">
      <c r="B187" s="123" t="s">
        <v>306</v>
      </c>
      <c r="C187" s="123" t="s">
        <v>309</v>
      </c>
      <c r="D187" s="123" t="s">
        <v>310</v>
      </c>
      <c r="E187" s="142">
        <f>1/E193</f>
        <v>430.28704775275571</v>
      </c>
    </row>
    <row r="188" spans="1:5" s="75" customFormat="1" x14ac:dyDescent="0.2">
      <c r="B188" s="123" t="s">
        <v>306</v>
      </c>
      <c r="C188" s="123" t="s">
        <v>311</v>
      </c>
      <c r="D188" s="123" t="s">
        <v>312</v>
      </c>
      <c r="E188" s="124">
        <f>1/E194</f>
        <v>0.45360000000000006</v>
      </c>
    </row>
    <row r="189" spans="1:5" s="75" customFormat="1" x14ac:dyDescent="0.2">
      <c r="B189" s="123" t="s">
        <v>300</v>
      </c>
      <c r="C189" s="123" t="s">
        <v>299</v>
      </c>
      <c r="D189" s="123" t="s">
        <v>313</v>
      </c>
      <c r="E189" s="124">
        <f>1/E183</f>
        <v>0.33838560000000006</v>
      </c>
    </row>
    <row r="190" spans="1:5" s="75" customFormat="1" x14ac:dyDescent="0.2">
      <c r="B190" s="123" t="s">
        <v>300</v>
      </c>
      <c r="C190" s="123" t="s">
        <v>302</v>
      </c>
      <c r="D190" s="123" t="s">
        <v>314</v>
      </c>
      <c r="E190" s="133">
        <f>1/E184</f>
        <v>0.45360000000000006</v>
      </c>
    </row>
    <row r="191" spans="1:5" s="75" customFormat="1" x14ac:dyDescent="0.2">
      <c r="B191" s="123" t="s">
        <v>300</v>
      </c>
      <c r="C191" s="123" t="s">
        <v>304</v>
      </c>
      <c r="D191" s="123" t="s">
        <v>315</v>
      </c>
      <c r="E191" s="124">
        <f>E20/E140</f>
        <v>0.12602065338486029</v>
      </c>
    </row>
    <row r="192" spans="1:5" s="75" customFormat="1" x14ac:dyDescent="0.2">
      <c r="B192" s="123" t="s">
        <v>300</v>
      </c>
      <c r="C192" s="123" t="s">
        <v>316</v>
      </c>
      <c r="D192" s="123" t="s">
        <v>317</v>
      </c>
      <c r="E192" s="133">
        <f>1/E195</f>
        <v>0.5</v>
      </c>
    </row>
    <row r="193" spans="1:5" s="75" customFormat="1" x14ac:dyDescent="0.2">
      <c r="B193" s="123" t="s">
        <v>309</v>
      </c>
      <c r="C193" s="123" t="s">
        <v>306</v>
      </c>
      <c r="D193" s="123" t="s">
        <v>318</v>
      </c>
      <c r="E193" s="132">
        <f>E18/(E120*1000000)</f>
        <v>2.3240299823633157E-3</v>
      </c>
    </row>
    <row r="194" spans="1:5" s="75" customFormat="1" x14ac:dyDescent="0.2">
      <c r="B194" s="123" t="s">
        <v>311</v>
      </c>
      <c r="C194" s="123" t="s">
        <v>306</v>
      </c>
      <c r="D194" s="123" t="s">
        <v>319</v>
      </c>
      <c r="E194" s="125">
        <f>E18</f>
        <v>2.204585537918871</v>
      </c>
    </row>
    <row r="195" spans="1:5" s="75" customFormat="1" x14ac:dyDescent="0.2">
      <c r="B195" s="123" t="s">
        <v>316</v>
      </c>
      <c r="C195" s="123" t="s">
        <v>300</v>
      </c>
      <c r="D195" s="123" t="s">
        <v>320</v>
      </c>
      <c r="E195" s="125">
        <f>2000/1000</f>
        <v>2</v>
      </c>
    </row>
    <row r="196" spans="1:5" s="75" customFormat="1" x14ac:dyDescent="0.2">
      <c r="B196" s="123"/>
      <c r="C196" s="123"/>
      <c r="D196" s="123"/>
      <c r="E196" s="123"/>
    </row>
    <row r="197" spans="1:5" x14ac:dyDescent="0.2">
      <c r="A197" s="20"/>
      <c r="B197" s="23" t="s">
        <v>321</v>
      </c>
      <c r="C197" s="23"/>
      <c r="D197" s="23"/>
      <c r="E197" s="23"/>
    </row>
    <row r="198" spans="1:5" s="75" customFormat="1" x14ac:dyDescent="0.2">
      <c r="B198" s="123" t="s">
        <v>322</v>
      </c>
      <c r="C198" s="123" t="s">
        <v>323</v>
      </c>
      <c r="D198" s="123" t="s">
        <v>324</v>
      </c>
      <c r="E198" s="153">
        <f>E107/(E20*1000)</f>
        <v>2.3240299823633157E-3</v>
      </c>
    </row>
    <row r="199" spans="1:5" s="75" customFormat="1" x14ac:dyDescent="0.2">
      <c r="B199" s="123" t="s">
        <v>322</v>
      </c>
      <c r="C199" s="123" t="s">
        <v>325</v>
      </c>
      <c r="D199" s="123" t="s">
        <v>326</v>
      </c>
      <c r="E199" s="153">
        <f>1/E204</f>
        <v>2E-3</v>
      </c>
    </row>
    <row r="200" spans="1:5" s="75" customFormat="1" x14ac:dyDescent="0.2">
      <c r="B200" s="123" t="s">
        <v>327</v>
      </c>
      <c r="C200" s="123" t="s">
        <v>323</v>
      </c>
      <c r="D200" s="123" t="s">
        <v>328</v>
      </c>
      <c r="E200" s="153">
        <f>E126/(E20*2000)</f>
        <v>3.9676036155202815E-3</v>
      </c>
    </row>
    <row r="201" spans="1:5" s="75" customFormat="1" x14ac:dyDescent="0.2">
      <c r="B201" s="123" t="s">
        <v>323</v>
      </c>
      <c r="C201" s="123" t="s">
        <v>322</v>
      </c>
      <c r="D201" s="123" t="s">
        <v>329</v>
      </c>
      <c r="E201" s="142">
        <f>1/E198</f>
        <v>430.28704775275571</v>
      </c>
    </row>
    <row r="202" spans="1:5" s="75" customFormat="1" x14ac:dyDescent="0.2">
      <c r="B202" s="123" t="s">
        <v>323</v>
      </c>
      <c r="C202" s="123" t="s">
        <v>327</v>
      </c>
      <c r="D202" s="123" t="s">
        <v>330</v>
      </c>
      <c r="E202" s="127">
        <f>1/E200</f>
        <v>252.04130676972062</v>
      </c>
    </row>
    <row r="203" spans="1:5" s="75" customFormat="1" x14ac:dyDescent="0.2">
      <c r="B203" s="123" t="s">
        <v>323</v>
      </c>
      <c r="C203" s="123" t="s">
        <v>325</v>
      </c>
      <c r="D203" s="123" t="s">
        <v>331</v>
      </c>
      <c r="E203" s="138">
        <f>MJ.kgTOBtu.lb*Btu.lbTOmmBtu.ton</f>
        <v>0.86057409550551145</v>
      </c>
    </row>
    <row r="204" spans="1:5" s="75" customFormat="1" x14ac:dyDescent="0.2">
      <c r="B204" s="123" t="s">
        <v>325</v>
      </c>
      <c r="C204" s="123" t="s">
        <v>322</v>
      </c>
      <c r="D204" s="123" t="s">
        <v>332</v>
      </c>
      <c r="E204" s="127">
        <f>1000000/E27</f>
        <v>500</v>
      </c>
    </row>
    <row r="205" spans="1:5" s="75" customFormat="1" x14ac:dyDescent="0.2">
      <c r="B205" s="123"/>
      <c r="C205" s="123"/>
      <c r="D205" s="123"/>
      <c r="E205" s="155"/>
    </row>
    <row r="206" spans="1:5" x14ac:dyDescent="0.2">
      <c r="A206" s="20"/>
      <c r="B206" s="23" t="s">
        <v>333</v>
      </c>
      <c r="C206" s="23"/>
      <c r="D206" s="23"/>
      <c r="E206" s="23"/>
    </row>
    <row r="207" spans="1:5" s="75" customFormat="1" x14ac:dyDescent="0.2">
      <c r="B207" s="123" t="s">
        <v>334</v>
      </c>
      <c r="C207" s="123" t="s">
        <v>335</v>
      </c>
      <c r="D207" s="123" t="s">
        <v>336</v>
      </c>
      <c r="E207" s="129">
        <f>BtuTOkJ/(1000*ft3TOm3)</f>
        <v>3.7223870056497181E-2</v>
      </c>
    </row>
    <row r="208" spans="1:5" s="75" customFormat="1" x14ac:dyDescent="0.2">
      <c r="B208" s="123" t="s">
        <v>335</v>
      </c>
      <c r="C208" s="123" t="s">
        <v>334</v>
      </c>
      <c r="D208" s="123" t="s">
        <v>337</v>
      </c>
      <c r="E208" s="141">
        <f>1/E207</f>
        <v>26.864482346468339</v>
      </c>
    </row>
    <row r="209" spans="1:5" s="75" customFormat="1" x14ac:dyDescent="0.2">
      <c r="B209" s="123"/>
      <c r="C209" s="123"/>
      <c r="D209" s="123"/>
      <c r="E209" s="156"/>
    </row>
    <row r="210" spans="1:5" x14ac:dyDescent="0.2">
      <c r="A210" s="20"/>
      <c r="B210" s="23" t="s">
        <v>338</v>
      </c>
      <c r="C210" s="23"/>
      <c r="D210" s="23"/>
      <c r="E210" s="23"/>
    </row>
    <row r="211" spans="1:5" s="75" customFormat="1" x14ac:dyDescent="0.2">
      <c r="B211" s="123" t="s">
        <v>339</v>
      </c>
      <c r="C211" s="123" t="s">
        <v>340</v>
      </c>
      <c r="D211" s="123" t="s">
        <v>341</v>
      </c>
      <c r="E211" s="151">
        <f>kmTOmi*E83</f>
        <v>2.3526413921690494</v>
      </c>
    </row>
    <row r="212" spans="1:5" s="75" customFormat="1" x14ac:dyDescent="0.2">
      <c r="B212" s="123"/>
      <c r="C212" s="123"/>
      <c r="D212" s="123"/>
      <c r="E212" s="156"/>
    </row>
    <row r="213" spans="1:5" x14ac:dyDescent="0.2">
      <c r="A213" s="20"/>
      <c r="B213" s="23" t="s">
        <v>342</v>
      </c>
      <c r="C213" s="23"/>
      <c r="D213" s="23"/>
      <c r="E213" s="23"/>
    </row>
    <row r="214" spans="1:5" s="75" customFormat="1" x14ac:dyDescent="0.2">
      <c r="B214" s="123" t="s">
        <v>343</v>
      </c>
      <c r="C214" s="123" t="s">
        <v>344</v>
      </c>
      <c r="D214" s="123" t="s">
        <v>345</v>
      </c>
      <c r="E214" s="138">
        <f>tTOton/haTOacre</f>
        <v>0.44609338830221129</v>
      </c>
    </row>
    <row r="217" spans="1:5" s="75" customFormat="1" ht="21.75" thickBot="1" x14ac:dyDescent="0.4">
      <c r="B217" s="118" t="s">
        <v>346</v>
      </c>
      <c r="C217" s="118"/>
      <c r="D217" s="118"/>
      <c r="E217" s="118"/>
    </row>
    <row r="218" spans="1:5" ht="13.5" thickTop="1" x14ac:dyDescent="0.2">
      <c r="B218" s="30" t="s">
        <v>563</v>
      </c>
    </row>
    <row r="219" spans="1:5" x14ac:dyDescent="0.2">
      <c r="B219" s="30" t="s">
        <v>371</v>
      </c>
    </row>
    <row r="220" spans="1:5" x14ac:dyDescent="0.2">
      <c r="B220" s="30" t="s">
        <v>372</v>
      </c>
    </row>
    <row r="221" spans="1:5" x14ac:dyDescent="0.2">
      <c r="B221" s="30" t="s">
        <v>347</v>
      </c>
    </row>
    <row r="222" spans="1:5" x14ac:dyDescent="0.2">
      <c r="B222" s="30" t="s">
        <v>348</v>
      </c>
    </row>
    <row r="223" spans="1:5" x14ac:dyDescent="0.2">
      <c r="B223" s="30" t="s">
        <v>349</v>
      </c>
    </row>
    <row r="224" spans="1:5" x14ac:dyDescent="0.2">
      <c r="B224" s="30" t="s">
        <v>350</v>
      </c>
    </row>
    <row r="225" spans="2:2" x14ac:dyDescent="0.2">
      <c r="B225" s="30" t="s">
        <v>351</v>
      </c>
    </row>
    <row r="226" spans="2:2" x14ac:dyDescent="0.2">
      <c r="B226" s="30" t="s">
        <v>352</v>
      </c>
    </row>
  </sheetData>
  <sheetProtection sheet="1" objects="1" scenarios="1"/>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B1:C33"/>
  <sheetViews>
    <sheetView workbookViewId="0"/>
  </sheetViews>
  <sheetFormatPr defaultRowHeight="12.75" x14ac:dyDescent="0.2"/>
  <cols>
    <col min="1" max="1" width="2.42578125" customWidth="1"/>
    <col min="2" max="2" width="24.7109375" customWidth="1"/>
    <col min="3" max="3" width="60.7109375" customWidth="1"/>
  </cols>
  <sheetData>
    <row r="1" spans="2:3" s="30" customFormat="1" ht="31.5" x14ac:dyDescent="0.2">
      <c r="B1" s="31" t="str">
        <f>"Table of Contents, CY" &amp; cover!C2 &amp; " GHG inventory"</f>
        <v>Table of Contents, CY2016 GHG inventory</v>
      </c>
    </row>
    <row r="2" spans="2:3" s="30" customFormat="1" x14ac:dyDescent="0.2"/>
    <row r="3" spans="2:3" ht="13.5" x14ac:dyDescent="0.25">
      <c r="B3" s="7" t="s">
        <v>679</v>
      </c>
      <c r="C3" s="7" t="s">
        <v>680</v>
      </c>
    </row>
    <row r="4" spans="2:3" x14ac:dyDescent="0.2">
      <c r="B4" s="28" t="s">
        <v>364</v>
      </c>
      <c r="C4" s="119" t="str">
        <f ca="1">INDIRECT("'"&amp;B4&amp;"'!"&amp;"B1")</f>
        <v>University of Washington Greenhouse Gas Inventory</v>
      </c>
    </row>
    <row r="5" spans="2:3" x14ac:dyDescent="0.2">
      <c r="B5" s="65" t="s">
        <v>365</v>
      </c>
      <c r="C5" s="120" t="s">
        <v>406</v>
      </c>
    </row>
    <row r="6" spans="2:3" x14ac:dyDescent="0.2">
      <c r="B6" s="66" t="s">
        <v>590</v>
      </c>
      <c r="C6" s="119" t="str">
        <f t="shared" ref="C6:C22" ca="1" si="0">INDIRECT("'"&amp;B6&amp;"'!"&amp;"B1")</f>
        <v>Scope 1 data: stationary combustion, CY2016</v>
      </c>
    </row>
    <row r="7" spans="2:3" x14ac:dyDescent="0.2">
      <c r="B7" s="66" t="s">
        <v>591</v>
      </c>
      <c r="C7" s="119" t="str">
        <f t="shared" ca="1" si="0"/>
        <v>Scope 1 data: mobile combustion, CY2016</v>
      </c>
    </row>
    <row r="8" spans="2:3" s="32" customFormat="1" x14ac:dyDescent="0.2">
      <c r="B8" s="66" t="s">
        <v>592</v>
      </c>
      <c r="C8" s="119" t="str">
        <f t="shared" ca="1" si="0"/>
        <v>Scope 1 data: fugitive emissions, CY2016</v>
      </c>
    </row>
    <row r="9" spans="2:3" s="32" customFormat="1" x14ac:dyDescent="0.2">
      <c r="B9" s="66" t="s">
        <v>593</v>
      </c>
      <c r="C9" s="119" t="str">
        <f t="shared" ca="1" si="0"/>
        <v>Scope 2 data: electricity, CY2016</v>
      </c>
    </row>
    <row r="10" spans="2:3" s="32" customFormat="1" x14ac:dyDescent="0.2">
      <c r="B10" s="66" t="s">
        <v>594</v>
      </c>
      <c r="C10" s="119" t="str">
        <f t="shared" ca="1" si="0"/>
        <v>Scope 2 data: steam, CY2016</v>
      </c>
    </row>
    <row r="11" spans="2:3" s="32" customFormat="1" x14ac:dyDescent="0.2">
      <c r="B11" s="66" t="s">
        <v>675</v>
      </c>
      <c r="C11" s="119" t="str">
        <f t="shared" ca="1" si="0"/>
        <v>Scope 3 data: commuting Seattle, CY2016</v>
      </c>
    </row>
    <row r="12" spans="2:3" s="33" customFormat="1" x14ac:dyDescent="0.2">
      <c r="B12" s="66" t="s">
        <v>676</v>
      </c>
      <c r="C12" s="119" t="str">
        <f t="shared" ca="1" si="0"/>
        <v>Scope 3 data: commuting Bothell, CY2016</v>
      </c>
    </row>
    <row r="13" spans="2:3" s="33" customFormat="1" x14ac:dyDescent="0.2">
      <c r="B13" s="66" t="s">
        <v>677</v>
      </c>
      <c r="C13" s="119" t="str">
        <f t="shared" ca="1" si="0"/>
        <v>Scope 3 data: commuting Tacoma, CY2016</v>
      </c>
    </row>
    <row r="14" spans="2:3" s="32" customFormat="1" x14ac:dyDescent="0.2">
      <c r="B14" s="67" t="s">
        <v>595</v>
      </c>
      <c r="C14" s="119" t="str">
        <f t="shared" ca="1" si="0"/>
        <v>Scope 3 data: professional travel, CY2016</v>
      </c>
    </row>
    <row r="15" spans="2:3" s="32" customFormat="1" x14ac:dyDescent="0.2">
      <c r="B15" s="66" t="s">
        <v>596</v>
      </c>
      <c r="C15" s="119" t="str">
        <f t="shared" ca="1" si="0"/>
        <v>Scope 3 data: off-campus medical, CY2016</v>
      </c>
    </row>
    <row r="16" spans="2:3" s="32" customFormat="1" x14ac:dyDescent="0.2">
      <c r="B16" s="66" t="s">
        <v>597</v>
      </c>
      <c r="C16" s="119" t="str">
        <f t="shared" ca="1" si="0"/>
        <v>Summary Table, CY2016 GHG inventory</v>
      </c>
    </row>
    <row r="17" spans="2:3" s="32" customFormat="1" x14ac:dyDescent="0.2">
      <c r="B17" s="66" t="s">
        <v>598</v>
      </c>
      <c r="C17" s="119" t="str">
        <f t="shared" ca="1" si="0"/>
        <v>Database Records, CY2016 GHG inventory</v>
      </c>
    </row>
    <row r="18" spans="2:3" x14ac:dyDescent="0.2">
      <c r="B18" s="66" t="s">
        <v>393</v>
      </c>
      <c r="C18" s="119" t="str">
        <f t="shared" ca="1" si="0"/>
        <v>sources</v>
      </c>
    </row>
    <row r="19" spans="2:3" s="33" customFormat="1" x14ac:dyDescent="0.2">
      <c r="B19" s="66" t="s">
        <v>626</v>
      </c>
      <c r="C19" s="119" t="s">
        <v>626</v>
      </c>
    </row>
    <row r="20" spans="2:3" x14ac:dyDescent="0.2">
      <c r="B20" s="66" t="s">
        <v>366</v>
      </c>
      <c r="C20" s="119" t="str">
        <f t="shared" ca="1" si="0"/>
        <v>physical and operational constants</v>
      </c>
    </row>
    <row r="21" spans="2:3" s="33" customFormat="1" x14ac:dyDescent="0.2">
      <c r="B21" s="66" t="s">
        <v>678</v>
      </c>
      <c r="C21" s="119" t="str">
        <f t="shared" ca="1" si="0"/>
        <v>lookup tables</v>
      </c>
    </row>
    <row r="22" spans="2:3" x14ac:dyDescent="0.2">
      <c r="B22" s="66" t="s">
        <v>23</v>
      </c>
      <c r="C22" s="119" t="str">
        <f t="shared" ca="1" si="0"/>
        <v>units conversion factors</v>
      </c>
    </row>
    <row r="24" spans="2:3" x14ac:dyDescent="0.2">
      <c r="C24" s="29"/>
    </row>
    <row r="25" spans="2:3" x14ac:dyDescent="0.2">
      <c r="C25" s="29"/>
    </row>
    <row r="26" spans="2:3" x14ac:dyDescent="0.2">
      <c r="C26" s="29"/>
    </row>
    <row r="27" spans="2:3" x14ac:dyDescent="0.2">
      <c r="C27" s="29"/>
    </row>
    <row r="28" spans="2:3" x14ac:dyDescent="0.2">
      <c r="C28" s="29"/>
    </row>
    <row r="29" spans="2:3" x14ac:dyDescent="0.2">
      <c r="C29" s="29"/>
    </row>
    <row r="30" spans="2:3" x14ac:dyDescent="0.2">
      <c r="C30" s="29"/>
    </row>
    <row r="31" spans="2:3" x14ac:dyDescent="0.2">
      <c r="C31" s="29"/>
    </row>
    <row r="32" spans="2:3" x14ac:dyDescent="0.2">
      <c r="C32" s="29"/>
    </row>
    <row r="33" spans="3:3" x14ac:dyDescent="0.2">
      <c r="C33" s="29"/>
    </row>
  </sheetData>
  <sheetProtection sheet="1" objects="1" scenarios="1"/>
  <hyperlinks>
    <hyperlink ref="B20" location="constants!A1" display="constants"/>
    <hyperlink ref="B22" location="units!A1" display="units"/>
    <hyperlink ref="B4" location="cover!A1" display="cover"/>
    <hyperlink ref="B18" location="units!A1" display="units"/>
    <hyperlink ref="B6" location="'S1 stationary'!A1" display="S1 stationary"/>
    <hyperlink ref="B7" location="'S1 mobile'!A1" display="S1 mobile"/>
    <hyperlink ref="B8" location="'S1 fugitive'!A1" display="S1 fugitive"/>
    <hyperlink ref="B9" location="'S2 electricity'!A1" display="S2 electricity"/>
    <hyperlink ref="B10" location="'S2 steam'!A1" display="S2 steam"/>
    <hyperlink ref="B11" location="'S3 commuting Seattle'!A1" display="S3 commuting Seattle"/>
    <hyperlink ref="B14" location="'S3 professional travel'!A1" display="S3 professional travel"/>
    <hyperlink ref="B15" location="'S3 off-campus medical'!A1" display="S3 off-campus medical"/>
    <hyperlink ref="B16" location="'inventory summary'!A1" display="inventory summary"/>
    <hyperlink ref="B17" location="'inventory database'!A1" display="inventory database"/>
    <hyperlink ref="B12" location="'S3 commuting Bothell'!A1" display="S3 commuting Bothell"/>
    <hyperlink ref="B13" location="'S3 commuting Tacoma'!A1" display="S3 commuting Tacoma"/>
    <hyperlink ref="B21" location="lookup!A1" display="lookup"/>
    <hyperlink ref="B19" location="populations!A1" display="populations"/>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W42"/>
  <sheetViews>
    <sheetView topLeftCell="C1" zoomScaleNormal="100" workbookViewId="0">
      <selection activeCell="T42" sqref="T42"/>
    </sheetView>
  </sheetViews>
  <sheetFormatPr defaultRowHeight="12.75" x14ac:dyDescent="0.2"/>
  <cols>
    <col min="1" max="1" width="2.42578125" customWidth="1"/>
    <col min="2" max="2" width="30.7109375" customWidth="1"/>
    <col min="3" max="4" width="9.7109375" customWidth="1"/>
    <col min="5" max="5" width="2.7109375" customWidth="1"/>
    <col min="6" max="18" width="9.7109375" customWidth="1"/>
    <col min="19" max="19" width="2.7109375" customWidth="1"/>
    <col min="20" max="20" width="40.7109375" customWidth="1"/>
  </cols>
  <sheetData>
    <row r="1" spans="2:20" s="30" customFormat="1" ht="31.5" x14ac:dyDescent="0.2">
      <c r="B1" s="31" t="str">
        <f>"Scope 1 data: stationary combustion, CY" &amp; cover!C2</f>
        <v>Scope 1 data: stationary combustion, CY2016</v>
      </c>
    </row>
    <row r="3" spans="2:20" x14ac:dyDescent="0.2">
      <c r="B3" s="19" t="s">
        <v>412</v>
      </c>
      <c r="C3" s="19"/>
      <c r="D3" s="19"/>
      <c r="E3" s="19"/>
      <c r="F3" s="19"/>
      <c r="G3" s="19"/>
      <c r="H3" s="19"/>
      <c r="I3" s="19"/>
      <c r="J3" s="19"/>
      <c r="K3" s="19"/>
      <c r="L3" s="19"/>
      <c r="M3" s="19"/>
      <c r="N3" s="19"/>
      <c r="O3" s="19"/>
      <c r="P3" s="19"/>
      <c r="Q3" s="19"/>
      <c r="R3" s="19"/>
      <c r="S3" s="19"/>
      <c r="T3" s="19"/>
    </row>
    <row r="5" spans="2:20" ht="13.5" x14ac:dyDescent="0.25">
      <c r="C5" s="7" t="s">
        <v>27</v>
      </c>
      <c r="D5" s="7" t="s">
        <v>23</v>
      </c>
      <c r="F5" s="7" t="s">
        <v>0</v>
      </c>
      <c r="G5" s="7" t="s">
        <v>1</v>
      </c>
      <c r="H5" s="7" t="s">
        <v>2</v>
      </c>
      <c r="I5" s="7" t="s">
        <v>3</v>
      </c>
      <c r="J5" s="7" t="s">
        <v>4</v>
      </c>
      <c r="K5" s="7" t="s">
        <v>5</v>
      </c>
      <c r="L5" s="7" t="s">
        <v>6</v>
      </c>
      <c r="M5" s="7" t="s">
        <v>7</v>
      </c>
      <c r="N5" s="7" t="s">
        <v>8</v>
      </c>
      <c r="O5" s="7" t="s">
        <v>9</v>
      </c>
      <c r="P5" s="7" t="s">
        <v>10</v>
      </c>
      <c r="Q5" s="7" t="s">
        <v>11</v>
      </c>
      <c r="R5" s="7" t="s">
        <v>31</v>
      </c>
      <c r="T5" s="7" t="s">
        <v>33</v>
      </c>
    </row>
    <row r="6" spans="2:20" x14ac:dyDescent="0.2">
      <c r="B6" t="s">
        <v>353</v>
      </c>
      <c r="R6" s="75"/>
    </row>
    <row r="7" spans="2:20" x14ac:dyDescent="0.2">
      <c r="B7" s="16" t="s">
        <v>25</v>
      </c>
      <c r="C7" s="26" t="s">
        <v>601</v>
      </c>
      <c r="D7" t="s">
        <v>28</v>
      </c>
      <c r="F7" s="11">
        <v>1777624</v>
      </c>
      <c r="G7" s="11">
        <v>1461787</v>
      </c>
      <c r="H7" s="11">
        <v>1487694</v>
      </c>
      <c r="I7" s="11">
        <v>1181797</v>
      </c>
      <c r="J7" s="11">
        <v>1119995</v>
      </c>
      <c r="K7" s="11">
        <v>998434</v>
      </c>
      <c r="L7" s="11">
        <v>1012685</v>
      </c>
      <c r="M7" s="11">
        <v>989616</v>
      </c>
      <c r="N7" s="11">
        <v>1055736</v>
      </c>
      <c r="O7" s="177">
        <v>1299730</v>
      </c>
      <c r="P7" s="11">
        <v>1264463</v>
      </c>
      <c r="Q7" s="25">
        <v>1995787</v>
      </c>
      <c r="R7" s="74">
        <f>SUM(F7:Q7)</f>
        <v>15645348</v>
      </c>
      <c r="T7" s="176" t="s">
        <v>746</v>
      </c>
    </row>
    <row r="8" spans="2:20" x14ac:dyDescent="0.2">
      <c r="B8" s="16" t="s">
        <v>29</v>
      </c>
      <c r="C8" s="26" t="s">
        <v>601</v>
      </c>
      <c r="D8" t="s">
        <v>30</v>
      </c>
      <c r="F8" s="11">
        <v>0</v>
      </c>
      <c r="G8" s="11">
        <v>0</v>
      </c>
      <c r="H8" s="11">
        <v>0</v>
      </c>
      <c r="I8" s="11">
        <v>0</v>
      </c>
      <c r="J8" s="11">
        <v>0</v>
      </c>
      <c r="K8" s="11">
        <v>0</v>
      </c>
      <c r="L8" s="11">
        <v>0</v>
      </c>
      <c r="M8" s="11">
        <v>0</v>
      </c>
      <c r="N8" s="11">
        <v>0</v>
      </c>
      <c r="O8" s="11">
        <v>0</v>
      </c>
      <c r="P8" s="11">
        <v>0</v>
      </c>
      <c r="Q8" s="25">
        <v>0</v>
      </c>
      <c r="R8" s="74">
        <f>SUM(F8:Q8)</f>
        <v>0</v>
      </c>
      <c r="T8" s="45" t="s">
        <v>748</v>
      </c>
    </row>
    <row r="9" spans="2:20" x14ac:dyDescent="0.2">
      <c r="R9" s="75"/>
    </row>
    <row r="10" spans="2:20" x14ac:dyDescent="0.2">
      <c r="B10" t="s">
        <v>521</v>
      </c>
      <c r="R10" s="75"/>
    </row>
    <row r="11" spans="2:20" s="32" customFormat="1" x14ac:dyDescent="0.2">
      <c r="B11" s="14" t="s">
        <v>25</v>
      </c>
      <c r="R11" s="75"/>
    </row>
    <row r="12" spans="2:20" x14ac:dyDescent="0.2">
      <c r="B12" s="17" t="s">
        <v>355</v>
      </c>
      <c r="C12" s="26" t="s">
        <v>601</v>
      </c>
      <c r="D12" s="30" t="s">
        <v>28</v>
      </c>
      <c r="F12" s="11">
        <v>49914</v>
      </c>
      <c r="G12" s="11">
        <v>57617</v>
      </c>
      <c r="H12" s="11">
        <v>52870</v>
      </c>
      <c r="I12" s="11">
        <v>50675</v>
      </c>
      <c r="J12" s="11">
        <v>38669</v>
      </c>
      <c r="K12" s="11">
        <v>47445</v>
      </c>
      <c r="L12" s="11">
        <v>40032</v>
      </c>
      <c r="M12" s="11">
        <v>44579</v>
      </c>
      <c r="N12" s="11">
        <v>43045</v>
      </c>
      <c r="O12" s="11">
        <v>39820</v>
      </c>
      <c r="P12" s="11">
        <v>40032</v>
      </c>
      <c r="Q12" s="11">
        <v>45185</v>
      </c>
      <c r="R12" s="74">
        <f>SUM(F12:Q12)</f>
        <v>549883</v>
      </c>
      <c r="T12" s="176" t="s">
        <v>749</v>
      </c>
    </row>
    <row r="13" spans="2:20" x14ac:dyDescent="0.2">
      <c r="B13" s="17" t="s">
        <v>354</v>
      </c>
      <c r="C13" s="26" t="s">
        <v>601</v>
      </c>
      <c r="D13" t="s">
        <v>28</v>
      </c>
      <c r="F13" s="11">
        <v>25738</v>
      </c>
      <c r="G13" s="177">
        <v>25738</v>
      </c>
      <c r="H13" s="177">
        <v>25738</v>
      </c>
      <c r="I13" s="177">
        <v>25738</v>
      </c>
      <c r="J13" s="177">
        <v>25738</v>
      </c>
      <c r="K13" s="177">
        <v>25738</v>
      </c>
      <c r="L13" s="177">
        <v>25738</v>
      </c>
      <c r="M13" s="177">
        <v>25738</v>
      </c>
      <c r="N13" s="177">
        <v>25738</v>
      </c>
      <c r="O13" s="177">
        <v>25738</v>
      </c>
      <c r="P13" s="177">
        <v>25738</v>
      </c>
      <c r="Q13" s="177">
        <v>25738</v>
      </c>
      <c r="R13" s="74">
        <f>SUM(F13:Q13)</f>
        <v>308856</v>
      </c>
      <c r="T13" s="45" t="s">
        <v>747</v>
      </c>
    </row>
    <row r="14" spans="2:20" s="33" customFormat="1" x14ac:dyDescent="0.2">
      <c r="B14" s="17" t="s">
        <v>603</v>
      </c>
      <c r="C14" s="26" t="s">
        <v>607</v>
      </c>
      <c r="D14" s="33" t="s">
        <v>28</v>
      </c>
      <c r="F14" s="11">
        <v>67</v>
      </c>
      <c r="G14" s="11">
        <v>69</v>
      </c>
      <c r="H14" s="11">
        <v>66</v>
      </c>
      <c r="I14" s="11">
        <v>58</v>
      </c>
      <c r="J14" s="11">
        <v>67</v>
      </c>
      <c r="K14" s="11">
        <v>45</v>
      </c>
      <c r="L14" s="11">
        <v>45</v>
      </c>
      <c r="M14" s="11">
        <v>48</v>
      </c>
      <c r="N14" s="11">
        <v>48</v>
      </c>
      <c r="O14" s="11">
        <v>69</v>
      </c>
      <c r="P14" s="11">
        <v>61</v>
      </c>
      <c r="Q14" s="11">
        <v>47</v>
      </c>
      <c r="R14" s="74">
        <f t="shared" ref="R14:R19" si="0">SUM(F14:Q14)</f>
        <v>690</v>
      </c>
      <c r="T14" s="176" t="s">
        <v>746</v>
      </c>
    </row>
    <row r="15" spans="2:20" s="33" customFormat="1" x14ac:dyDescent="0.2">
      <c r="B15" s="17" t="s">
        <v>609</v>
      </c>
      <c r="C15" s="26" t="s">
        <v>607</v>
      </c>
      <c r="D15" s="33" t="s">
        <v>28</v>
      </c>
      <c r="F15" s="11">
        <v>2772</v>
      </c>
      <c r="G15" s="11">
        <v>2382</v>
      </c>
      <c r="H15" s="11">
        <v>2213</v>
      </c>
      <c r="I15" s="11">
        <v>1213</v>
      </c>
      <c r="J15" s="11">
        <v>766</v>
      </c>
      <c r="K15" s="11">
        <v>1176</v>
      </c>
      <c r="L15" s="11">
        <v>255</v>
      </c>
      <c r="M15" s="11">
        <v>46</v>
      </c>
      <c r="N15" s="11">
        <v>165</v>
      </c>
      <c r="O15" s="11">
        <v>496</v>
      </c>
      <c r="P15" s="11">
        <v>2155</v>
      </c>
      <c r="Q15" s="11">
        <v>2600</v>
      </c>
      <c r="R15" s="74">
        <f t="shared" si="0"/>
        <v>16239</v>
      </c>
      <c r="T15" s="176" t="s">
        <v>746</v>
      </c>
    </row>
    <row r="16" spans="2:20" s="33" customFormat="1" x14ac:dyDescent="0.2">
      <c r="B16" s="17" t="s">
        <v>604</v>
      </c>
      <c r="C16" s="26" t="s">
        <v>607</v>
      </c>
      <c r="D16" s="33" t="s">
        <v>28</v>
      </c>
      <c r="F16" s="11">
        <v>13182.42</v>
      </c>
      <c r="G16" s="11">
        <v>10361.34</v>
      </c>
      <c r="H16" s="11">
        <v>9607.9</v>
      </c>
      <c r="I16" s="11">
        <v>8651.14</v>
      </c>
      <c r="J16" s="11">
        <v>8325.65</v>
      </c>
      <c r="K16" s="11">
        <v>7381.6</v>
      </c>
      <c r="L16" s="11">
        <v>7284.62</v>
      </c>
      <c r="M16" s="11">
        <v>7435.57</v>
      </c>
      <c r="N16" s="11">
        <v>8089.79</v>
      </c>
      <c r="O16" s="11">
        <v>9231.5499999999993</v>
      </c>
      <c r="P16" s="11">
        <v>9789.11</v>
      </c>
      <c r="Q16" s="11">
        <v>15966.71</v>
      </c>
      <c r="R16" s="74">
        <f>SUM(F16:Q16)</f>
        <v>115307.4</v>
      </c>
      <c r="T16" s="176" t="s">
        <v>746</v>
      </c>
    </row>
    <row r="17" spans="2:23" s="33" customFormat="1" x14ac:dyDescent="0.2">
      <c r="B17" s="17" t="s">
        <v>605</v>
      </c>
      <c r="C17" s="26" t="s">
        <v>607</v>
      </c>
      <c r="D17" s="33" t="s">
        <v>28</v>
      </c>
      <c r="F17" s="11">
        <v>4452</v>
      </c>
      <c r="G17" s="11">
        <v>4421</v>
      </c>
      <c r="H17" s="11">
        <v>3936</v>
      </c>
      <c r="I17" s="58">
        <v>1590</v>
      </c>
      <c r="J17" s="11">
        <v>1066</v>
      </c>
      <c r="K17" s="11">
        <v>1689</v>
      </c>
      <c r="L17" s="58">
        <v>690</v>
      </c>
      <c r="M17" s="11">
        <v>764</v>
      </c>
      <c r="N17" s="11">
        <v>2876</v>
      </c>
      <c r="O17" s="11">
        <v>3159</v>
      </c>
      <c r="P17" s="11">
        <v>5624</v>
      </c>
      <c r="Q17" s="11">
        <v>8141</v>
      </c>
      <c r="R17" s="74">
        <f t="shared" si="0"/>
        <v>38408</v>
      </c>
      <c r="T17" s="176" t="s">
        <v>746</v>
      </c>
    </row>
    <row r="18" spans="2:23" s="33" customFormat="1" x14ac:dyDescent="0.2">
      <c r="B18" s="17" t="s">
        <v>606</v>
      </c>
      <c r="C18" s="26" t="s">
        <v>607</v>
      </c>
      <c r="D18" s="33" t="s">
        <v>28</v>
      </c>
      <c r="F18" s="11">
        <v>254</v>
      </c>
      <c r="G18" s="11">
        <v>293</v>
      </c>
      <c r="H18" s="11">
        <v>232</v>
      </c>
      <c r="I18" s="11">
        <v>266</v>
      </c>
      <c r="J18" s="11">
        <v>222</v>
      </c>
      <c r="K18" s="11">
        <v>62</v>
      </c>
      <c r="L18" s="11">
        <v>139</v>
      </c>
      <c r="M18" s="11">
        <v>327</v>
      </c>
      <c r="N18" s="11">
        <v>240</v>
      </c>
      <c r="O18" s="11">
        <v>292</v>
      </c>
      <c r="P18" s="11">
        <v>296</v>
      </c>
      <c r="Q18" s="11">
        <v>191</v>
      </c>
      <c r="R18" s="74">
        <f t="shared" si="0"/>
        <v>2814</v>
      </c>
      <c r="T18" s="176" t="s">
        <v>746</v>
      </c>
    </row>
    <row r="19" spans="2:23" s="33" customFormat="1" x14ac:dyDescent="0.2">
      <c r="B19" s="17" t="s">
        <v>608</v>
      </c>
      <c r="C19" s="26" t="s">
        <v>607</v>
      </c>
      <c r="D19" s="33" t="s">
        <v>28</v>
      </c>
      <c r="F19" s="11">
        <v>2581</v>
      </c>
      <c r="G19" s="11">
        <v>2720</v>
      </c>
      <c r="H19" s="11">
        <v>2650</v>
      </c>
      <c r="I19" s="11">
        <v>1055</v>
      </c>
      <c r="J19" s="11">
        <v>855</v>
      </c>
      <c r="K19" s="11">
        <v>910</v>
      </c>
      <c r="L19" s="11">
        <v>968</v>
      </c>
      <c r="M19" s="11">
        <v>929</v>
      </c>
      <c r="N19" s="11">
        <v>1813</v>
      </c>
      <c r="O19" s="11">
        <v>1553</v>
      </c>
      <c r="P19" s="11">
        <v>2387</v>
      </c>
      <c r="Q19" s="11">
        <v>5314</v>
      </c>
      <c r="R19" s="74">
        <f t="shared" si="0"/>
        <v>23735</v>
      </c>
      <c r="T19" s="176" t="s">
        <v>746</v>
      </c>
    </row>
    <row r="20" spans="2:23" x14ac:dyDescent="0.2">
      <c r="B20" s="17" t="s">
        <v>418</v>
      </c>
      <c r="C20" s="26" t="s">
        <v>601</v>
      </c>
      <c r="D20" t="s">
        <v>28</v>
      </c>
      <c r="F20" s="58">
        <v>38639.74</v>
      </c>
      <c r="G20" s="11">
        <v>37148.99</v>
      </c>
      <c r="H20" s="11">
        <v>31040.48</v>
      </c>
      <c r="I20" s="11">
        <v>19577.349999999999</v>
      </c>
      <c r="J20" s="11">
        <v>13508.96</v>
      </c>
      <c r="K20" s="11">
        <v>9152.75</v>
      </c>
      <c r="L20" s="11">
        <v>6422.26</v>
      </c>
      <c r="M20" s="11">
        <v>6446.97</v>
      </c>
      <c r="N20" s="11">
        <v>9247.5400000000009</v>
      </c>
      <c r="O20" s="11">
        <v>21305.97</v>
      </c>
      <c r="P20" s="11">
        <v>33760.129999999997</v>
      </c>
      <c r="Q20" s="58">
        <v>45259.01</v>
      </c>
      <c r="R20" s="74">
        <f>SUM(F20:Q20)</f>
        <v>271510.15000000002</v>
      </c>
      <c r="T20" s="45" t="s">
        <v>746</v>
      </c>
    </row>
    <row r="21" spans="2:23" x14ac:dyDescent="0.2">
      <c r="B21" s="18" t="s">
        <v>428</v>
      </c>
      <c r="D21" t="s">
        <v>28</v>
      </c>
      <c r="F21" s="73">
        <f t="shared" ref="F21:Q21" si="1">SUM(F12:F20)</f>
        <v>137600.16</v>
      </c>
      <c r="G21" s="73">
        <f t="shared" si="1"/>
        <v>140750.32999999999</v>
      </c>
      <c r="H21" s="73">
        <f t="shared" si="1"/>
        <v>128353.37999999999</v>
      </c>
      <c r="I21" s="73">
        <f t="shared" si="1"/>
        <v>108823.48999999999</v>
      </c>
      <c r="J21" s="73">
        <f t="shared" si="1"/>
        <v>89217.609999999986</v>
      </c>
      <c r="K21" s="73">
        <f t="shared" si="1"/>
        <v>93599.35</v>
      </c>
      <c r="L21" s="73">
        <f t="shared" si="1"/>
        <v>81573.87999999999</v>
      </c>
      <c r="M21" s="73">
        <f t="shared" si="1"/>
        <v>86313.540000000008</v>
      </c>
      <c r="N21" s="73">
        <f t="shared" si="1"/>
        <v>91262.329999999987</v>
      </c>
      <c r="O21" s="73">
        <f t="shared" si="1"/>
        <v>101664.52</v>
      </c>
      <c r="P21" s="73">
        <f t="shared" si="1"/>
        <v>119842.23999999999</v>
      </c>
      <c r="Q21" s="73">
        <f t="shared" si="1"/>
        <v>148441.72</v>
      </c>
      <c r="R21" s="74">
        <f>SUM(F21:Q21)</f>
        <v>1327442.5499999998</v>
      </c>
    </row>
    <row r="22" spans="2:23" s="32" customFormat="1" x14ac:dyDescent="0.2">
      <c r="B22" s="18"/>
      <c r="F22" s="74"/>
      <c r="G22" s="74"/>
      <c r="H22" s="74"/>
      <c r="I22" s="74"/>
      <c r="J22" s="74"/>
      <c r="K22" s="74"/>
      <c r="L22" s="74"/>
      <c r="M22" s="74"/>
      <c r="N22" s="74"/>
      <c r="O22" s="74"/>
      <c r="P22" s="74"/>
      <c r="Q22" s="74"/>
      <c r="R22" s="74"/>
    </row>
    <row r="23" spans="2:23" s="32" customFormat="1" x14ac:dyDescent="0.2">
      <c r="B23" s="27" t="s">
        <v>520</v>
      </c>
      <c r="F23" s="74"/>
      <c r="G23" s="74"/>
      <c r="H23" s="74"/>
      <c r="I23" s="74"/>
      <c r="J23" s="74"/>
      <c r="K23" s="74"/>
      <c r="L23" s="74"/>
      <c r="M23" s="74"/>
      <c r="N23" s="74"/>
      <c r="O23" s="74"/>
      <c r="P23" s="74"/>
      <c r="Q23" s="74"/>
      <c r="R23" s="74"/>
    </row>
    <row r="24" spans="2:23" s="32" customFormat="1" x14ac:dyDescent="0.2">
      <c r="B24" s="16" t="s">
        <v>25</v>
      </c>
      <c r="F24" s="74"/>
      <c r="G24" s="74"/>
      <c r="H24" s="74"/>
      <c r="I24" s="74"/>
      <c r="J24" s="74"/>
      <c r="K24" s="74"/>
      <c r="L24" s="74"/>
      <c r="M24" s="74"/>
      <c r="N24" s="74"/>
      <c r="O24" s="74"/>
      <c r="P24" s="74"/>
      <c r="Q24" s="74"/>
      <c r="R24" s="74"/>
    </row>
    <row r="25" spans="2:23" s="32" customFormat="1" x14ac:dyDescent="0.2">
      <c r="B25" s="18" t="s">
        <v>519</v>
      </c>
      <c r="C25" s="26" t="s">
        <v>602</v>
      </c>
      <c r="D25" s="32" t="s">
        <v>28</v>
      </c>
      <c r="F25" s="11">
        <v>2785.5</v>
      </c>
      <c r="G25" s="11">
        <v>2434.8000000000002</v>
      </c>
      <c r="H25" s="11">
        <v>3092.7</v>
      </c>
      <c r="I25" s="11">
        <v>3084.8</v>
      </c>
      <c r="J25" s="11">
        <v>3176.1</v>
      </c>
      <c r="K25" s="11">
        <v>3303.6</v>
      </c>
      <c r="L25" s="11">
        <v>3516.7</v>
      </c>
      <c r="M25" s="58">
        <v>3663</v>
      </c>
      <c r="N25" s="11">
        <v>3641</v>
      </c>
      <c r="O25" s="11">
        <v>3674.3</v>
      </c>
      <c r="P25" s="11">
        <v>3367.4</v>
      </c>
      <c r="Q25" s="11">
        <v>3778.7</v>
      </c>
      <c r="R25" s="74">
        <f>SUM(F25:Q25)</f>
        <v>39518.6</v>
      </c>
      <c r="T25" s="176" t="s">
        <v>754</v>
      </c>
    </row>
    <row r="26" spans="2:23" s="32" customFormat="1" x14ac:dyDescent="0.2">
      <c r="B26" s="18" t="s">
        <v>428</v>
      </c>
      <c r="D26" s="32" t="s">
        <v>28</v>
      </c>
      <c r="F26" s="73">
        <f>SUM(F25)</f>
        <v>2785.5</v>
      </c>
      <c r="G26" s="73">
        <f t="shared" ref="G26:Q26" si="2">SUM(G25)</f>
        <v>2434.8000000000002</v>
      </c>
      <c r="H26" s="73">
        <f t="shared" si="2"/>
        <v>3092.7</v>
      </c>
      <c r="I26" s="73">
        <f t="shared" si="2"/>
        <v>3084.8</v>
      </c>
      <c r="J26" s="73">
        <f t="shared" si="2"/>
        <v>3176.1</v>
      </c>
      <c r="K26" s="73">
        <f t="shared" si="2"/>
        <v>3303.6</v>
      </c>
      <c r="L26" s="73">
        <f t="shared" si="2"/>
        <v>3516.7</v>
      </c>
      <c r="M26" s="73">
        <f t="shared" si="2"/>
        <v>3663</v>
      </c>
      <c r="N26" s="73">
        <f t="shared" si="2"/>
        <v>3641</v>
      </c>
      <c r="O26" s="73">
        <f t="shared" si="2"/>
        <v>3674.3</v>
      </c>
      <c r="P26" s="73">
        <f t="shared" si="2"/>
        <v>3367.4</v>
      </c>
      <c r="Q26" s="73">
        <f t="shared" si="2"/>
        <v>3778.7</v>
      </c>
      <c r="R26" s="74">
        <f>SUM(F26:Q26)</f>
        <v>39518.6</v>
      </c>
      <c r="S26" s="75"/>
      <c r="T26" s="75"/>
      <c r="U26" s="75"/>
      <c r="V26" s="75"/>
      <c r="W26" s="75"/>
    </row>
    <row r="27" spans="2:23" s="32" customFormat="1" x14ac:dyDescent="0.2">
      <c r="B27" s="18"/>
      <c r="F27" s="74"/>
      <c r="G27" s="74"/>
      <c r="H27" s="74"/>
      <c r="I27" s="74"/>
      <c r="J27" s="74"/>
      <c r="K27" s="74"/>
      <c r="L27" s="74"/>
      <c r="M27" s="74"/>
      <c r="N27" s="74"/>
      <c r="O27" s="74"/>
      <c r="P27" s="74"/>
      <c r="Q27" s="74"/>
      <c r="R27" s="74"/>
      <c r="S27" s="75"/>
      <c r="T27" s="75"/>
      <c r="U27" s="75"/>
      <c r="V27" s="75"/>
      <c r="W27" s="75"/>
    </row>
    <row r="29" spans="2:23" s="32" customFormat="1" x14ac:dyDescent="0.2">
      <c r="B29" s="19" t="s">
        <v>480</v>
      </c>
      <c r="C29" s="19"/>
      <c r="D29" s="19"/>
      <c r="E29" s="19"/>
      <c r="F29" s="19"/>
      <c r="G29" s="19"/>
      <c r="H29" s="19"/>
      <c r="I29" s="19"/>
      <c r="J29" s="19"/>
      <c r="K29" s="19"/>
      <c r="L29" s="19"/>
      <c r="M29" s="19"/>
      <c r="N29" s="19"/>
      <c r="O29" s="19"/>
      <c r="P29" s="19"/>
      <c r="Q29" s="19"/>
      <c r="R29" s="19"/>
      <c r="S29" s="19"/>
      <c r="T29" s="19"/>
    </row>
    <row r="30" spans="2:23" s="32" customFormat="1" x14ac:dyDescent="0.2"/>
    <row r="31" spans="2:23" s="32" customFormat="1" ht="13.5" x14ac:dyDescent="0.25">
      <c r="C31" s="7" t="s">
        <v>27</v>
      </c>
      <c r="D31" s="7" t="s">
        <v>23</v>
      </c>
      <c r="F31" s="7" t="s">
        <v>0</v>
      </c>
      <c r="G31" s="7" t="s">
        <v>1</v>
      </c>
      <c r="H31" s="7" t="s">
        <v>2</v>
      </c>
      <c r="I31" s="7" t="s">
        <v>3</v>
      </c>
      <c r="J31" s="7" t="s">
        <v>4</v>
      </c>
      <c r="K31" s="7" t="s">
        <v>5</v>
      </c>
      <c r="L31" s="7" t="s">
        <v>6</v>
      </c>
      <c r="M31" s="7" t="s">
        <v>7</v>
      </c>
      <c r="N31" s="7" t="s">
        <v>8</v>
      </c>
      <c r="O31" s="7" t="s">
        <v>9</v>
      </c>
      <c r="P31" s="7" t="s">
        <v>10</v>
      </c>
      <c r="Q31" s="7" t="s">
        <v>11</v>
      </c>
      <c r="R31" s="7" t="s">
        <v>31</v>
      </c>
      <c r="T31" s="7" t="s">
        <v>33</v>
      </c>
    </row>
    <row r="32" spans="2:23" s="32" customFormat="1" x14ac:dyDescent="0.2">
      <c r="B32" s="32" t="s">
        <v>488</v>
      </c>
    </row>
    <row r="33" spans="2:20" s="32" customFormat="1" x14ac:dyDescent="0.2">
      <c r="B33" s="16" t="s">
        <v>25</v>
      </c>
      <c r="C33" s="26" t="s">
        <v>602</v>
      </c>
      <c r="D33" s="32" t="s">
        <v>28</v>
      </c>
      <c r="F33" s="11">
        <v>8914</v>
      </c>
      <c r="G33" s="177">
        <v>8914</v>
      </c>
      <c r="H33" s="177">
        <v>8914</v>
      </c>
      <c r="I33" s="177">
        <v>8914</v>
      </c>
      <c r="J33" s="177">
        <v>8914</v>
      </c>
      <c r="K33" s="177">
        <v>8914</v>
      </c>
      <c r="L33" s="177">
        <v>8914</v>
      </c>
      <c r="M33" s="177">
        <v>8914</v>
      </c>
      <c r="N33" s="177">
        <v>8914</v>
      </c>
      <c r="O33" s="177">
        <v>8914</v>
      </c>
      <c r="P33" s="177">
        <v>8914</v>
      </c>
      <c r="Q33" s="177">
        <v>8914</v>
      </c>
      <c r="R33" s="24">
        <f>SUM(F33:Q33)</f>
        <v>106968</v>
      </c>
      <c r="T33" s="176" t="s">
        <v>759</v>
      </c>
    </row>
    <row r="34" spans="2:20" x14ac:dyDescent="0.2">
      <c r="B34" s="36" t="s">
        <v>489</v>
      </c>
    </row>
    <row r="35" spans="2:20" s="32" customFormat="1" x14ac:dyDescent="0.2">
      <c r="B35" s="16" t="s">
        <v>25</v>
      </c>
      <c r="C35" s="26" t="s">
        <v>602</v>
      </c>
      <c r="D35" s="32" t="s">
        <v>28</v>
      </c>
      <c r="F35" s="11">
        <v>4972</v>
      </c>
      <c r="G35" s="11">
        <v>2922</v>
      </c>
      <c r="H35" s="11">
        <v>856</v>
      </c>
      <c r="I35" s="11">
        <v>1033</v>
      </c>
      <c r="J35" s="11">
        <v>506</v>
      </c>
      <c r="K35" s="11">
        <v>244</v>
      </c>
      <c r="L35" s="11">
        <v>143</v>
      </c>
      <c r="M35" s="58">
        <v>290</v>
      </c>
      <c r="N35" s="11">
        <v>447</v>
      </c>
      <c r="O35" s="11">
        <v>1808</v>
      </c>
      <c r="P35" s="11">
        <v>3676</v>
      </c>
      <c r="Q35" s="11">
        <v>7229</v>
      </c>
      <c r="R35" s="24">
        <f>SUM(F35:Q35)</f>
        <v>24126</v>
      </c>
      <c r="T35" s="176" t="s">
        <v>759</v>
      </c>
    </row>
    <row r="36" spans="2:20" s="32" customFormat="1" x14ac:dyDescent="0.2"/>
    <row r="37" spans="2:20" s="32" customFormat="1" x14ac:dyDescent="0.2">
      <c r="B37" s="19" t="s">
        <v>481</v>
      </c>
      <c r="C37" s="19"/>
      <c r="D37" s="19"/>
      <c r="E37" s="19"/>
      <c r="F37" s="19"/>
      <c r="G37" s="19"/>
      <c r="H37" s="19"/>
      <c r="I37" s="19"/>
      <c r="J37" s="19"/>
      <c r="K37" s="19"/>
      <c r="L37" s="19"/>
      <c r="M37" s="19"/>
      <c r="N37" s="19"/>
      <c r="O37" s="19"/>
      <c r="P37" s="19"/>
      <c r="Q37" s="19"/>
      <c r="R37" s="19"/>
      <c r="S37" s="19"/>
      <c r="T37" s="19"/>
    </row>
    <row r="38" spans="2:20" s="32" customFormat="1" x14ac:dyDescent="0.2"/>
    <row r="39" spans="2:20" s="32" customFormat="1" ht="13.5" x14ac:dyDescent="0.25">
      <c r="C39" s="7" t="s">
        <v>27</v>
      </c>
      <c r="D39" s="7" t="s">
        <v>23</v>
      </c>
      <c r="F39" s="7" t="s">
        <v>0</v>
      </c>
      <c r="G39" s="7" t="s">
        <v>1</v>
      </c>
      <c r="H39" s="7" t="s">
        <v>2</v>
      </c>
      <c r="I39" s="7" t="s">
        <v>3</v>
      </c>
      <c r="J39" s="7" t="s">
        <v>4</v>
      </c>
      <c r="K39" s="7" t="s">
        <v>5</v>
      </c>
      <c r="L39" s="7" t="s">
        <v>6</v>
      </c>
      <c r="M39" s="7" t="s">
        <v>7</v>
      </c>
      <c r="N39" s="7" t="s">
        <v>8</v>
      </c>
      <c r="O39" s="7" t="s">
        <v>9</v>
      </c>
      <c r="P39" s="7" t="s">
        <v>10</v>
      </c>
      <c r="Q39" s="7" t="s">
        <v>11</v>
      </c>
      <c r="R39" s="7" t="s">
        <v>31</v>
      </c>
      <c r="T39" s="7" t="s">
        <v>33</v>
      </c>
    </row>
    <row r="40" spans="2:20" s="32" customFormat="1" x14ac:dyDescent="0.2">
      <c r="B40" s="32" t="s">
        <v>504</v>
      </c>
    </row>
    <row r="41" spans="2:20" s="32" customFormat="1" x14ac:dyDescent="0.2">
      <c r="B41" s="16" t="s">
        <v>25</v>
      </c>
      <c r="C41" s="26" t="s">
        <v>602</v>
      </c>
      <c r="D41" s="32" t="s">
        <v>28</v>
      </c>
      <c r="F41" s="11">
        <v>14676</v>
      </c>
      <c r="G41" s="177">
        <v>14676</v>
      </c>
      <c r="H41" s="177">
        <v>14676</v>
      </c>
      <c r="I41" s="177">
        <v>14676</v>
      </c>
      <c r="J41" s="177">
        <v>14676</v>
      </c>
      <c r="K41" s="177">
        <v>14676</v>
      </c>
      <c r="L41" s="177">
        <v>14676</v>
      </c>
      <c r="M41" s="177">
        <v>14676</v>
      </c>
      <c r="N41" s="177">
        <v>14676</v>
      </c>
      <c r="O41" s="177">
        <v>14676</v>
      </c>
      <c r="P41" s="177">
        <v>14676</v>
      </c>
      <c r="Q41" s="177">
        <v>14676</v>
      </c>
      <c r="R41" s="74">
        <f>SUM(F41:Q41)</f>
        <v>176112</v>
      </c>
      <c r="T41" s="176" t="s">
        <v>773</v>
      </c>
    </row>
    <row r="42" spans="2:20" x14ac:dyDescent="0.2">
      <c r="R42" s="75"/>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T28"/>
  <sheetViews>
    <sheetView workbookViewId="0">
      <selection activeCell="F25" sqref="F25"/>
    </sheetView>
  </sheetViews>
  <sheetFormatPr defaultRowHeight="12.75" x14ac:dyDescent="0.2"/>
  <cols>
    <col min="1" max="1" width="2.42578125" customWidth="1"/>
    <col min="2" max="2" width="30.7109375" customWidth="1"/>
    <col min="3" max="4" width="9.7109375" customWidth="1"/>
    <col min="5" max="5" width="2.7109375" customWidth="1"/>
    <col min="6" max="18" width="9.7109375" customWidth="1"/>
    <col min="19" max="19" width="2.7109375" customWidth="1"/>
    <col min="20" max="20" width="40.7109375" customWidth="1"/>
  </cols>
  <sheetData>
    <row r="1" spans="2:20" s="30" customFormat="1" ht="31.5" x14ac:dyDescent="0.2">
      <c r="B1" s="31" t="str">
        <f>"Scope 1 data: mobile combustion, CY" &amp; cover!C2</f>
        <v>Scope 1 data: mobile combustion, CY2016</v>
      </c>
    </row>
    <row r="3" spans="2:20" x14ac:dyDescent="0.2">
      <c r="B3" s="19" t="s">
        <v>412</v>
      </c>
      <c r="C3" s="19"/>
      <c r="D3" s="19"/>
      <c r="E3" s="19"/>
      <c r="F3" s="19"/>
      <c r="G3" s="19"/>
      <c r="H3" s="19"/>
      <c r="I3" s="19"/>
      <c r="J3" s="19"/>
      <c r="K3" s="19"/>
      <c r="L3" s="19"/>
      <c r="M3" s="19"/>
      <c r="N3" s="19"/>
      <c r="O3" s="19"/>
      <c r="P3" s="19"/>
      <c r="Q3" s="19"/>
      <c r="R3" s="19"/>
      <c r="S3" s="19"/>
      <c r="T3" s="19"/>
    </row>
    <row r="5" spans="2:20" ht="13.5" x14ac:dyDescent="0.25">
      <c r="C5" s="7" t="s">
        <v>27</v>
      </c>
      <c r="D5" s="7" t="s">
        <v>23</v>
      </c>
      <c r="F5" s="7" t="s">
        <v>0</v>
      </c>
      <c r="G5" s="7" t="s">
        <v>1</v>
      </c>
      <c r="H5" s="7" t="s">
        <v>2</v>
      </c>
      <c r="I5" s="7" t="s">
        <v>3</v>
      </c>
      <c r="J5" s="7" t="s">
        <v>4</v>
      </c>
      <c r="K5" s="7" t="s">
        <v>5</v>
      </c>
      <c r="L5" s="7" t="s">
        <v>6</v>
      </c>
      <c r="M5" s="7" t="s">
        <v>7</v>
      </c>
      <c r="N5" s="7" t="s">
        <v>8</v>
      </c>
      <c r="O5" s="7" t="s">
        <v>9</v>
      </c>
      <c r="P5" s="7" t="s">
        <v>10</v>
      </c>
      <c r="Q5" s="7" t="s">
        <v>11</v>
      </c>
      <c r="R5" s="7" t="s">
        <v>31</v>
      </c>
      <c r="T5" s="7" t="s">
        <v>33</v>
      </c>
    </row>
    <row r="6" spans="2:20" x14ac:dyDescent="0.2">
      <c r="B6" t="s">
        <v>356</v>
      </c>
    </row>
    <row r="7" spans="2:20" x14ac:dyDescent="0.2">
      <c r="B7" s="13" t="s">
        <v>357</v>
      </c>
      <c r="C7" s="26" t="s">
        <v>602</v>
      </c>
      <c r="D7" t="s">
        <v>30</v>
      </c>
      <c r="F7" s="58">
        <v>0</v>
      </c>
      <c r="G7" s="179">
        <v>0</v>
      </c>
      <c r="H7" s="179">
        <v>0</v>
      </c>
      <c r="I7" s="179">
        <v>0</v>
      </c>
      <c r="J7" s="179">
        <v>0</v>
      </c>
      <c r="K7" s="179">
        <v>0</v>
      </c>
      <c r="L7" s="179">
        <v>0</v>
      </c>
      <c r="M7" s="179">
        <v>0</v>
      </c>
      <c r="N7" s="179">
        <v>0</v>
      </c>
      <c r="O7" s="179">
        <v>0</v>
      </c>
      <c r="P7" s="179">
        <v>0</v>
      </c>
      <c r="Q7" s="179">
        <v>0</v>
      </c>
      <c r="R7" s="74">
        <f>SUM(F7:Q7)</f>
        <v>0</v>
      </c>
      <c r="T7" s="45" t="s">
        <v>750</v>
      </c>
    </row>
    <row r="8" spans="2:20" x14ac:dyDescent="0.2">
      <c r="B8" s="13" t="s">
        <v>358</v>
      </c>
      <c r="C8" s="26" t="s">
        <v>602</v>
      </c>
      <c r="D8" t="s">
        <v>30</v>
      </c>
      <c r="F8" s="58">
        <v>5566.6</v>
      </c>
      <c r="G8" s="58">
        <v>5566.6</v>
      </c>
      <c r="H8" s="58">
        <v>5566.6</v>
      </c>
      <c r="I8" s="58">
        <v>5566.6</v>
      </c>
      <c r="J8" s="58">
        <v>5566.6</v>
      </c>
      <c r="K8" s="58">
        <v>5566.6</v>
      </c>
      <c r="L8" s="58">
        <v>5566.6</v>
      </c>
      <c r="M8" s="58">
        <v>5566.6</v>
      </c>
      <c r="N8" s="58">
        <v>5566.6</v>
      </c>
      <c r="O8" s="58">
        <v>5566.6</v>
      </c>
      <c r="P8" s="58">
        <v>5566.6</v>
      </c>
      <c r="Q8" s="58">
        <v>5566.6</v>
      </c>
      <c r="R8" s="74">
        <f>SUM(F8:Q8)</f>
        <v>66799.199999999997</v>
      </c>
      <c r="T8" s="45" t="s">
        <v>750</v>
      </c>
    </row>
    <row r="9" spans="2:20" x14ac:dyDescent="0.2">
      <c r="B9" s="13" t="s">
        <v>359</v>
      </c>
      <c r="C9" s="26" t="s">
        <v>602</v>
      </c>
      <c r="D9" t="s">
        <v>30</v>
      </c>
      <c r="F9" s="58">
        <v>16995.3</v>
      </c>
      <c r="G9" s="58">
        <v>16995.3</v>
      </c>
      <c r="H9" s="58">
        <v>16995.3</v>
      </c>
      <c r="I9" s="58">
        <v>16995.3</v>
      </c>
      <c r="J9" s="58">
        <v>16995.3</v>
      </c>
      <c r="K9" s="58">
        <v>16995.3</v>
      </c>
      <c r="L9" s="58">
        <v>16995.3</v>
      </c>
      <c r="M9" s="58">
        <v>16995.3</v>
      </c>
      <c r="N9" s="58">
        <v>16995.3</v>
      </c>
      <c r="O9" s="58">
        <v>16995.3</v>
      </c>
      <c r="P9" s="58">
        <v>16995.3</v>
      </c>
      <c r="Q9" s="58">
        <v>16995.3</v>
      </c>
      <c r="R9" s="74">
        <f>SUM(F9:Q9)</f>
        <v>203943.59999999995</v>
      </c>
      <c r="T9" s="45" t="s">
        <v>750</v>
      </c>
    </row>
    <row r="10" spans="2:20" s="33" customFormat="1" x14ac:dyDescent="0.2">
      <c r="B10" s="16" t="s">
        <v>740</v>
      </c>
      <c r="C10" s="26" t="s">
        <v>602</v>
      </c>
      <c r="D10" s="33" t="s">
        <v>30</v>
      </c>
      <c r="F10" s="58">
        <v>4600.8</v>
      </c>
      <c r="G10" s="58">
        <v>4600.8</v>
      </c>
      <c r="H10" s="58">
        <v>4600.8</v>
      </c>
      <c r="I10" s="58">
        <v>4600.8</v>
      </c>
      <c r="J10" s="58">
        <v>4600.8</v>
      </c>
      <c r="K10" s="58">
        <v>4600.8</v>
      </c>
      <c r="L10" s="58">
        <v>4600.8</v>
      </c>
      <c r="M10" s="58">
        <v>4600.8</v>
      </c>
      <c r="N10" s="58">
        <v>4600.8</v>
      </c>
      <c r="O10" s="58">
        <v>4600.8</v>
      </c>
      <c r="P10" s="58">
        <v>4600.8</v>
      </c>
      <c r="Q10" s="58">
        <v>4600.8</v>
      </c>
      <c r="R10" s="74">
        <f>SUM(F10:Q10)</f>
        <v>55209.600000000013</v>
      </c>
      <c r="T10" s="45" t="s">
        <v>750</v>
      </c>
    </row>
    <row r="11" spans="2:20" s="32" customFormat="1" x14ac:dyDescent="0.2"/>
    <row r="12" spans="2:20" s="32" customFormat="1" x14ac:dyDescent="0.2">
      <c r="B12" s="19" t="s">
        <v>480</v>
      </c>
      <c r="C12" s="19"/>
      <c r="D12" s="19"/>
      <c r="E12" s="19"/>
      <c r="F12" s="19"/>
      <c r="G12" s="19"/>
      <c r="H12" s="19"/>
      <c r="I12" s="19"/>
      <c r="J12" s="19"/>
      <c r="K12" s="19"/>
      <c r="L12" s="19"/>
      <c r="M12" s="19"/>
      <c r="N12" s="19"/>
      <c r="O12" s="19"/>
      <c r="P12" s="19"/>
      <c r="Q12" s="19"/>
      <c r="R12" s="19"/>
      <c r="S12" s="19"/>
      <c r="T12" s="19"/>
    </row>
    <row r="13" spans="2:20" s="32" customFormat="1" x14ac:dyDescent="0.2"/>
    <row r="14" spans="2:20" s="32" customFormat="1" ht="13.5" x14ac:dyDescent="0.25">
      <c r="C14" s="7" t="s">
        <v>27</v>
      </c>
      <c r="D14" s="7" t="s">
        <v>23</v>
      </c>
      <c r="F14" s="7" t="s">
        <v>0</v>
      </c>
      <c r="G14" s="7" t="s">
        <v>1</v>
      </c>
      <c r="H14" s="7" t="s">
        <v>2</v>
      </c>
      <c r="I14" s="7" t="s">
        <v>3</v>
      </c>
      <c r="J14" s="7" t="s">
        <v>4</v>
      </c>
      <c r="K14" s="7" t="s">
        <v>5</v>
      </c>
      <c r="L14" s="7" t="s">
        <v>6</v>
      </c>
      <c r="M14" s="7" t="s">
        <v>7</v>
      </c>
      <c r="N14" s="7" t="s">
        <v>8</v>
      </c>
      <c r="O14" s="7" t="s">
        <v>9</v>
      </c>
      <c r="P14" s="7" t="s">
        <v>10</v>
      </c>
      <c r="Q14" s="7" t="s">
        <v>11</v>
      </c>
      <c r="R14" s="7" t="s">
        <v>31</v>
      </c>
      <c r="T14" s="7" t="s">
        <v>33</v>
      </c>
    </row>
    <row r="15" spans="2:20" s="32" customFormat="1" x14ac:dyDescent="0.2">
      <c r="B15" s="32" t="s">
        <v>491</v>
      </c>
    </row>
    <row r="16" spans="2:20" s="32" customFormat="1" x14ac:dyDescent="0.2">
      <c r="B16" s="16" t="s">
        <v>359</v>
      </c>
      <c r="C16" s="26" t="s">
        <v>602</v>
      </c>
      <c r="D16" s="32" t="s">
        <v>30</v>
      </c>
      <c r="F16" s="11">
        <v>66</v>
      </c>
      <c r="G16" s="11">
        <v>66</v>
      </c>
      <c r="H16" s="11">
        <v>66</v>
      </c>
      <c r="I16" s="11">
        <v>66</v>
      </c>
      <c r="J16" s="11">
        <v>66</v>
      </c>
      <c r="K16" s="11">
        <v>66</v>
      </c>
      <c r="L16" s="11">
        <v>66</v>
      </c>
      <c r="M16" s="11">
        <v>66</v>
      </c>
      <c r="N16" s="11">
        <v>66</v>
      </c>
      <c r="O16" s="11">
        <v>66</v>
      </c>
      <c r="P16" s="11">
        <v>66</v>
      </c>
      <c r="Q16" s="11">
        <v>66</v>
      </c>
      <c r="R16" s="74">
        <f>SUM(F16:Q16)</f>
        <v>792</v>
      </c>
      <c r="T16" s="45" t="s">
        <v>751</v>
      </c>
    </row>
    <row r="17" spans="2:20" x14ac:dyDescent="0.2">
      <c r="B17" s="16" t="s">
        <v>357</v>
      </c>
      <c r="C17" s="26" t="s">
        <v>602</v>
      </c>
      <c r="D17" s="32" t="s">
        <v>30</v>
      </c>
      <c r="E17" s="32"/>
      <c r="F17" s="58">
        <v>0</v>
      </c>
      <c r="G17" s="179">
        <v>0</v>
      </c>
      <c r="H17" s="179">
        <v>0</v>
      </c>
      <c r="I17" s="179">
        <v>0</v>
      </c>
      <c r="J17" s="179">
        <v>0</v>
      </c>
      <c r="K17" s="179">
        <v>0</v>
      </c>
      <c r="L17" s="179">
        <v>0</v>
      </c>
      <c r="M17" s="179">
        <v>0</v>
      </c>
      <c r="N17" s="179">
        <v>0</v>
      </c>
      <c r="O17" s="179">
        <v>0</v>
      </c>
      <c r="P17" s="179">
        <v>0</v>
      </c>
      <c r="Q17" s="179">
        <v>0</v>
      </c>
      <c r="R17" s="74">
        <f>SUM(F17:Q17)</f>
        <v>0</v>
      </c>
      <c r="T17" s="45" t="s">
        <v>751</v>
      </c>
    </row>
    <row r="18" spans="2:20" s="32" customFormat="1" x14ac:dyDescent="0.2">
      <c r="B18" s="32" t="s">
        <v>492</v>
      </c>
    </row>
    <row r="19" spans="2:20" s="32" customFormat="1" x14ac:dyDescent="0.2">
      <c r="B19" s="16" t="s">
        <v>359</v>
      </c>
      <c r="C19" s="26" t="s">
        <v>602</v>
      </c>
      <c r="D19" s="32" t="s">
        <v>30</v>
      </c>
      <c r="F19" s="11">
        <v>10</v>
      </c>
      <c r="G19" s="177">
        <v>10</v>
      </c>
      <c r="H19" s="177">
        <v>10</v>
      </c>
      <c r="I19" s="177">
        <v>10</v>
      </c>
      <c r="J19" s="177">
        <v>10</v>
      </c>
      <c r="K19" s="177">
        <v>10</v>
      </c>
      <c r="L19" s="177">
        <v>10</v>
      </c>
      <c r="M19" s="177">
        <v>10</v>
      </c>
      <c r="N19" s="177">
        <v>10</v>
      </c>
      <c r="O19" s="177">
        <v>10</v>
      </c>
      <c r="P19" s="177">
        <v>10</v>
      </c>
      <c r="Q19" s="177">
        <v>10</v>
      </c>
      <c r="R19" s="24">
        <f>SUM(F19:Q19)</f>
        <v>120</v>
      </c>
      <c r="T19" s="45" t="s">
        <v>750</v>
      </c>
    </row>
    <row r="20" spans="2:20" s="32" customFormat="1" x14ac:dyDescent="0.2">
      <c r="T20" s="36" t="s">
        <v>611</v>
      </c>
    </row>
    <row r="21" spans="2:20" s="32" customFormat="1" x14ac:dyDescent="0.2">
      <c r="B21" s="19" t="s">
        <v>481</v>
      </c>
      <c r="C21" s="19"/>
      <c r="D21" s="19"/>
      <c r="E21" s="19"/>
      <c r="F21" s="19"/>
      <c r="G21" s="19"/>
      <c r="H21" s="19"/>
      <c r="I21" s="19"/>
      <c r="J21" s="19"/>
      <c r="K21" s="19"/>
      <c r="L21" s="19"/>
      <c r="M21" s="19"/>
      <c r="N21" s="19"/>
      <c r="O21" s="19"/>
      <c r="P21" s="19"/>
      <c r="Q21" s="19"/>
      <c r="R21" s="19"/>
      <c r="S21" s="19"/>
      <c r="T21" s="19"/>
    </row>
    <row r="22" spans="2:20" s="32" customFormat="1" x14ac:dyDescent="0.2"/>
    <row r="23" spans="2:20" s="32" customFormat="1" ht="13.5" x14ac:dyDescent="0.25">
      <c r="C23" s="7" t="s">
        <v>27</v>
      </c>
      <c r="D23" s="7" t="s">
        <v>23</v>
      </c>
      <c r="F23" s="7" t="s">
        <v>0</v>
      </c>
      <c r="G23" s="7" t="s">
        <v>1</v>
      </c>
      <c r="H23" s="7" t="s">
        <v>2</v>
      </c>
      <c r="I23" s="7" t="s">
        <v>3</v>
      </c>
      <c r="J23" s="7" t="s">
        <v>4</v>
      </c>
      <c r="K23" s="7" t="s">
        <v>5</v>
      </c>
      <c r="L23" s="7" t="s">
        <v>6</v>
      </c>
      <c r="M23" s="7" t="s">
        <v>7</v>
      </c>
      <c r="N23" s="7" t="s">
        <v>8</v>
      </c>
      <c r="O23" s="7" t="s">
        <v>9</v>
      </c>
      <c r="P23" s="7" t="s">
        <v>10</v>
      </c>
      <c r="Q23" s="7" t="s">
        <v>11</v>
      </c>
      <c r="R23" s="7" t="s">
        <v>31</v>
      </c>
      <c r="T23" s="7" t="s">
        <v>33</v>
      </c>
    </row>
    <row r="24" spans="2:20" s="32" customFormat="1" x14ac:dyDescent="0.2">
      <c r="B24" s="32" t="s">
        <v>503</v>
      </c>
    </row>
    <row r="25" spans="2:20" s="32" customFormat="1" x14ac:dyDescent="0.2">
      <c r="B25" s="16" t="s">
        <v>359</v>
      </c>
      <c r="C25" s="26" t="s">
        <v>602</v>
      </c>
      <c r="D25" s="32" t="s">
        <v>30</v>
      </c>
      <c r="F25" s="11">
        <v>137.5</v>
      </c>
      <c r="G25" s="177">
        <v>137.5</v>
      </c>
      <c r="H25" s="177">
        <v>137.5</v>
      </c>
      <c r="I25" s="177">
        <v>137.5</v>
      </c>
      <c r="J25" s="177">
        <v>137.5</v>
      </c>
      <c r="K25" s="177">
        <v>137.5</v>
      </c>
      <c r="L25" s="177">
        <v>137.5</v>
      </c>
      <c r="M25" s="177">
        <v>137.5</v>
      </c>
      <c r="N25" s="177">
        <v>137.5</v>
      </c>
      <c r="O25" s="177">
        <v>137.5</v>
      </c>
      <c r="P25" s="177">
        <v>137.5</v>
      </c>
      <c r="Q25" s="177">
        <v>137.5</v>
      </c>
      <c r="R25" s="24">
        <f>SUM(F25:Q25)</f>
        <v>1650</v>
      </c>
      <c r="T25" s="45" t="s">
        <v>752</v>
      </c>
    </row>
    <row r="26" spans="2:20" s="33" customFormat="1" x14ac:dyDescent="0.2">
      <c r="B26" s="16" t="s">
        <v>357</v>
      </c>
      <c r="C26" s="26" t="s">
        <v>602</v>
      </c>
      <c r="D26" s="33" t="s">
        <v>30</v>
      </c>
      <c r="F26" s="58">
        <v>289</v>
      </c>
      <c r="G26" s="58">
        <v>289</v>
      </c>
      <c r="H26" s="58">
        <v>289</v>
      </c>
      <c r="I26" s="58">
        <v>289</v>
      </c>
      <c r="J26" s="58">
        <v>289</v>
      </c>
      <c r="K26" s="58">
        <v>289</v>
      </c>
      <c r="L26" s="58">
        <v>289</v>
      </c>
      <c r="M26" s="58">
        <v>289</v>
      </c>
      <c r="N26" s="58">
        <v>289</v>
      </c>
      <c r="O26" s="58">
        <v>289</v>
      </c>
      <c r="P26" s="58">
        <v>289</v>
      </c>
      <c r="Q26" s="58">
        <v>289</v>
      </c>
      <c r="R26" s="74">
        <f>SUM(F26:Q26)</f>
        <v>3468</v>
      </c>
      <c r="T26" s="45" t="s">
        <v>752</v>
      </c>
    </row>
    <row r="27" spans="2:20" s="32" customFormat="1" x14ac:dyDescent="0.2"/>
    <row r="28" spans="2:20" s="32" customFormat="1" x14ac:dyDescent="0.2"/>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171B5"/>
  </sheetPr>
  <dimension ref="A1:H31"/>
  <sheetViews>
    <sheetView workbookViewId="0">
      <selection activeCell="C16" sqref="C16"/>
    </sheetView>
  </sheetViews>
  <sheetFormatPr defaultRowHeight="12.75" x14ac:dyDescent="0.2"/>
  <cols>
    <col min="1" max="1" width="2.42578125" style="32" customWidth="1"/>
    <col min="2" max="2" width="30.7109375" style="32" customWidth="1"/>
    <col min="3" max="5" width="9.7109375" style="32" customWidth="1"/>
    <col min="6" max="6" width="2.7109375" style="32" customWidth="1"/>
    <col min="7" max="7" width="40.7109375" style="32" customWidth="1"/>
    <col min="8" max="16384" width="9.140625" style="32"/>
  </cols>
  <sheetData>
    <row r="1" spans="1:8" ht="31.5" x14ac:dyDescent="0.2">
      <c r="B1" s="31" t="str">
        <f>"Scope 1 data: fugitive emissions, CY" &amp; cover!C2</f>
        <v>Scope 1 data: fugitive emissions, CY2016</v>
      </c>
    </row>
    <row r="3" spans="1:8" x14ac:dyDescent="0.2">
      <c r="B3" s="19" t="s">
        <v>412</v>
      </c>
      <c r="C3" s="19"/>
      <c r="D3" s="19"/>
      <c r="E3" s="19"/>
      <c r="F3" s="19"/>
      <c r="G3" s="19"/>
    </row>
    <row r="5" spans="1:8" ht="13.5" x14ac:dyDescent="0.25">
      <c r="B5" s="7" t="s">
        <v>26</v>
      </c>
      <c r="C5" s="7" t="s">
        <v>22</v>
      </c>
      <c r="D5" s="7" t="s">
        <v>23</v>
      </c>
      <c r="E5" s="7" t="s">
        <v>27</v>
      </c>
      <c r="G5" s="7" t="s">
        <v>33</v>
      </c>
    </row>
    <row r="6" spans="1:8" x14ac:dyDescent="0.2">
      <c r="B6" s="32" t="s">
        <v>429</v>
      </c>
      <c r="C6" s="38"/>
      <c r="D6" s="15"/>
      <c r="E6" s="40"/>
    </row>
    <row r="7" spans="1:8" ht="15" x14ac:dyDescent="0.2">
      <c r="B7" s="14" t="s">
        <v>443</v>
      </c>
      <c r="C7" s="97">
        <v>5386663</v>
      </c>
      <c r="D7" s="15" t="s">
        <v>449</v>
      </c>
      <c r="E7" s="40" t="s">
        <v>444</v>
      </c>
      <c r="G7" s="32" t="s">
        <v>445</v>
      </c>
    </row>
    <row r="8" spans="1:8" ht="15" x14ac:dyDescent="0.2">
      <c r="B8" s="43" t="s">
        <v>62</v>
      </c>
      <c r="C8" s="81">
        <f>C7*yd3TOm3</f>
        <v>4118373.1966499998</v>
      </c>
      <c r="D8" s="32" t="s">
        <v>450</v>
      </c>
      <c r="E8" s="38"/>
    </row>
    <row r="9" spans="1:8" ht="15" x14ac:dyDescent="0.2">
      <c r="B9" s="14" t="s">
        <v>446</v>
      </c>
      <c r="C9" s="117">
        <v>739</v>
      </c>
      <c r="D9" s="32" t="s">
        <v>451</v>
      </c>
      <c r="E9" s="37" t="s">
        <v>447</v>
      </c>
      <c r="G9" s="32" t="s">
        <v>445</v>
      </c>
    </row>
    <row r="10" spans="1:8" ht="15" x14ac:dyDescent="0.2">
      <c r="B10" s="43" t="s">
        <v>62</v>
      </c>
      <c r="C10" s="81">
        <f>C9*lbTOkg/yd3TOm3</f>
        <v>438.44143613890526</v>
      </c>
      <c r="D10" s="32" t="s">
        <v>452</v>
      </c>
      <c r="E10" s="40"/>
    </row>
    <row r="11" spans="1:8" x14ac:dyDescent="0.2">
      <c r="A11" s="75"/>
      <c r="B11" s="76" t="s">
        <v>448</v>
      </c>
      <c r="C11" s="81">
        <f>C8*C10/1000</f>
        <v>1805665.4588951999</v>
      </c>
      <c r="D11" s="75" t="s">
        <v>93</v>
      </c>
      <c r="E11" s="78"/>
      <c r="F11" s="75"/>
      <c r="G11" s="75"/>
      <c r="H11" s="75"/>
    </row>
    <row r="12" spans="1:8" x14ac:dyDescent="0.2">
      <c r="A12" s="75"/>
      <c r="B12" s="76" t="s">
        <v>431</v>
      </c>
      <c r="C12" s="75">
        <v>1958</v>
      </c>
      <c r="D12" s="75"/>
      <c r="E12" s="78" t="s">
        <v>440</v>
      </c>
      <c r="F12" s="75"/>
      <c r="G12" s="75"/>
      <c r="H12" s="75"/>
    </row>
    <row r="13" spans="1:8" x14ac:dyDescent="0.2">
      <c r="A13" s="75"/>
      <c r="B13" s="79" t="s">
        <v>432</v>
      </c>
      <c r="C13" s="75">
        <v>1966</v>
      </c>
      <c r="D13" s="75"/>
      <c r="E13" s="78" t="s">
        <v>440</v>
      </c>
      <c r="F13" s="75"/>
      <c r="G13" s="75"/>
      <c r="H13" s="75"/>
    </row>
    <row r="14" spans="1:8" x14ac:dyDescent="0.2">
      <c r="A14" s="75"/>
      <c r="B14" s="79" t="s">
        <v>454</v>
      </c>
      <c r="C14" s="80">
        <f>C13-C12</f>
        <v>8</v>
      </c>
      <c r="D14" s="75" t="s">
        <v>109</v>
      </c>
      <c r="E14" s="78"/>
      <c r="F14" s="75"/>
      <c r="G14" s="75"/>
      <c r="H14" s="75"/>
    </row>
    <row r="15" spans="1:8" x14ac:dyDescent="0.2">
      <c r="A15" s="75"/>
      <c r="B15" s="79" t="s">
        <v>453</v>
      </c>
      <c r="C15" s="81">
        <f>C11/C14</f>
        <v>225708.18236189999</v>
      </c>
      <c r="D15" s="75" t="s">
        <v>455</v>
      </c>
      <c r="E15" s="78"/>
      <c r="F15" s="75"/>
      <c r="G15" s="75"/>
      <c r="H15" s="75"/>
    </row>
    <row r="16" spans="1:8" x14ac:dyDescent="0.2">
      <c r="A16" s="75"/>
      <c r="B16" s="76" t="s">
        <v>430</v>
      </c>
      <c r="C16" s="80">
        <f>cover!C2</f>
        <v>2016</v>
      </c>
      <c r="D16" s="75"/>
      <c r="E16" s="78"/>
      <c r="F16" s="75"/>
      <c r="G16" s="75"/>
      <c r="H16" s="75"/>
    </row>
    <row r="17" spans="1:8" x14ac:dyDescent="0.2">
      <c r="A17" s="75"/>
      <c r="B17" s="79" t="s">
        <v>433</v>
      </c>
      <c r="C17" s="80">
        <f>C16-C12</f>
        <v>58</v>
      </c>
      <c r="D17" s="75"/>
      <c r="E17" s="78"/>
      <c r="F17" s="75"/>
      <c r="G17" s="75"/>
      <c r="H17" s="75"/>
    </row>
    <row r="18" spans="1:8" x14ac:dyDescent="0.2">
      <c r="A18" s="75"/>
      <c r="B18" s="79" t="s">
        <v>434</v>
      </c>
      <c r="C18" s="80">
        <f>C16-C13</f>
        <v>50</v>
      </c>
      <c r="D18" s="75"/>
      <c r="E18" s="78"/>
      <c r="F18" s="75"/>
      <c r="G18" s="75"/>
      <c r="H18" s="75"/>
    </row>
    <row r="19" spans="1:8" ht="15" x14ac:dyDescent="0.2">
      <c r="A19" s="75"/>
      <c r="B19" s="79" t="s">
        <v>438</v>
      </c>
      <c r="C19" s="75">
        <v>100</v>
      </c>
      <c r="D19" s="75" t="s">
        <v>435</v>
      </c>
      <c r="E19" s="78" t="s">
        <v>441</v>
      </c>
      <c r="F19" s="75"/>
      <c r="G19" s="75" t="s">
        <v>442</v>
      </c>
      <c r="H19" s="75"/>
    </row>
    <row r="20" spans="1:8" ht="15" x14ac:dyDescent="0.2">
      <c r="A20" s="75"/>
      <c r="B20" s="79" t="s">
        <v>437</v>
      </c>
      <c r="C20" s="75">
        <v>5.7000000000000002E-2</v>
      </c>
      <c r="D20" s="75" t="s">
        <v>436</v>
      </c>
      <c r="E20" s="78" t="s">
        <v>441</v>
      </c>
      <c r="F20" s="75"/>
      <c r="G20" s="75" t="s">
        <v>442</v>
      </c>
      <c r="H20" s="75"/>
    </row>
    <row r="21" spans="1:8" customFormat="1" ht="15" x14ac:dyDescent="0.2">
      <c r="A21" s="75"/>
      <c r="B21" s="79" t="s">
        <v>456</v>
      </c>
      <c r="C21" s="81">
        <f>C19*C15*(EXP(-C20*C18)-EXP(-C20*C17))</f>
        <v>478090.32990348787</v>
      </c>
      <c r="D21" s="75" t="s">
        <v>450</v>
      </c>
      <c r="E21" s="75"/>
      <c r="F21" s="75"/>
      <c r="G21" s="75"/>
      <c r="H21" s="75"/>
    </row>
    <row r="22" spans="1:8" customFormat="1" x14ac:dyDescent="0.2">
      <c r="A22" s="75"/>
      <c r="B22" s="82" t="s">
        <v>62</v>
      </c>
      <c r="C22" s="81">
        <f>C21*constants!$F$6/1000</f>
        <v>324.95799723540074</v>
      </c>
      <c r="D22" s="75" t="s">
        <v>93</v>
      </c>
      <c r="E22" s="75"/>
      <c r="F22" s="75"/>
      <c r="G22" s="75"/>
      <c r="H22" s="75"/>
    </row>
    <row r="23" spans="1:8" customFormat="1" x14ac:dyDescent="0.2">
      <c r="A23" s="75"/>
      <c r="B23" s="75"/>
      <c r="C23" s="75"/>
      <c r="D23" s="75"/>
      <c r="E23" s="75"/>
      <c r="F23" s="75"/>
      <c r="G23" s="75"/>
      <c r="H23" s="75"/>
    </row>
    <row r="24" spans="1:8" customFormat="1" x14ac:dyDescent="0.2"/>
    <row r="25" spans="1:8" customFormat="1" x14ac:dyDescent="0.2"/>
    <row r="26" spans="1:8" customFormat="1" x14ac:dyDescent="0.2"/>
    <row r="27" spans="1:8" customFormat="1" x14ac:dyDescent="0.2">
      <c r="A27" s="75"/>
      <c r="B27" s="75"/>
      <c r="C27" s="75"/>
      <c r="D27" s="75"/>
      <c r="E27" s="75"/>
      <c r="F27" s="75"/>
      <c r="G27" s="75"/>
      <c r="H27" s="75"/>
    </row>
    <row r="28" spans="1:8" customFormat="1" x14ac:dyDescent="0.2"/>
    <row r="29" spans="1:8" customFormat="1" x14ac:dyDescent="0.2"/>
    <row r="30" spans="1:8" customFormat="1" x14ac:dyDescent="0.2"/>
    <row r="31" spans="1:8" customFormat="1" x14ac:dyDescent="0.2"/>
  </sheetData>
  <sheetProtection sheet="1" objects="1" scenarios="1"/>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W32"/>
  <sheetViews>
    <sheetView topLeftCell="C1" workbookViewId="0">
      <selection activeCell="T32" sqref="T32"/>
    </sheetView>
  </sheetViews>
  <sheetFormatPr defaultRowHeight="12.75" x14ac:dyDescent="0.2"/>
  <cols>
    <col min="1" max="1" width="2.42578125" style="32" customWidth="1"/>
    <col min="2" max="2" width="30.7109375" style="32" customWidth="1"/>
    <col min="3" max="4" width="9.7109375" style="32" customWidth="1"/>
    <col min="5" max="5" width="2.7109375" style="32" customWidth="1"/>
    <col min="6" max="18" width="9.7109375" style="32" customWidth="1"/>
    <col min="19" max="19" width="2.7109375" style="32" customWidth="1"/>
    <col min="20" max="20" width="40.7109375" style="32" customWidth="1"/>
    <col min="21" max="16384" width="9.140625" style="32"/>
  </cols>
  <sheetData>
    <row r="1" spans="1:20" ht="31.5" x14ac:dyDescent="0.2">
      <c r="B1" s="31" t="str">
        <f>"Scope 2 data: electricity, CY" &amp; cover!C2</f>
        <v>Scope 2 data: electricity, CY2016</v>
      </c>
    </row>
    <row r="3" spans="1:20" x14ac:dyDescent="0.2">
      <c r="B3" s="19" t="s">
        <v>412</v>
      </c>
      <c r="C3" s="19"/>
      <c r="D3" s="19"/>
      <c r="E3" s="19"/>
      <c r="F3" s="19"/>
      <c r="G3" s="19"/>
      <c r="H3" s="19"/>
      <c r="I3" s="19"/>
      <c r="J3" s="19"/>
      <c r="K3" s="19"/>
      <c r="L3" s="19"/>
      <c r="M3" s="19"/>
      <c r="N3" s="19"/>
      <c r="O3" s="19"/>
      <c r="P3" s="19"/>
      <c r="Q3" s="19"/>
      <c r="R3" s="19"/>
      <c r="S3" s="19"/>
      <c r="T3" s="19"/>
    </row>
    <row r="5" spans="1:20" ht="13.5" x14ac:dyDescent="0.25">
      <c r="C5" s="7" t="s">
        <v>27</v>
      </c>
      <c r="D5" s="7" t="s">
        <v>23</v>
      </c>
      <c r="F5" s="7" t="s">
        <v>0</v>
      </c>
      <c r="G5" s="7" t="s">
        <v>1</v>
      </c>
      <c r="H5" s="7" t="s">
        <v>2</v>
      </c>
      <c r="I5" s="7" t="s">
        <v>3</v>
      </c>
      <c r="J5" s="7" t="s">
        <v>4</v>
      </c>
      <c r="K5" s="7" t="s">
        <v>5</v>
      </c>
      <c r="L5" s="7" t="s">
        <v>6</v>
      </c>
      <c r="M5" s="7" t="s">
        <v>7</v>
      </c>
      <c r="N5" s="7" t="s">
        <v>8</v>
      </c>
      <c r="O5" s="7" t="s">
        <v>9</v>
      </c>
      <c r="P5" s="7" t="s">
        <v>10</v>
      </c>
      <c r="Q5" s="7" t="s">
        <v>11</v>
      </c>
      <c r="R5" s="7" t="s">
        <v>31</v>
      </c>
      <c r="T5" s="7" t="s">
        <v>33</v>
      </c>
    </row>
    <row r="6" spans="1:20" x14ac:dyDescent="0.2">
      <c r="B6" s="32" t="s">
        <v>419</v>
      </c>
    </row>
    <row r="7" spans="1:20" x14ac:dyDescent="0.2">
      <c r="B7" s="16" t="s">
        <v>495</v>
      </c>
      <c r="C7" s="26" t="s">
        <v>602</v>
      </c>
      <c r="D7" s="32" t="s">
        <v>216</v>
      </c>
      <c r="F7" s="11">
        <v>22223.550999999999</v>
      </c>
      <c r="G7" s="11">
        <v>22692.48</v>
      </c>
      <c r="H7" s="11">
        <v>20905.955999999998</v>
      </c>
      <c r="I7" s="11">
        <v>20810.955000000002</v>
      </c>
      <c r="J7" s="11">
        <v>23767.098000000002</v>
      </c>
      <c r="K7" s="11">
        <v>28118.807000000001</v>
      </c>
      <c r="L7" s="11">
        <v>26484.877</v>
      </c>
      <c r="M7" s="11">
        <v>25666.867999999999</v>
      </c>
      <c r="N7" s="11">
        <v>25527.464</v>
      </c>
      <c r="O7" s="11">
        <v>25718.623</v>
      </c>
      <c r="P7" s="58">
        <v>23319.448</v>
      </c>
      <c r="Q7" s="25">
        <v>22846.498</v>
      </c>
      <c r="R7" s="24">
        <f>SUM(F7:Q7)</f>
        <v>288082.625</v>
      </c>
      <c r="T7" s="45" t="s">
        <v>745</v>
      </c>
    </row>
    <row r="9" spans="1:20" x14ac:dyDescent="0.2">
      <c r="B9" s="32" t="s">
        <v>417</v>
      </c>
    </row>
    <row r="10" spans="1:20" x14ac:dyDescent="0.2">
      <c r="B10" s="14" t="s">
        <v>495</v>
      </c>
      <c r="R10" s="75"/>
    </row>
    <row r="11" spans="1:20" x14ac:dyDescent="0.2">
      <c r="B11" s="17" t="s">
        <v>355</v>
      </c>
      <c r="C11" s="26" t="s">
        <v>602</v>
      </c>
      <c r="D11" s="32" t="s">
        <v>216</v>
      </c>
      <c r="F11" s="11"/>
      <c r="G11" s="11"/>
      <c r="H11" s="11"/>
      <c r="I11" s="11"/>
      <c r="J11" s="11"/>
      <c r="K11" s="11"/>
      <c r="L11" s="11"/>
      <c r="M11" s="11"/>
      <c r="N11" s="11"/>
      <c r="O11" s="11"/>
      <c r="P11" s="11"/>
      <c r="Q11" s="11"/>
      <c r="R11" s="74">
        <f>SUM(F11:Q11)</f>
        <v>0</v>
      </c>
      <c r="T11" s="35"/>
    </row>
    <row r="12" spans="1:20" x14ac:dyDescent="0.2">
      <c r="B12" s="17" t="s">
        <v>423</v>
      </c>
      <c r="C12" s="26" t="s">
        <v>602</v>
      </c>
      <c r="D12" s="32" t="s">
        <v>216</v>
      </c>
      <c r="F12" s="11"/>
      <c r="G12" s="11"/>
      <c r="H12" s="11"/>
      <c r="I12" s="11"/>
      <c r="J12" s="11"/>
      <c r="K12" s="11"/>
      <c r="L12" s="11"/>
      <c r="M12" s="11"/>
      <c r="N12" s="11"/>
      <c r="O12" s="11"/>
      <c r="P12" s="11"/>
      <c r="Q12" s="11"/>
      <c r="R12" s="74">
        <f>SUM(F12:Q12)</f>
        <v>0</v>
      </c>
      <c r="T12" s="45" t="s">
        <v>744</v>
      </c>
    </row>
    <row r="13" spans="1:20" x14ac:dyDescent="0.2">
      <c r="A13" s="75"/>
      <c r="B13" s="83" t="s">
        <v>499</v>
      </c>
      <c r="C13" s="75"/>
      <c r="D13" s="75" t="s">
        <v>216</v>
      </c>
      <c r="E13" s="75"/>
      <c r="F13" s="81">
        <f>SUM(F11:F12)</f>
        <v>0</v>
      </c>
      <c r="G13" s="81">
        <f t="shared" ref="G13:Q13" si="0">SUM(G11:G12)</f>
        <v>0</v>
      </c>
      <c r="H13" s="81">
        <f t="shared" si="0"/>
        <v>0</v>
      </c>
      <c r="I13" s="81">
        <f t="shared" si="0"/>
        <v>0</v>
      </c>
      <c r="J13" s="81">
        <f t="shared" si="0"/>
        <v>0</v>
      </c>
      <c r="K13" s="81">
        <f t="shared" si="0"/>
        <v>0</v>
      </c>
      <c r="L13" s="81">
        <f t="shared" si="0"/>
        <v>0</v>
      </c>
      <c r="M13" s="81">
        <f t="shared" si="0"/>
        <v>0</v>
      </c>
      <c r="N13" s="81">
        <f t="shared" si="0"/>
        <v>0</v>
      </c>
      <c r="O13" s="81">
        <f t="shared" si="0"/>
        <v>0</v>
      </c>
      <c r="P13" s="81">
        <f t="shared" si="0"/>
        <v>0</v>
      </c>
      <c r="Q13" s="81">
        <f t="shared" si="0"/>
        <v>0</v>
      </c>
      <c r="R13" s="81">
        <f>SUM(F13:Q13)</f>
        <v>0</v>
      </c>
      <c r="S13" s="75"/>
      <c r="T13" s="75"/>
    </row>
    <row r="14" spans="1:20" x14ac:dyDescent="0.2">
      <c r="A14" s="75"/>
      <c r="B14" s="84"/>
      <c r="C14" s="75"/>
      <c r="D14" s="75"/>
      <c r="E14" s="75"/>
      <c r="F14" s="74"/>
      <c r="G14" s="74"/>
      <c r="H14" s="74"/>
      <c r="I14" s="74"/>
      <c r="J14" s="74"/>
      <c r="K14" s="74"/>
      <c r="L14" s="74"/>
      <c r="M14" s="74"/>
      <c r="N14" s="74"/>
      <c r="O14" s="74"/>
      <c r="P14" s="74"/>
      <c r="Q14" s="74"/>
      <c r="R14" s="74"/>
      <c r="S14" s="75"/>
      <c r="T14" s="75"/>
    </row>
    <row r="15" spans="1:20" x14ac:dyDescent="0.2">
      <c r="A15" s="75"/>
      <c r="B15" s="85" t="s">
        <v>520</v>
      </c>
      <c r="C15" s="75"/>
      <c r="D15" s="75"/>
      <c r="E15" s="75"/>
      <c r="F15" s="74"/>
      <c r="G15" s="74"/>
      <c r="H15" s="74"/>
      <c r="I15" s="74"/>
      <c r="J15" s="74"/>
      <c r="K15" s="74"/>
      <c r="L15" s="74"/>
      <c r="M15" s="74"/>
      <c r="N15" s="74"/>
      <c r="O15" s="74"/>
      <c r="P15" s="74"/>
      <c r="Q15" s="74"/>
      <c r="R15" s="74"/>
      <c r="S15" s="75"/>
      <c r="T15" s="75"/>
    </row>
    <row r="16" spans="1:20" x14ac:dyDescent="0.2">
      <c r="A16" s="75"/>
      <c r="B16" s="86" t="s">
        <v>495</v>
      </c>
      <c r="C16" s="75"/>
      <c r="D16" s="75"/>
      <c r="E16" s="75"/>
      <c r="F16" s="74"/>
      <c r="G16" s="74"/>
      <c r="H16" s="74"/>
      <c r="I16" s="74"/>
      <c r="J16" s="74"/>
      <c r="K16" s="74"/>
      <c r="L16" s="74"/>
      <c r="M16" s="74"/>
      <c r="N16" s="74"/>
      <c r="O16" s="74"/>
      <c r="P16" s="74"/>
      <c r="Q16" s="74"/>
      <c r="R16" s="74"/>
      <c r="S16" s="75"/>
      <c r="T16" s="75"/>
    </row>
    <row r="17" spans="1:23" x14ac:dyDescent="0.2">
      <c r="B17" s="18" t="s">
        <v>519</v>
      </c>
      <c r="C17" s="26" t="s">
        <v>602</v>
      </c>
      <c r="D17" s="32" t="s">
        <v>216</v>
      </c>
      <c r="F17" s="11"/>
      <c r="G17" s="11"/>
      <c r="H17" s="11"/>
      <c r="I17" s="11"/>
      <c r="J17" s="11"/>
      <c r="K17" s="11"/>
      <c r="L17" s="11"/>
      <c r="M17" s="11"/>
      <c r="N17" s="11"/>
      <c r="O17" s="11"/>
      <c r="P17" s="11"/>
      <c r="Q17" s="11"/>
      <c r="R17" s="74">
        <f>SUM(F17:Q17)</f>
        <v>0</v>
      </c>
      <c r="T17" s="35"/>
    </row>
    <row r="18" spans="1:23" x14ac:dyDescent="0.2">
      <c r="A18" s="75"/>
      <c r="B18" s="87" t="s">
        <v>499</v>
      </c>
      <c r="C18" s="75"/>
      <c r="D18" s="75" t="s">
        <v>216</v>
      </c>
      <c r="E18" s="75"/>
      <c r="F18" s="73">
        <f>SUM(F17)</f>
        <v>0</v>
      </c>
      <c r="G18" s="73">
        <f t="shared" ref="G18:Q18" si="1">SUM(G17)</f>
        <v>0</v>
      </c>
      <c r="H18" s="73">
        <f t="shared" si="1"/>
        <v>0</v>
      </c>
      <c r="I18" s="73">
        <f t="shared" si="1"/>
        <v>0</v>
      </c>
      <c r="J18" s="73">
        <f t="shared" si="1"/>
        <v>0</v>
      </c>
      <c r="K18" s="73">
        <f t="shared" si="1"/>
        <v>0</v>
      </c>
      <c r="L18" s="73">
        <f t="shared" si="1"/>
        <v>0</v>
      </c>
      <c r="M18" s="73">
        <f t="shared" si="1"/>
        <v>0</v>
      </c>
      <c r="N18" s="73">
        <f t="shared" si="1"/>
        <v>0</v>
      </c>
      <c r="O18" s="73">
        <f t="shared" si="1"/>
        <v>0</v>
      </c>
      <c r="P18" s="73">
        <f t="shared" si="1"/>
        <v>0</v>
      </c>
      <c r="Q18" s="73">
        <f t="shared" si="1"/>
        <v>0</v>
      </c>
      <c r="R18" s="74">
        <f>SUM(F18:Q18)</f>
        <v>0</v>
      </c>
      <c r="S18" s="75"/>
      <c r="T18" s="75"/>
      <c r="U18" s="75"/>
      <c r="V18" s="75"/>
      <c r="W18" s="75"/>
    </row>
    <row r="20" spans="1:23" x14ac:dyDescent="0.2">
      <c r="B20" s="19" t="s">
        <v>480</v>
      </c>
      <c r="C20" s="19"/>
      <c r="D20" s="19"/>
      <c r="E20" s="19"/>
      <c r="F20" s="19"/>
      <c r="G20" s="19"/>
      <c r="H20" s="19"/>
      <c r="I20" s="19"/>
      <c r="J20" s="19"/>
      <c r="K20" s="19"/>
      <c r="L20" s="19"/>
      <c r="M20" s="19"/>
      <c r="N20" s="19"/>
      <c r="O20" s="19"/>
      <c r="P20" s="19"/>
      <c r="Q20" s="19"/>
      <c r="R20" s="19"/>
      <c r="S20" s="19"/>
      <c r="T20" s="19"/>
    </row>
    <row r="22" spans="1:23" ht="13.5" x14ac:dyDescent="0.25">
      <c r="C22" s="7" t="s">
        <v>27</v>
      </c>
      <c r="D22" s="7" t="s">
        <v>23</v>
      </c>
      <c r="F22" s="7" t="s">
        <v>0</v>
      </c>
      <c r="G22" s="7" t="s">
        <v>1</v>
      </c>
      <c r="H22" s="7" t="s">
        <v>2</v>
      </c>
      <c r="I22" s="7" t="s">
        <v>3</v>
      </c>
      <c r="J22" s="7" t="s">
        <v>4</v>
      </c>
      <c r="K22" s="7" t="s">
        <v>5</v>
      </c>
      <c r="L22" s="7" t="s">
        <v>6</v>
      </c>
      <c r="M22" s="7" t="s">
        <v>7</v>
      </c>
      <c r="N22" s="7" t="s">
        <v>8</v>
      </c>
      <c r="O22" s="7" t="s">
        <v>9</v>
      </c>
      <c r="P22" s="7" t="s">
        <v>10</v>
      </c>
      <c r="Q22" s="7" t="s">
        <v>11</v>
      </c>
      <c r="R22" s="7" t="s">
        <v>31</v>
      </c>
      <c r="T22" s="7" t="s">
        <v>33</v>
      </c>
    </row>
    <row r="23" spans="1:23" x14ac:dyDescent="0.2">
      <c r="B23" s="32" t="s">
        <v>488</v>
      </c>
    </row>
    <row r="24" spans="1:23" x14ac:dyDescent="0.2">
      <c r="B24" s="16" t="s">
        <v>498</v>
      </c>
      <c r="C24" s="26" t="s">
        <v>602</v>
      </c>
      <c r="D24" s="32" t="s">
        <v>216</v>
      </c>
      <c r="F24" s="11">
        <v>572.9</v>
      </c>
      <c r="G24" s="177">
        <v>572.9</v>
      </c>
      <c r="H24" s="177">
        <v>572.9</v>
      </c>
      <c r="I24" s="177">
        <v>572.9</v>
      </c>
      <c r="J24" s="177">
        <v>572.9</v>
      </c>
      <c r="K24" s="177">
        <v>572.9</v>
      </c>
      <c r="L24" s="177">
        <v>572.9</v>
      </c>
      <c r="M24" s="177">
        <v>572.9</v>
      </c>
      <c r="N24" s="177">
        <v>572.9</v>
      </c>
      <c r="O24" s="177">
        <v>572.9</v>
      </c>
      <c r="P24" s="177">
        <v>572.9</v>
      </c>
      <c r="Q24" s="177">
        <v>572.9</v>
      </c>
      <c r="R24" s="24">
        <f>SUM(F24:Q24)</f>
        <v>6874.7999999999984</v>
      </c>
      <c r="T24" s="45" t="s">
        <v>760</v>
      </c>
    </row>
    <row r="25" spans="1:23" x14ac:dyDescent="0.2">
      <c r="B25" s="32" t="s">
        <v>489</v>
      </c>
    </row>
    <row r="26" spans="1:23" x14ac:dyDescent="0.2">
      <c r="B26" s="16" t="s">
        <v>498</v>
      </c>
      <c r="C26" s="26" t="s">
        <v>602</v>
      </c>
      <c r="D26" s="32" t="s">
        <v>216</v>
      </c>
      <c r="F26" s="11">
        <v>169.68</v>
      </c>
      <c r="G26" s="11">
        <v>159.36000000000001</v>
      </c>
      <c r="H26" s="11">
        <v>153.84</v>
      </c>
      <c r="I26" s="11">
        <v>158.52000000000001</v>
      </c>
      <c r="J26" s="11">
        <v>161.52000000000001</v>
      </c>
      <c r="K26" s="11">
        <v>148.68</v>
      </c>
      <c r="L26" s="11">
        <v>145.68</v>
      </c>
      <c r="M26" s="11">
        <v>143.63999999999999</v>
      </c>
      <c r="N26" s="11">
        <v>155.63999999999999</v>
      </c>
      <c r="O26" s="11">
        <v>155.4</v>
      </c>
      <c r="P26" s="11">
        <v>163.32</v>
      </c>
      <c r="Q26" s="25">
        <v>149</v>
      </c>
      <c r="R26" s="24">
        <f>SUM(F26:Q26)</f>
        <v>1864.28</v>
      </c>
      <c r="T26" s="176" t="s">
        <v>760</v>
      </c>
    </row>
    <row r="28" spans="1:23" x14ac:dyDescent="0.2">
      <c r="B28" s="19" t="s">
        <v>481</v>
      </c>
      <c r="C28" s="19"/>
      <c r="D28" s="19"/>
      <c r="E28" s="19"/>
      <c r="F28" s="19"/>
      <c r="G28" s="19"/>
      <c r="H28" s="19"/>
      <c r="I28" s="19"/>
      <c r="J28" s="19"/>
      <c r="K28" s="19"/>
      <c r="L28" s="19"/>
      <c r="M28" s="19"/>
      <c r="N28" s="19"/>
      <c r="O28" s="19"/>
      <c r="P28" s="19"/>
      <c r="Q28" s="19"/>
      <c r="R28" s="19"/>
      <c r="S28" s="19"/>
      <c r="T28" s="19"/>
    </row>
    <row r="30" spans="1:23" ht="13.5" x14ac:dyDescent="0.25">
      <c r="C30" s="7" t="s">
        <v>27</v>
      </c>
      <c r="D30" s="7" t="s">
        <v>23</v>
      </c>
      <c r="F30" s="7" t="s">
        <v>0</v>
      </c>
      <c r="G30" s="7" t="s">
        <v>1</v>
      </c>
      <c r="H30" s="7" t="s">
        <v>2</v>
      </c>
      <c r="I30" s="7" t="s">
        <v>3</v>
      </c>
      <c r="J30" s="7" t="s">
        <v>4</v>
      </c>
      <c r="K30" s="7" t="s">
        <v>5</v>
      </c>
      <c r="L30" s="7" t="s">
        <v>6</v>
      </c>
      <c r="M30" s="7" t="s">
        <v>7</v>
      </c>
      <c r="N30" s="7" t="s">
        <v>8</v>
      </c>
      <c r="O30" s="7" t="s">
        <v>9</v>
      </c>
      <c r="P30" s="7" t="s">
        <v>10</v>
      </c>
      <c r="Q30" s="7" t="s">
        <v>11</v>
      </c>
      <c r="R30" s="7" t="s">
        <v>31</v>
      </c>
      <c r="T30" s="7" t="s">
        <v>33</v>
      </c>
    </row>
    <row r="31" spans="1:23" x14ac:dyDescent="0.2">
      <c r="B31" s="32" t="s">
        <v>504</v>
      </c>
    </row>
    <row r="32" spans="1:23" x14ac:dyDescent="0.2">
      <c r="B32" s="16" t="s">
        <v>501</v>
      </c>
      <c r="C32" s="26" t="s">
        <v>602</v>
      </c>
      <c r="D32" s="32" t="s">
        <v>216</v>
      </c>
      <c r="F32" s="58">
        <v>935.58</v>
      </c>
      <c r="G32" s="179">
        <v>935.58</v>
      </c>
      <c r="H32" s="179">
        <v>935.58</v>
      </c>
      <c r="I32" s="179">
        <v>935.58</v>
      </c>
      <c r="J32" s="179">
        <v>935.58</v>
      </c>
      <c r="K32" s="179">
        <v>935.58</v>
      </c>
      <c r="L32" s="179">
        <v>935.58</v>
      </c>
      <c r="M32" s="179">
        <v>935.58</v>
      </c>
      <c r="N32" s="179">
        <v>935.58</v>
      </c>
      <c r="O32" s="179">
        <v>935.58</v>
      </c>
      <c r="P32" s="179">
        <v>935.58</v>
      </c>
      <c r="Q32" s="179">
        <v>935.58</v>
      </c>
      <c r="R32" s="24">
        <f>SUM(F32:Q32)</f>
        <v>11226.960000000001</v>
      </c>
      <c r="T32" s="176" t="s">
        <v>772</v>
      </c>
    </row>
  </sheetData>
  <sheetProtection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T20"/>
  <sheetViews>
    <sheetView topLeftCell="H1" workbookViewId="0">
      <selection activeCell="T11" sqref="T11"/>
    </sheetView>
  </sheetViews>
  <sheetFormatPr defaultRowHeight="12.75" x14ac:dyDescent="0.2"/>
  <cols>
    <col min="1" max="1" width="2.42578125" style="32" customWidth="1"/>
    <col min="2" max="2" width="30.7109375" style="32" customWidth="1"/>
    <col min="3" max="4" width="9.7109375" style="32" customWidth="1"/>
    <col min="5" max="5" width="2.7109375" style="32" customWidth="1"/>
    <col min="6" max="18" width="9.7109375" style="32" customWidth="1"/>
    <col min="19" max="19" width="2.7109375" style="32" customWidth="1"/>
    <col min="20" max="20" width="40.7109375" style="32" customWidth="1"/>
    <col min="21" max="16384" width="9.140625" style="32"/>
  </cols>
  <sheetData>
    <row r="1" spans="2:20" ht="31.5" x14ac:dyDescent="0.2">
      <c r="B1" s="31" t="str">
        <f>"Scope 2 data: steam, CY" &amp; cover!C2</f>
        <v>Scope 2 data: steam, CY2016</v>
      </c>
    </row>
    <row r="3" spans="2:20" x14ac:dyDescent="0.2">
      <c r="B3" s="19" t="s">
        <v>412</v>
      </c>
      <c r="C3" s="19"/>
      <c r="D3" s="19"/>
      <c r="E3" s="19"/>
      <c r="F3" s="19"/>
      <c r="G3" s="19"/>
      <c r="H3" s="19"/>
      <c r="I3" s="19"/>
      <c r="J3" s="19"/>
      <c r="K3" s="19"/>
      <c r="L3" s="19"/>
      <c r="M3" s="19"/>
      <c r="N3" s="19"/>
      <c r="O3" s="19"/>
      <c r="P3" s="19"/>
      <c r="Q3" s="19"/>
      <c r="R3" s="19"/>
      <c r="S3" s="19"/>
      <c r="T3" s="19"/>
    </row>
    <row r="5" spans="2:20" ht="13.5" x14ac:dyDescent="0.25">
      <c r="C5" s="7" t="s">
        <v>27</v>
      </c>
      <c r="D5" s="7" t="s">
        <v>23</v>
      </c>
      <c r="F5" s="7" t="s">
        <v>0</v>
      </c>
      <c r="G5" s="7" t="s">
        <v>1</v>
      </c>
      <c r="H5" s="7" t="s">
        <v>2</v>
      </c>
      <c r="I5" s="7" t="s">
        <v>3</v>
      </c>
      <c r="J5" s="7" t="s">
        <v>4</v>
      </c>
      <c r="K5" s="7" t="s">
        <v>5</v>
      </c>
      <c r="L5" s="7" t="s">
        <v>6</v>
      </c>
      <c r="M5" s="7" t="s">
        <v>7</v>
      </c>
      <c r="N5" s="7" t="s">
        <v>8</v>
      </c>
      <c r="O5" s="7" t="s">
        <v>9</v>
      </c>
      <c r="P5" s="7" t="s">
        <v>10</v>
      </c>
      <c r="Q5" s="7" t="s">
        <v>11</v>
      </c>
      <c r="R5" s="7" t="s">
        <v>31</v>
      </c>
      <c r="T5" s="7" t="s">
        <v>33</v>
      </c>
    </row>
    <row r="6" spans="2:20" x14ac:dyDescent="0.2">
      <c r="B6" s="32" t="s">
        <v>520</v>
      </c>
    </row>
    <row r="7" spans="2:20" x14ac:dyDescent="0.2">
      <c r="B7" s="14" t="s">
        <v>509</v>
      </c>
      <c r="R7" s="75"/>
    </row>
    <row r="8" spans="2:20" x14ac:dyDescent="0.2">
      <c r="B8" s="17" t="s">
        <v>519</v>
      </c>
      <c r="C8" s="26" t="s">
        <v>602</v>
      </c>
      <c r="D8" s="32" t="s">
        <v>510</v>
      </c>
      <c r="F8" s="11">
        <v>2226</v>
      </c>
      <c r="G8" s="11">
        <v>1930.8</v>
      </c>
      <c r="H8" s="11">
        <v>1913.3</v>
      </c>
      <c r="I8" s="11">
        <v>1949.4</v>
      </c>
      <c r="J8" s="11">
        <v>2368.9</v>
      </c>
      <c r="K8" s="11">
        <v>2930.3</v>
      </c>
      <c r="L8" s="11">
        <v>2944.6</v>
      </c>
      <c r="M8" s="11">
        <v>1636.1</v>
      </c>
      <c r="N8" s="11">
        <v>1600.2</v>
      </c>
      <c r="O8" s="11">
        <v>1866.7</v>
      </c>
      <c r="P8" s="11">
        <v>2013.1</v>
      </c>
      <c r="Q8" s="11">
        <v>2730.3</v>
      </c>
      <c r="R8" s="74">
        <f>SUM(F8:Q8)</f>
        <v>26109.7</v>
      </c>
      <c r="T8" s="176" t="s">
        <v>753</v>
      </c>
    </row>
    <row r="9" spans="2:20" x14ac:dyDescent="0.2">
      <c r="B9" s="17" t="s">
        <v>523</v>
      </c>
      <c r="C9" s="26" t="s">
        <v>602</v>
      </c>
      <c r="D9" s="32" t="s">
        <v>510</v>
      </c>
      <c r="F9" s="11">
        <v>601</v>
      </c>
      <c r="G9" s="11">
        <v>428</v>
      </c>
      <c r="H9" s="11">
        <v>450</v>
      </c>
      <c r="I9" s="11">
        <v>221</v>
      </c>
      <c r="J9" s="11">
        <v>172</v>
      </c>
      <c r="K9" s="11">
        <v>139</v>
      </c>
      <c r="L9" s="11">
        <v>135</v>
      </c>
      <c r="M9" s="11">
        <v>151</v>
      </c>
      <c r="N9" s="11">
        <v>147</v>
      </c>
      <c r="O9" s="11">
        <v>223</v>
      </c>
      <c r="P9" s="11">
        <v>274</v>
      </c>
      <c r="Q9" s="11">
        <v>700</v>
      </c>
      <c r="R9" s="74">
        <f>SUM(F9:Q9)</f>
        <v>3641</v>
      </c>
      <c r="T9" s="45" t="s">
        <v>753</v>
      </c>
    </row>
    <row r="10" spans="2:20" x14ac:dyDescent="0.2">
      <c r="B10" s="17" t="s">
        <v>524</v>
      </c>
      <c r="C10" s="26" t="s">
        <v>602</v>
      </c>
      <c r="D10" s="32" t="s">
        <v>510</v>
      </c>
      <c r="F10" s="58">
        <f>1469+81</f>
        <v>1550</v>
      </c>
      <c r="G10" s="11">
        <f>1240+38</f>
        <v>1278</v>
      </c>
      <c r="H10" s="11">
        <f>1386+43</f>
        <v>1429</v>
      </c>
      <c r="I10" s="11">
        <f>681+5</f>
        <v>686</v>
      </c>
      <c r="J10" s="11">
        <f>622+5</f>
        <v>627</v>
      </c>
      <c r="K10" s="11">
        <f>557+5</f>
        <v>562</v>
      </c>
      <c r="L10" s="11">
        <f>353+5</f>
        <v>358</v>
      </c>
      <c r="M10" s="11">
        <f>390+7</f>
        <v>397</v>
      </c>
      <c r="N10" s="11">
        <f>522+4</f>
        <v>526</v>
      </c>
      <c r="O10" s="11">
        <f>547+5</f>
        <v>552</v>
      </c>
      <c r="P10" s="11">
        <f>797+11</f>
        <v>808</v>
      </c>
      <c r="Q10" s="11">
        <f>1823+83</f>
        <v>1906</v>
      </c>
      <c r="R10" s="74">
        <f>SUM(F10:Q10)</f>
        <v>10679</v>
      </c>
      <c r="T10" s="176" t="s">
        <v>753</v>
      </c>
    </row>
    <row r="11" spans="2:20" x14ac:dyDescent="0.2">
      <c r="B11" s="17" t="s">
        <v>522</v>
      </c>
      <c r="C11" s="26" t="s">
        <v>602</v>
      </c>
      <c r="D11" s="32" t="s">
        <v>510</v>
      </c>
      <c r="F11" s="11">
        <v>344</v>
      </c>
      <c r="G11" s="11">
        <v>253</v>
      </c>
      <c r="H11" s="11">
        <v>265</v>
      </c>
      <c r="I11" s="11">
        <v>138</v>
      </c>
      <c r="J11" s="11">
        <v>130</v>
      </c>
      <c r="K11" s="11">
        <v>126</v>
      </c>
      <c r="L11" s="11">
        <v>79</v>
      </c>
      <c r="M11" s="11">
        <v>97</v>
      </c>
      <c r="N11" s="11">
        <v>169</v>
      </c>
      <c r="O11" s="11">
        <v>397</v>
      </c>
      <c r="P11" s="11">
        <v>482</v>
      </c>
      <c r="Q11" s="11">
        <v>620</v>
      </c>
      <c r="R11" s="74">
        <f>SUM(F11:Q11)</f>
        <v>3100</v>
      </c>
      <c r="T11" s="176" t="s">
        <v>753</v>
      </c>
    </row>
    <row r="12" spans="2:20" x14ac:dyDescent="0.2">
      <c r="B12" s="47" t="s">
        <v>525</v>
      </c>
      <c r="D12" s="32" t="s">
        <v>510</v>
      </c>
      <c r="E12" s="75"/>
      <c r="F12" s="81">
        <f t="shared" ref="F12:Q12" si="0">SUM(F8:F11)</f>
        <v>4721</v>
      </c>
      <c r="G12" s="81">
        <f t="shared" si="0"/>
        <v>3889.8</v>
      </c>
      <c r="H12" s="81">
        <f t="shared" si="0"/>
        <v>4057.3</v>
      </c>
      <c r="I12" s="81">
        <f t="shared" si="0"/>
        <v>2994.4</v>
      </c>
      <c r="J12" s="81">
        <f t="shared" si="0"/>
        <v>3297.9</v>
      </c>
      <c r="K12" s="81">
        <f t="shared" si="0"/>
        <v>3757.3</v>
      </c>
      <c r="L12" s="81">
        <f t="shared" si="0"/>
        <v>3516.6</v>
      </c>
      <c r="M12" s="81">
        <f t="shared" si="0"/>
        <v>2281.1</v>
      </c>
      <c r="N12" s="81">
        <f t="shared" si="0"/>
        <v>2442.1999999999998</v>
      </c>
      <c r="O12" s="81">
        <f t="shared" si="0"/>
        <v>3038.7</v>
      </c>
      <c r="P12" s="81">
        <f t="shared" si="0"/>
        <v>3577.1</v>
      </c>
      <c r="Q12" s="81">
        <f t="shared" si="0"/>
        <v>5956.3</v>
      </c>
      <c r="R12" s="81">
        <f>SUM(F12:Q12)</f>
        <v>43529.7</v>
      </c>
    </row>
    <row r="13" spans="2:20" x14ac:dyDescent="0.2">
      <c r="R13" s="75"/>
    </row>
    <row r="14" spans="2:20" x14ac:dyDescent="0.2">
      <c r="R14" s="75"/>
    </row>
    <row r="15" spans="2:20" x14ac:dyDescent="0.2">
      <c r="R15" s="75"/>
    </row>
    <row r="16" spans="2:20" x14ac:dyDescent="0.2">
      <c r="R16" s="75"/>
    </row>
    <row r="17" spans="18:18" x14ac:dyDescent="0.2">
      <c r="R17" s="75"/>
    </row>
    <row r="18" spans="18:18" x14ac:dyDescent="0.2">
      <c r="R18" s="75"/>
    </row>
    <row r="19" spans="18:18" x14ac:dyDescent="0.2">
      <c r="R19" s="75"/>
    </row>
    <row r="20" spans="18:18" x14ac:dyDescent="0.2">
      <c r="R20" s="75"/>
    </row>
  </sheetData>
  <sheetProtection sheet="1" objects="1" scenario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504"/>
  <sheetViews>
    <sheetView topLeftCell="A16" workbookViewId="0">
      <selection activeCell="K23" sqref="K23"/>
    </sheetView>
  </sheetViews>
  <sheetFormatPr defaultRowHeight="12.75" x14ac:dyDescent="0.2"/>
  <cols>
    <col min="1" max="1" width="2.42578125" style="32" customWidth="1"/>
    <col min="2" max="2" width="12.7109375" style="32" customWidth="1"/>
    <col min="3" max="6" width="10.7109375" style="32" customWidth="1"/>
    <col min="7" max="7" width="10.7109375" style="33" customWidth="1"/>
    <col min="8" max="9" width="10.7109375" style="32" customWidth="1"/>
    <col min="10" max="10" width="2.7109375" style="32" customWidth="1"/>
    <col min="11" max="11" width="40.7109375" style="32" customWidth="1"/>
    <col min="12" max="12" width="10.7109375" style="32" customWidth="1"/>
    <col min="13" max="16384" width="9.140625" style="32"/>
  </cols>
  <sheetData>
    <row r="1" spans="2:12" ht="31.5" x14ac:dyDescent="0.2">
      <c r="B1" s="31" t="str">
        <f>"Scope 3 data: commuting Seattle, CY" &amp; cover!C2</f>
        <v>Scope 3 data: commuting Seattle, CY2016</v>
      </c>
    </row>
    <row r="3" spans="2:12" x14ac:dyDescent="0.2">
      <c r="B3" s="19" t="s">
        <v>640</v>
      </c>
      <c r="C3" s="19"/>
      <c r="D3" s="19"/>
      <c r="E3" s="19"/>
      <c r="F3" s="19"/>
      <c r="G3" s="19"/>
      <c r="H3" s="19"/>
      <c r="I3" s="19"/>
      <c r="J3" s="19"/>
      <c r="K3" s="19"/>
      <c r="L3"/>
    </row>
    <row r="4" spans="2:12" ht="13.5" x14ac:dyDescent="0.25">
      <c r="B4" s="7" t="s">
        <v>667</v>
      </c>
      <c r="C4" s="7" t="s">
        <v>638</v>
      </c>
      <c r="D4"/>
      <c r="E4"/>
      <c r="F4"/>
      <c r="H4"/>
      <c r="I4"/>
      <c r="J4"/>
      <c r="K4" s="7" t="s">
        <v>33</v>
      </c>
      <c r="L4"/>
    </row>
    <row r="5" spans="2:12" x14ac:dyDescent="0.2">
      <c r="B5" s="33" t="s">
        <v>577</v>
      </c>
      <c r="C5" s="48">
        <v>4.16</v>
      </c>
      <c r="D5"/>
      <c r="E5"/>
      <c r="F5"/>
      <c r="H5"/>
      <c r="I5"/>
      <c r="J5"/>
      <c r="K5" s="45" t="s">
        <v>764</v>
      </c>
      <c r="L5"/>
    </row>
    <row r="6" spans="2:12" x14ac:dyDescent="0.2">
      <c r="B6" s="33" t="s">
        <v>576</v>
      </c>
      <c r="C6" s="48">
        <v>4.26</v>
      </c>
      <c r="D6"/>
      <c r="E6"/>
      <c r="F6"/>
      <c r="H6"/>
      <c r="I6"/>
      <c r="J6"/>
      <c r="L6"/>
    </row>
    <row r="7" spans="2:12" x14ac:dyDescent="0.2">
      <c r="B7" s="33" t="s">
        <v>559</v>
      </c>
      <c r="C7" s="48">
        <v>4.41</v>
      </c>
      <c r="D7"/>
      <c r="E7"/>
      <c r="F7"/>
      <c r="H7"/>
      <c r="I7"/>
      <c r="J7"/>
    </row>
    <row r="9" spans="2:12" x14ac:dyDescent="0.2">
      <c r="B9" s="19" t="s">
        <v>639</v>
      </c>
      <c r="C9" s="19"/>
      <c r="D9" s="19"/>
      <c r="E9" s="19"/>
      <c r="F9" s="19"/>
      <c r="G9" s="19"/>
      <c r="H9" s="19"/>
      <c r="I9" s="19"/>
      <c r="J9" s="19"/>
      <c r="K9" s="19"/>
    </row>
    <row r="10" spans="2:12" ht="13.5" x14ac:dyDescent="0.25">
      <c r="B10" s="7" t="s">
        <v>667</v>
      </c>
      <c r="C10" s="59" t="s">
        <v>633</v>
      </c>
      <c r="D10" s="59" t="s">
        <v>634</v>
      </c>
      <c r="E10" s="59" t="s">
        <v>635</v>
      </c>
      <c r="F10" s="59" t="s">
        <v>690</v>
      </c>
      <c r="G10" s="59" t="s">
        <v>691</v>
      </c>
      <c r="H10" s="59" t="s">
        <v>636</v>
      </c>
      <c r="I10" s="59" t="s">
        <v>637</v>
      </c>
      <c r="K10" s="7" t="s">
        <v>33</v>
      </c>
    </row>
    <row r="11" spans="2:12" x14ac:dyDescent="0.2">
      <c r="B11" s="32" t="s">
        <v>577</v>
      </c>
      <c r="C11" s="60">
        <v>0.32100000000000001</v>
      </c>
      <c r="D11" s="60">
        <v>8.6999999999999994E-2</v>
      </c>
      <c r="E11" s="183">
        <v>1E-3</v>
      </c>
      <c r="F11" s="60">
        <v>0.28599999999999998</v>
      </c>
      <c r="G11" s="60">
        <v>0.06</v>
      </c>
      <c r="H11" s="60">
        <v>0.14799999999999999</v>
      </c>
      <c r="I11" s="60">
        <v>6.6000000000000003E-2</v>
      </c>
      <c r="K11" s="176" t="s">
        <v>765</v>
      </c>
    </row>
    <row r="12" spans="2:12" x14ac:dyDescent="0.2">
      <c r="B12" s="72" t="s">
        <v>576</v>
      </c>
      <c r="C12" s="182">
        <v>0.37</v>
      </c>
      <c r="D12" s="60">
        <v>8.3000000000000004E-2</v>
      </c>
      <c r="E12" s="183">
        <v>8.0000000000000002E-3</v>
      </c>
      <c r="F12" s="60">
        <v>0.372</v>
      </c>
      <c r="G12" s="60">
        <v>5.8000000000000003E-2</v>
      </c>
      <c r="H12" s="60">
        <v>5.6000000000000001E-2</v>
      </c>
      <c r="I12" s="60">
        <v>3.2000000000000001E-2</v>
      </c>
      <c r="K12" s="35"/>
    </row>
    <row r="13" spans="2:12" x14ac:dyDescent="0.2">
      <c r="B13" s="72" t="s">
        <v>559</v>
      </c>
      <c r="C13" s="60">
        <v>6.4000000000000001E-2</v>
      </c>
      <c r="D13" s="60">
        <v>3.5999999999999997E-2</v>
      </c>
      <c r="E13" s="183">
        <v>3.0000000000000001E-3</v>
      </c>
      <c r="F13" s="60">
        <v>0.34</v>
      </c>
      <c r="G13" s="60">
        <v>5.8000000000000003E-2</v>
      </c>
      <c r="H13" s="60">
        <v>4.8000000000000001E-2</v>
      </c>
      <c r="I13" s="60">
        <v>0.43099999999999999</v>
      </c>
      <c r="K13" s="45"/>
    </row>
    <row r="15" spans="2:12" x14ac:dyDescent="0.2">
      <c r="B15" s="19" t="s">
        <v>641</v>
      </c>
      <c r="C15" s="19"/>
      <c r="D15" s="19"/>
      <c r="E15" s="19"/>
      <c r="F15" s="19"/>
      <c r="G15" s="19"/>
      <c r="H15" s="19"/>
      <c r="I15" s="19"/>
      <c r="J15" s="19"/>
      <c r="K15" s="19"/>
      <c r="L15"/>
    </row>
    <row r="16" spans="2:12" ht="13.5" x14ac:dyDescent="0.25">
      <c r="B16" s="7" t="s">
        <v>668</v>
      </c>
      <c r="C16" s="59" t="s">
        <v>633</v>
      </c>
      <c r="D16" s="59" t="s">
        <v>634</v>
      </c>
      <c r="E16" s="59" t="s">
        <v>635</v>
      </c>
      <c r="F16" s="59" t="s">
        <v>690</v>
      </c>
      <c r="G16" s="59" t="s">
        <v>691</v>
      </c>
      <c r="H16" s="59" t="s">
        <v>636</v>
      </c>
      <c r="I16" s="59" t="s">
        <v>637</v>
      </c>
      <c r="K16" s="7" t="s">
        <v>33</v>
      </c>
      <c r="L16"/>
    </row>
    <row r="17" spans="2:13" x14ac:dyDescent="0.2">
      <c r="B17" s="33" t="s">
        <v>643</v>
      </c>
      <c r="C17" s="33"/>
      <c r="D17" s="33"/>
      <c r="E17" s="33"/>
      <c r="F17" s="33"/>
      <c r="H17" s="33"/>
      <c r="I17" s="33"/>
    </row>
    <row r="18" spans="2:13" x14ac:dyDescent="0.2">
      <c r="B18" s="17" t="s">
        <v>577</v>
      </c>
      <c r="C18" s="52">
        <v>7.8</v>
      </c>
      <c r="D18" s="52">
        <v>7.8</v>
      </c>
      <c r="E18" s="52">
        <v>1</v>
      </c>
      <c r="F18" s="52">
        <v>7.3</v>
      </c>
      <c r="G18" s="52">
        <v>12</v>
      </c>
      <c r="H18" s="52">
        <v>3.8</v>
      </c>
      <c r="I18" s="52">
        <v>1.6</v>
      </c>
      <c r="K18" s="176" t="s">
        <v>765</v>
      </c>
      <c r="L18"/>
    </row>
    <row r="19" spans="2:13" x14ac:dyDescent="0.2">
      <c r="B19" s="90" t="s">
        <v>576</v>
      </c>
      <c r="C19" s="52">
        <v>12.9</v>
      </c>
      <c r="D19" s="52">
        <v>15.6</v>
      </c>
      <c r="E19" s="52">
        <v>15.8</v>
      </c>
      <c r="F19" s="52">
        <v>11.8</v>
      </c>
      <c r="G19" s="52">
        <v>19.2</v>
      </c>
      <c r="H19" s="52">
        <v>4.0999999999999996</v>
      </c>
      <c r="I19" s="52">
        <v>1.6</v>
      </c>
      <c r="K19" s="35"/>
      <c r="L19"/>
    </row>
    <row r="20" spans="2:13" x14ac:dyDescent="0.2">
      <c r="B20" s="90" t="s">
        <v>559</v>
      </c>
      <c r="C20" s="52">
        <v>12.1</v>
      </c>
      <c r="D20" s="52">
        <v>12.3</v>
      </c>
      <c r="E20" s="52">
        <v>11.8</v>
      </c>
      <c r="F20" s="52">
        <v>7</v>
      </c>
      <c r="G20" s="52">
        <v>12</v>
      </c>
      <c r="H20" s="52">
        <v>2.1</v>
      </c>
      <c r="I20" s="52">
        <v>1.4</v>
      </c>
      <c r="K20" s="35"/>
      <c r="L20"/>
    </row>
    <row r="21" spans="2:13" x14ac:dyDescent="0.2">
      <c r="B21" s="72" t="s">
        <v>642</v>
      </c>
    </row>
    <row r="22" spans="2:13" s="75" customFormat="1" x14ac:dyDescent="0.2">
      <c r="B22" s="88" t="s">
        <v>577</v>
      </c>
      <c r="C22" s="89">
        <f t="shared" ref="C22:I24" si="0">2*C18*$C5</f>
        <v>64.896000000000001</v>
      </c>
      <c r="D22" s="89">
        <f t="shared" si="0"/>
        <v>64.896000000000001</v>
      </c>
      <c r="E22" s="89">
        <f t="shared" si="0"/>
        <v>8.32</v>
      </c>
      <c r="F22" s="89">
        <f t="shared" si="0"/>
        <v>60.735999999999997</v>
      </c>
      <c r="G22" s="89">
        <f>2*G18*$C5</f>
        <v>99.84</v>
      </c>
      <c r="H22" s="89">
        <f t="shared" si="0"/>
        <v>31.616</v>
      </c>
      <c r="I22" s="89">
        <f t="shared" si="0"/>
        <v>13.312000000000001</v>
      </c>
    </row>
    <row r="23" spans="2:13" s="75" customFormat="1" x14ac:dyDescent="0.2">
      <c r="B23" s="90" t="s">
        <v>576</v>
      </c>
      <c r="C23" s="89">
        <f t="shared" si="0"/>
        <v>109.908</v>
      </c>
      <c r="D23" s="89">
        <f t="shared" si="0"/>
        <v>132.91199999999998</v>
      </c>
      <c r="E23" s="89">
        <f t="shared" si="0"/>
        <v>134.61599999999999</v>
      </c>
      <c r="F23" s="89">
        <f t="shared" si="0"/>
        <v>100.536</v>
      </c>
      <c r="G23" s="89">
        <f>2*G19*$C6</f>
        <v>163.58399999999997</v>
      </c>
      <c r="H23" s="89">
        <f t="shared" si="0"/>
        <v>34.931999999999995</v>
      </c>
      <c r="I23" s="89">
        <f t="shared" si="0"/>
        <v>13.632</v>
      </c>
    </row>
    <row r="24" spans="2:13" s="75" customFormat="1" x14ac:dyDescent="0.2">
      <c r="B24" s="90" t="s">
        <v>559</v>
      </c>
      <c r="C24" s="89">
        <f t="shared" si="0"/>
        <v>106.72199999999999</v>
      </c>
      <c r="D24" s="89">
        <f t="shared" si="0"/>
        <v>108.486</v>
      </c>
      <c r="E24" s="89">
        <f t="shared" si="0"/>
        <v>104.07600000000001</v>
      </c>
      <c r="F24" s="89">
        <f t="shared" si="0"/>
        <v>61.74</v>
      </c>
      <c r="G24" s="89">
        <f>2*G20*$C7</f>
        <v>105.84</v>
      </c>
      <c r="H24" s="89">
        <f t="shared" si="0"/>
        <v>18.522000000000002</v>
      </c>
      <c r="I24" s="89">
        <f t="shared" si="0"/>
        <v>12.347999999999999</v>
      </c>
    </row>
    <row r="25" spans="2:13" s="75" customFormat="1" x14ac:dyDescent="0.2">
      <c r="B25" s="72" t="s">
        <v>644</v>
      </c>
      <c r="C25" s="89"/>
      <c r="D25" s="89"/>
      <c r="E25" s="89"/>
      <c r="F25" s="89"/>
      <c r="G25" s="89"/>
      <c r="H25" s="89"/>
      <c r="I25" s="89"/>
    </row>
    <row r="26" spans="2:13" s="75" customFormat="1" x14ac:dyDescent="0.2">
      <c r="B26" s="88" t="s">
        <v>577</v>
      </c>
      <c r="C26" s="74">
        <f t="shared" ref="C26:I28" si="1">C22*$H39*C11</f>
        <v>8945262.5633279998</v>
      </c>
      <c r="D26" s="74">
        <f t="shared" si="1"/>
        <v>2424416.9564159997</v>
      </c>
      <c r="E26" s="74">
        <f t="shared" si="1"/>
        <v>3572.6745599999999</v>
      </c>
      <c r="F26" s="74">
        <f t="shared" si="1"/>
        <v>7459029.9463679986</v>
      </c>
      <c r="G26" s="74">
        <f t="shared" si="1"/>
        <v>2572325.6831999999</v>
      </c>
      <c r="H26" s="74">
        <f t="shared" si="1"/>
        <v>2009272.172544</v>
      </c>
      <c r="I26" s="74">
        <f t="shared" si="1"/>
        <v>377274.43353600003</v>
      </c>
    </row>
    <row r="27" spans="2:13" s="75" customFormat="1" x14ac:dyDescent="0.2">
      <c r="B27" s="90" t="s">
        <v>576</v>
      </c>
      <c r="C27" s="74">
        <f t="shared" si="1"/>
        <v>38518146.656640001</v>
      </c>
      <c r="D27" s="74">
        <f t="shared" si="1"/>
        <v>10449045.944063999</v>
      </c>
      <c r="E27" s="74">
        <f t="shared" si="1"/>
        <v>1020048.9707519999</v>
      </c>
      <c r="F27" s="74">
        <f t="shared" si="1"/>
        <v>35424105.712127998</v>
      </c>
      <c r="G27" s="74">
        <f t="shared" si="1"/>
        <v>8986760.5524479989</v>
      </c>
      <c r="H27" s="74">
        <f t="shared" si="1"/>
        <v>1852873.7633279997</v>
      </c>
      <c r="I27" s="74">
        <f t="shared" si="1"/>
        <v>413184.393216</v>
      </c>
      <c r="J27"/>
      <c r="K27"/>
      <c r="L27"/>
    </row>
    <row r="28" spans="2:13" s="75" customFormat="1" x14ac:dyDescent="0.2">
      <c r="B28" s="90" t="s">
        <v>559</v>
      </c>
      <c r="C28" s="74">
        <f t="shared" si="1"/>
        <v>9877641.903359998</v>
      </c>
      <c r="D28" s="74">
        <f t="shared" si="1"/>
        <v>5648011.15032</v>
      </c>
      <c r="E28" s="74">
        <f t="shared" si="1"/>
        <v>451534.76676000009</v>
      </c>
      <c r="F28" s="74">
        <f t="shared" si="1"/>
        <v>30357422.172000002</v>
      </c>
      <c r="G28" s="74">
        <f t="shared" si="1"/>
        <v>8877632.7024000008</v>
      </c>
      <c r="H28" s="74">
        <f t="shared" si="1"/>
        <v>1285726.1155200002</v>
      </c>
      <c r="I28" s="74">
        <f t="shared" si="1"/>
        <v>7696499.3859599996</v>
      </c>
      <c r="J28"/>
      <c r="K28"/>
      <c r="L28"/>
    </row>
    <row r="29" spans="2:13" x14ac:dyDescent="0.2">
      <c r="J29"/>
      <c r="K29"/>
      <c r="L29"/>
    </row>
    <row r="30" spans="2:13" x14ac:dyDescent="0.2">
      <c r="B30" s="19" t="s">
        <v>702</v>
      </c>
      <c r="C30" s="19"/>
      <c r="D30" s="19"/>
      <c r="E30" s="19"/>
      <c r="F30" s="19"/>
      <c r="G30" s="19"/>
      <c r="H30" s="19"/>
      <c r="I30" s="19"/>
      <c r="J30"/>
      <c r="K30"/>
      <c r="L30"/>
      <c r="M30"/>
    </row>
    <row r="31" spans="2:13" ht="13.5" x14ac:dyDescent="0.25">
      <c r="B31" s="7" t="s">
        <v>669</v>
      </c>
      <c r="C31" s="59" t="s">
        <v>633</v>
      </c>
      <c r="D31" s="59" t="s">
        <v>634</v>
      </c>
      <c r="E31" s="59" t="s">
        <v>635</v>
      </c>
      <c r="F31" s="59" t="s">
        <v>690</v>
      </c>
      <c r="G31" s="59" t="s">
        <v>691</v>
      </c>
      <c r="H31" s="75"/>
      <c r="I31"/>
      <c r="J31"/>
      <c r="K31"/>
      <c r="L31"/>
      <c r="M31"/>
    </row>
    <row r="32" spans="2:13" x14ac:dyDescent="0.2">
      <c r="B32" t="s">
        <v>359</v>
      </c>
      <c r="C32" s="114">
        <f>constants!F62</f>
        <v>3.937007874015748E-2</v>
      </c>
      <c r="D32" s="114">
        <f>constants!F64</f>
        <v>1.7895490336435216E-2</v>
      </c>
      <c r="E32" s="114">
        <f>constants!F67</f>
        <v>1.9788692175899486E-2</v>
      </c>
      <c r="F32" s="114"/>
      <c r="G32" s="114"/>
      <c r="H32" s="33" t="s">
        <v>703</v>
      </c>
      <c r="I32"/>
      <c r="J32"/>
      <c r="K32"/>
      <c r="L32"/>
      <c r="M32"/>
    </row>
    <row r="33" spans="1:13" x14ac:dyDescent="0.2">
      <c r="B33" t="s">
        <v>357</v>
      </c>
      <c r="C33" s="114"/>
      <c r="D33" s="114"/>
      <c r="E33" s="114"/>
      <c r="F33" s="114">
        <f>constants!F72</f>
        <v>2.0593002748574271E-2</v>
      </c>
      <c r="G33" s="114"/>
      <c r="H33" s="33" t="s">
        <v>703</v>
      </c>
      <c r="I33"/>
      <c r="J33"/>
      <c r="K33"/>
      <c r="L33"/>
      <c r="M33"/>
    </row>
    <row r="34" spans="1:13" s="33" customFormat="1" x14ac:dyDescent="0.2">
      <c r="B34" s="33" t="s">
        <v>692</v>
      </c>
      <c r="C34" s="114"/>
      <c r="D34" s="114"/>
      <c r="E34" s="114"/>
      <c r="F34" s="114">
        <f>constants!F76</f>
        <v>0.46916282080909133</v>
      </c>
      <c r="G34" s="114">
        <f>constants!F81</f>
        <v>0.14419539932827485</v>
      </c>
      <c r="H34" s="33" t="s">
        <v>704</v>
      </c>
      <c r="I34"/>
      <c r="J34"/>
      <c r="K34"/>
      <c r="L34"/>
    </row>
    <row r="35" spans="1:13" x14ac:dyDescent="0.2">
      <c r="H35" s="75"/>
      <c r="J35"/>
      <c r="K35"/>
      <c r="L35"/>
    </row>
    <row r="36" spans="1:13" x14ac:dyDescent="0.2">
      <c r="B36" s="19" t="s">
        <v>626</v>
      </c>
      <c r="C36" s="19"/>
      <c r="D36" s="19"/>
      <c r="E36" s="19"/>
      <c r="F36" s="19"/>
      <c r="G36" s="19"/>
      <c r="H36" s="19"/>
      <c r="I36" s="19"/>
      <c r="J36"/>
      <c r="K36"/>
      <c r="L36"/>
      <c r="M36"/>
    </row>
    <row r="37" spans="1:13" ht="13.5" x14ac:dyDescent="0.25">
      <c r="B37" s="59"/>
      <c r="C37" s="1" t="s">
        <v>646</v>
      </c>
      <c r="D37" s="1"/>
      <c r="E37" s="1" t="s">
        <v>629</v>
      </c>
      <c r="F37" s="1"/>
      <c r="G37" s="1"/>
      <c r="H37" s="59"/>
      <c r="J37"/>
      <c r="K37"/>
      <c r="L37"/>
      <c r="M37"/>
    </row>
    <row r="38" spans="1:13" ht="13.5" x14ac:dyDescent="0.25">
      <c r="B38" s="63" t="s">
        <v>667</v>
      </c>
      <c r="C38" s="7" t="s">
        <v>627</v>
      </c>
      <c r="D38" s="7" t="s">
        <v>628</v>
      </c>
      <c r="E38" s="7" t="s">
        <v>627</v>
      </c>
      <c r="F38" s="7" t="s">
        <v>628</v>
      </c>
      <c r="G38" s="7" t="s">
        <v>31</v>
      </c>
      <c r="H38" s="63" t="s">
        <v>630</v>
      </c>
      <c r="J38"/>
      <c r="K38"/>
      <c r="L38"/>
      <c r="M38"/>
    </row>
    <row r="39" spans="1:13" x14ac:dyDescent="0.2">
      <c r="A39" s="75"/>
      <c r="B39" s="75" t="s">
        <v>577</v>
      </c>
      <c r="C39" s="81">
        <f>populations!F5</f>
        <v>8946</v>
      </c>
      <c r="D39" s="81">
        <f>C39</f>
        <v>8946</v>
      </c>
      <c r="E39" s="35">
        <v>36</v>
      </c>
      <c r="F39" s="35">
        <v>12</v>
      </c>
      <c r="G39" s="80">
        <f>E39+F39</f>
        <v>48</v>
      </c>
      <c r="H39" s="81">
        <f>C39*E39+D39*F39</f>
        <v>429408</v>
      </c>
      <c r="J39"/>
      <c r="K39"/>
      <c r="L39"/>
      <c r="M39"/>
    </row>
    <row r="40" spans="1:13" x14ac:dyDescent="0.2">
      <c r="A40" s="75"/>
      <c r="B40" s="72" t="s">
        <v>576</v>
      </c>
      <c r="C40" s="81">
        <f>populations!F6</f>
        <v>19733</v>
      </c>
      <c r="D40" s="81">
        <f>C40</f>
        <v>19733</v>
      </c>
      <c r="E40" s="35">
        <v>36</v>
      </c>
      <c r="F40" s="35">
        <v>12</v>
      </c>
      <c r="G40" s="80">
        <f>E40+F40</f>
        <v>48</v>
      </c>
      <c r="H40" s="81">
        <f>C40*E40+D40*F40</f>
        <v>947184</v>
      </c>
      <c r="J40"/>
      <c r="K40"/>
      <c r="L40"/>
      <c r="M40"/>
    </row>
    <row r="41" spans="1:13" x14ac:dyDescent="0.2">
      <c r="A41" s="75"/>
      <c r="B41" s="72" t="s">
        <v>559</v>
      </c>
      <c r="C41" s="81">
        <f>populations!F13</f>
        <v>43410</v>
      </c>
      <c r="D41" s="81">
        <f>populations!F11</f>
        <v>14387</v>
      </c>
      <c r="E41" s="35">
        <v>30</v>
      </c>
      <c r="F41" s="35">
        <v>10</v>
      </c>
      <c r="G41" s="80">
        <f>E41+F41</f>
        <v>40</v>
      </c>
      <c r="H41" s="81">
        <f>C41*E41+D41*F41</f>
        <v>1446170</v>
      </c>
      <c r="J41"/>
      <c r="K41"/>
      <c r="L41"/>
      <c r="M41"/>
    </row>
    <row r="42" spans="1:13" x14ac:dyDescent="0.2">
      <c r="J42"/>
      <c r="K42"/>
      <c r="L42"/>
    </row>
    <row r="43" spans="1:13" x14ac:dyDescent="0.2">
      <c r="B43" s="19" t="s">
        <v>645</v>
      </c>
      <c r="C43" s="19"/>
      <c r="D43" s="19"/>
      <c r="E43" s="19"/>
      <c r="F43" s="19"/>
      <c r="G43" s="19"/>
      <c r="H43" s="19"/>
      <c r="I43" s="19"/>
      <c r="J43"/>
      <c r="K43"/>
      <c r="L43"/>
    </row>
    <row r="44" spans="1:13" ht="13.5" x14ac:dyDescent="0.25">
      <c r="B44" s="59" t="s">
        <v>719</v>
      </c>
      <c r="C44" s="59" t="s">
        <v>633</v>
      </c>
      <c r="D44" s="59" t="s">
        <v>634</v>
      </c>
      <c r="E44" s="59" t="s">
        <v>635</v>
      </c>
      <c r="F44" s="59" t="s">
        <v>690</v>
      </c>
      <c r="G44" s="59" t="s">
        <v>691</v>
      </c>
      <c r="H44" s="59" t="s">
        <v>482</v>
      </c>
      <c r="I44"/>
      <c r="J44"/>
      <c r="K44"/>
    </row>
    <row r="45" spans="1:13" s="75" customFormat="1" x14ac:dyDescent="0.2">
      <c r="B45" s="72" t="s">
        <v>359</v>
      </c>
      <c r="C45" s="89"/>
      <c r="D45" s="89"/>
      <c r="E45" s="89"/>
      <c r="F45" s="89"/>
      <c r="G45" s="89"/>
      <c r="H45" s="74"/>
    </row>
    <row r="46" spans="1:13" s="75" customFormat="1" x14ac:dyDescent="0.2">
      <c r="B46" s="88" t="s">
        <v>577</v>
      </c>
      <c r="C46" s="74">
        <f t="shared" ref="C46:F48" si="2">C26*C$32</f>
        <v>352175.6914696063</v>
      </c>
      <c r="D46" s="74">
        <f t="shared" si="2"/>
        <v>43386.130215032201</v>
      </c>
      <c r="E46" s="74">
        <f t="shared" si="2"/>
        <v>70.698557112507132</v>
      </c>
      <c r="F46" s="74">
        <f t="shared" si="2"/>
        <v>0</v>
      </c>
      <c r="G46" s="74"/>
      <c r="H46" s="74">
        <f>SUM(C46:F46)</f>
        <v>395632.52024175099</v>
      </c>
      <c r="I46" s="75" t="s">
        <v>57</v>
      </c>
    </row>
    <row r="47" spans="1:13" s="75" customFormat="1" x14ac:dyDescent="0.2">
      <c r="B47" s="90" t="s">
        <v>576</v>
      </c>
      <c r="C47" s="74">
        <f t="shared" si="2"/>
        <v>1516462.4667968503</v>
      </c>
      <c r="D47" s="74">
        <f t="shared" si="2"/>
        <v>186990.80071696488</v>
      </c>
      <c r="E47" s="74">
        <f t="shared" si="2"/>
        <v>20185.435086554422</v>
      </c>
      <c r="F47" s="74">
        <f t="shared" si="2"/>
        <v>0</v>
      </c>
      <c r="G47" s="74"/>
      <c r="H47" s="74">
        <f t="shared" ref="H47:H52" si="3">SUM(C47:F47)</f>
        <v>1723638.7026003697</v>
      </c>
      <c r="I47" s="75" t="s">
        <v>57</v>
      </c>
    </row>
    <row r="48" spans="1:13" s="75" customFormat="1" x14ac:dyDescent="0.2">
      <c r="B48" s="90" t="s">
        <v>559</v>
      </c>
      <c r="C48" s="74">
        <f t="shared" si="2"/>
        <v>388883.53950236214</v>
      </c>
      <c r="D48" s="74">
        <f t="shared" si="2"/>
        <v>101073.92896062991</v>
      </c>
      <c r="E48" s="74">
        <f t="shared" si="2"/>
        <v>8935.2825061302137</v>
      </c>
      <c r="F48" s="74">
        <f t="shared" si="2"/>
        <v>0</v>
      </c>
      <c r="G48" s="74"/>
      <c r="H48" s="74">
        <f t="shared" si="3"/>
        <v>498892.75096912228</v>
      </c>
      <c r="I48" s="75" t="s">
        <v>57</v>
      </c>
    </row>
    <row r="49" spans="2:11" s="75" customFormat="1" x14ac:dyDescent="0.2">
      <c r="B49" s="91" t="s">
        <v>357</v>
      </c>
      <c r="C49" s="74"/>
      <c r="D49" s="74"/>
      <c r="E49" s="74"/>
      <c r="F49" s="74"/>
      <c r="G49" s="74"/>
      <c r="H49" s="74"/>
    </row>
    <row r="50" spans="2:11" s="75" customFormat="1" x14ac:dyDescent="0.2">
      <c r="B50" s="88" t="s">
        <v>577</v>
      </c>
      <c r="C50" s="74"/>
      <c r="D50" s="74"/>
      <c r="E50" s="74"/>
      <c r="F50" s="74">
        <f>F26*F$33</f>
        <v>153603.82418725398</v>
      </c>
      <c r="G50" s="74"/>
      <c r="H50" s="74">
        <f t="shared" si="3"/>
        <v>153603.82418725398</v>
      </c>
      <c r="I50" s="75" t="s">
        <v>57</v>
      </c>
    </row>
    <row r="51" spans="2:11" s="75" customFormat="1" x14ac:dyDescent="0.2">
      <c r="B51" s="90" t="s">
        <v>576</v>
      </c>
      <c r="C51" s="74"/>
      <c r="D51" s="74"/>
      <c r="E51" s="74"/>
      <c r="F51" s="74">
        <f>F27*F$33</f>
        <v>729488.70629563741</v>
      </c>
      <c r="G51" s="74"/>
      <c r="H51" s="74">
        <f t="shared" si="3"/>
        <v>729488.70629563741</v>
      </c>
      <c r="I51" s="75" t="s">
        <v>57</v>
      </c>
      <c r="J51" s="74"/>
      <c r="K51" s="74"/>
    </row>
    <row r="52" spans="2:11" s="75" customFormat="1" x14ac:dyDescent="0.2">
      <c r="B52" s="90" t="s">
        <v>559</v>
      </c>
      <c r="C52" s="74"/>
      <c r="D52" s="74"/>
      <c r="E52" s="74"/>
      <c r="F52" s="74">
        <f>F28*F$33</f>
        <v>625150.4782276256</v>
      </c>
      <c r="G52" s="74"/>
      <c r="H52" s="74">
        <f t="shared" si="3"/>
        <v>625150.4782276256</v>
      </c>
      <c r="I52" s="75" t="s">
        <v>57</v>
      </c>
      <c r="J52" s="74"/>
      <c r="K52" s="74"/>
    </row>
    <row r="53" spans="2:11" s="75" customFormat="1" x14ac:dyDescent="0.2">
      <c r="B53" s="91" t="s">
        <v>692</v>
      </c>
    </row>
    <row r="54" spans="2:11" customFormat="1" x14ac:dyDescent="0.2">
      <c r="B54" s="88" t="s">
        <v>577</v>
      </c>
      <c r="G54" s="74">
        <f>G26*G$34/1000</f>
        <v>370.91752909140143</v>
      </c>
      <c r="H54" s="74"/>
      <c r="I54" s="75" t="s">
        <v>216</v>
      </c>
    </row>
    <row r="55" spans="2:11" customFormat="1" x14ac:dyDescent="0.2">
      <c r="B55" s="90" t="s">
        <v>576</v>
      </c>
      <c r="G55" s="74">
        <f>G27*G$34/1000</f>
        <v>1295.849526527827</v>
      </c>
      <c r="H55" s="74"/>
      <c r="I55" s="75" t="s">
        <v>216</v>
      </c>
    </row>
    <row r="56" spans="2:11" customFormat="1" x14ac:dyDescent="0.2">
      <c r="B56" s="90" t="s">
        <v>559</v>
      </c>
      <c r="G56" s="74">
        <f>G28*G$34/1000</f>
        <v>1280.1137926123201</v>
      </c>
      <c r="H56" s="74"/>
      <c r="I56" s="75" t="s">
        <v>216</v>
      </c>
    </row>
    <row r="57" spans="2:11" customFormat="1" x14ac:dyDescent="0.2">
      <c r="G57" s="33"/>
      <c r="H57" s="74"/>
    </row>
    <row r="58" spans="2:11" customFormat="1" x14ac:dyDescent="0.2">
      <c r="G58" s="33"/>
      <c r="H58" s="74"/>
    </row>
    <row r="59" spans="2:11" customFormat="1" x14ac:dyDescent="0.2">
      <c r="G59" s="33"/>
      <c r="H59" s="74"/>
    </row>
    <row r="60" spans="2:11" customFormat="1" x14ac:dyDescent="0.2">
      <c r="G60" s="33"/>
      <c r="H60" s="74"/>
    </row>
    <row r="61" spans="2:11" customFormat="1" x14ac:dyDescent="0.2">
      <c r="G61" s="33"/>
    </row>
    <row r="62" spans="2:11" customFormat="1" x14ac:dyDescent="0.2">
      <c r="G62" s="33"/>
    </row>
    <row r="63" spans="2:11" customFormat="1" x14ac:dyDescent="0.2">
      <c r="G63" s="33"/>
    </row>
    <row r="64" spans="2:11" customFormat="1" x14ac:dyDescent="0.2">
      <c r="G64" s="33"/>
    </row>
    <row r="65" spans="7:7" customFormat="1" x14ac:dyDescent="0.2">
      <c r="G65" s="33"/>
    </row>
    <row r="66" spans="7:7" customFormat="1" x14ac:dyDescent="0.2">
      <c r="G66" s="33"/>
    </row>
    <row r="67" spans="7:7" customFormat="1" x14ac:dyDescent="0.2">
      <c r="G67" s="33"/>
    </row>
    <row r="68" spans="7:7" customFormat="1" x14ac:dyDescent="0.2">
      <c r="G68" s="33"/>
    </row>
    <row r="69" spans="7:7" customFormat="1" x14ac:dyDescent="0.2">
      <c r="G69" s="33"/>
    </row>
    <row r="70" spans="7:7" customFormat="1" x14ac:dyDescent="0.2">
      <c r="G70" s="33"/>
    </row>
    <row r="71" spans="7:7" customFormat="1" x14ac:dyDescent="0.2">
      <c r="G71" s="33"/>
    </row>
    <row r="72" spans="7:7" customFormat="1" x14ac:dyDescent="0.2">
      <c r="G72" s="33"/>
    </row>
    <row r="73" spans="7:7" customFormat="1" x14ac:dyDescent="0.2">
      <c r="G73" s="33"/>
    </row>
    <row r="74" spans="7:7" customFormat="1" x14ac:dyDescent="0.2">
      <c r="G74" s="33"/>
    </row>
    <row r="75" spans="7:7" customFormat="1" x14ac:dyDescent="0.2">
      <c r="G75" s="33"/>
    </row>
    <row r="76" spans="7:7" customFormat="1" x14ac:dyDescent="0.2">
      <c r="G76" s="33"/>
    </row>
    <row r="77" spans="7:7" customFormat="1" x14ac:dyDescent="0.2">
      <c r="G77" s="33"/>
    </row>
    <row r="78" spans="7:7" customFormat="1" x14ac:dyDescent="0.2">
      <c r="G78" s="33"/>
    </row>
    <row r="79" spans="7:7" customFormat="1" x14ac:dyDescent="0.2">
      <c r="G79" s="33"/>
    </row>
    <row r="80" spans="7:7" customFormat="1" x14ac:dyDescent="0.2">
      <c r="G80" s="33"/>
    </row>
    <row r="81" spans="7:7" customFormat="1" x14ac:dyDescent="0.2">
      <c r="G81" s="33"/>
    </row>
    <row r="82" spans="7:7" customFormat="1" x14ac:dyDescent="0.2">
      <c r="G82" s="33"/>
    </row>
    <row r="83" spans="7:7" customFormat="1" x14ac:dyDescent="0.2">
      <c r="G83" s="33"/>
    </row>
    <row r="84" spans="7:7" customFormat="1" x14ac:dyDescent="0.2">
      <c r="G84" s="33"/>
    </row>
    <row r="85" spans="7:7" customFormat="1" x14ac:dyDescent="0.2">
      <c r="G85" s="33"/>
    </row>
    <row r="86" spans="7:7" customFormat="1" x14ac:dyDescent="0.2">
      <c r="G86" s="33"/>
    </row>
    <row r="87" spans="7:7" customFormat="1" x14ac:dyDescent="0.2">
      <c r="G87" s="33"/>
    </row>
    <row r="88" spans="7:7" customFormat="1" x14ac:dyDescent="0.2">
      <c r="G88" s="33"/>
    </row>
    <row r="89" spans="7:7" customFormat="1" x14ac:dyDescent="0.2">
      <c r="G89" s="33"/>
    </row>
    <row r="90" spans="7:7" customFormat="1" x14ac:dyDescent="0.2">
      <c r="G90" s="33"/>
    </row>
    <row r="91" spans="7:7" customFormat="1" x14ac:dyDescent="0.2">
      <c r="G91" s="33"/>
    </row>
    <row r="92" spans="7:7" customFormat="1" x14ac:dyDescent="0.2">
      <c r="G92" s="33"/>
    </row>
    <row r="93" spans="7:7" customFormat="1" x14ac:dyDescent="0.2">
      <c r="G93" s="33"/>
    </row>
    <row r="94" spans="7:7" customFormat="1" x14ac:dyDescent="0.2">
      <c r="G94" s="33"/>
    </row>
    <row r="95" spans="7:7" customFormat="1" x14ac:dyDescent="0.2">
      <c r="G95" s="33"/>
    </row>
    <row r="96" spans="7:7" customFormat="1" x14ac:dyDescent="0.2">
      <c r="G96" s="33"/>
    </row>
    <row r="97" spans="7:7" customFormat="1" x14ac:dyDescent="0.2">
      <c r="G97" s="33"/>
    </row>
    <row r="98" spans="7:7" customFormat="1" x14ac:dyDescent="0.2">
      <c r="G98" s="33"/>
    </row>
    <row r="99" spans="7:7" customFormat="1" x14ac:dyDescent="0.2">
      <c r="G99" s="33"/>
    </row>
    <row r="100" spans="7:7" customFormat="1" x14ac:dyDescent="0.2">
      <c r="G100" s="33"/>
    </row>
    <row r="101" spans="7:7" customFormat="1" x14ac:dyDescent="0.2">
      <c r="G101" s="33"/>
    </row>
    <row r="102" spans="7:7" customFormat="1" x14ac:dyDescent="0.2">
      <c r="G102" s="33"/>
    </row>
    <row r="103" spans="7:7" customFormat="1" x14ac:dyDescent="0.2">
      <c r="G103" s="33"/>
    </row>
    <row r="104" spans="7:7" customFormat="1" x14ac:dyDescent="0.2">
      <c r="G104" s="33"/>
    </row>
    <row r="105" spans="7:7" customFormat="1" x14ac:dyDescent="0.2">
      <c r="G105" s="33"/>
    </row>
    <row r="106" spans="7:7" customFormat="1" x14ac:dyDescent="0.2">
      <c r="G106" s="33"/>
    </row>
    <row r="107" spans="7:7" customFormat="1" x14ac:dyDescent="0.2">
      <c r="G107" s="33"/>
    </row>
    <row r="108" spans="7:7" customFormat="1" x14ac:dyDescent="0.2">
      <c r="G108" s="33"/>
    </row>
    <row r="109" spans="7:7" customFormat="1" x14ac:dyDescent="0.2">
      <c r="G109" s="33"/>
    </row>
    <row r="110" spans="7:7" customFormat="1" x14ac:dyDescent="0.2">
      <c r="G110" s="33"/>
    </row>
    <row r="111" spans="7:7" customFormat="1" x14ac:dyDescent="0.2">
      <c r="G111" s="33"/>
    </row>
    <row r="112" spans="7:7" customFormat="1" x14ac:dyDescent="0.2">
      <c r="G112" s="33"/>
    </row>
    <row r="113" spans="7:7" customFormat="1" x14ac:dyDescent="0.2">
      <c r="G113" s="33"/>
    </row>
    <row r="114" spans="7:7" customFormat="1" x14ac:dyDescent="0.2">
      <c r="G114" s="33"/>
    </row>
    <row r="115" spans="7:7" customFormat="1" x14ac:dyDescent="0.2">
      <c r="G115" s="33"/>
    </row>
    <row r="116" spans="7:7" customFormat="1" x14ac:dyDescent="0.2">
      <c r="G116" s="33"/>
    </row>
    <row r="117" spans="7:7" customFormat="1" x14ac:dyDescent="0.2">
      <c r="G117" s="33"/>
    </row>
    <row r="118" spans="7:7" customFormat="1" x14ac:dyDescent="0.2">
      <c r="G118" s="33"/>
    </row>
    <row r="119" spans="7:7" customFormat="1" x14ac:dyDescent="0.2">
      <c r="G119" s="33"/>
    </row>
    <row r="120" spans="7:7" customFormat="1" x14ac:dyDescent="0.2">
      <c r="G120" s="33"/>
    </row>
    <row r="121" spans="7:7" customFormat="1" x14ac:dyDescent="0.2">
      <c r="G121" s="33"/>
    </row>
    <row r="122" spans="7:7" customFormat="1" x14ac:dyDescent="0.2">
      <c r="G122" s="33"/>
    </row>
    <row r="123" spans="7:7" customFormat="1" x14ac:dyDescent="0.2">
      <c r="G123" s="33"/>
    </row>
    <row r="124" spans="7:7" customFormat="1" x14ac:dyDescent="0.2">
      <c r="G124" s="33"/>
    </row>
    <row r="125" spans="7:7" customFormat="1" x14ac:dyDescent="0.2">
      <c r="G125" s="33"/>
    </row>
    <row r="126" spans="7:7" customFormat="1" x14ac:dyDescent="0.2">
      <c r="G126" s="33"/>
    </row>
    <row r="127" spans="7:7" customFormat="1" x14ac:dyDescent="0.2">
      <c r="G127" s="33"/>
    </row>
    <row r="128" spans="7:7" customFormat="1" x14ac:dyDescent="0.2">
      <c r="G128" s="33"/>
    </row>
    <row r="129" spans="7:7" customFormat="1" x14ac:dyDescent="0.2">
      <c r="G129" s="33"/>
    </row>
    <row r="130" spans="7:7" customFormat="1" x14ac:dyDescent="0.2">
      <c r="G130" s="33"/>
    </row>
    <row r="131" spans="7:7" customFormat="1" x14ac:dyDescent="0.2">
      <c r="G131" s="33"/>
    </row>
    <row r="132" spans="7:7" customFormat="1" x14ac:dyDescent="0.2">
      <c r="G132" s="33"/>
    </row>
    <row r="133" spans="7:7" customFormat="1" x14ac:dyDescent="0.2">
      <c r="G133" s="33"/>
    </row>
    <row r="134" spans="7:7" customFormat="1" x14ac:dyDescent="0.2">
      <c r="G134" s="33"/>
    </row>
    <row r="135" spans="7:7" customFormat="1" x14ac:dyDescent="0.2">
      <c r="G135" s="33"/>
    </row>
    <row r="136" spans="7:7" customFormat="1" x14ac:dyDescent="0.2">
      <c r="G136" s="33"/>
    </row>
    <row r="137" spans="7:7" customFormat="1" x14ac:dyDescent="0.2">
      <c r="G137" s="33"/>
    </row>
    <row r="138" spans="7:7" customFormat="1" x14ac:dyDescent="0.2">
      <c r="G138" s="33"/>
    </row>
    <row r="139" spans="7:7" customFormat="1" x14ac:dyDescent="0.2">
      <c r="G139" s="33"/>
    </row>
    <row r="140" spans="7:7" customFormat="1" x14ac:dyDescent="0.2">
      <c r="G140" s="33"/>
    </row>
    <row r="141" spans="7:7" customFormat="1" x14ac:dyDescent="0.2">
      <c r="G141" s="33"/>
    </row>
    <row r="142" spans="7:7" customFormat="1" x14ac:dyDescent="0.2">
      <c r="G142" s="33"/>
    </row>
    <row r="143" spans="7:7" customFormat="1" x14ac:dyDescent="0.2">
      <c r="G143" s="33"/>
    </row>
    <row r="144" spans="7:7" customFormat="1" x14ac:dyDescent="0.2">
      <c r="G144" s="33"/>
    </row>
    <row r="145" spans="7:7" customFormat="1" x14ac:dyDescent="0.2">
      <c r="G145" s="33"/>
    </row>
    <row r="146" spans="7:7" customFormat="1" x14ac:dyDescent="0.2">
      <c r="G146" s="33"/>
    </row>
    <row r="147" spans="7:7" customFormat="1" x14ac:dyDescent="0.2">
      <c r="G147" s="33"/>
    </row>
    <row r="148" spans="7:7" customFormat="1" x14ac:dyDescent="0.2">
      <c r="G148" s="33"/>
    </row>
    <row r="149" spans="7:7" customFormat="1" x14ac:dyDescent="0.2">
      <c r="G149" s="33"/>
    </row>
    <row r="150" spans="7:7" customFormat="1" x14ac:dyDescent="0.2">
      <c r="G150" s="33"/>
    </row>
    <row r="151" spans="7:7" customFormat="1" x14ac:dyDescent="0.2">
      <c r="G151" s="33"/>
    </row>
    <row r="152" spans="7:7" customFormat="1" x14ac:dyDescent="0.2">
      <c r="G152" s="33"/>
    </row>
    <row r="153" spans="7:7" customFormat="1" x14ac:dyDescent="0.2">
      <c r="G153" s="33"/>
    </row>
    <row r="154" spans="7:7" customFormat="1" x14ac:dyDescent="0.2">
      <c r="G154" s="33"/>
    </row>
    <row r="155" spans="7:7" customFormat="1" x14ac:dyDescent="0.2">
      <c r="G155" s="33"/>
    </row>
    <row r="156" spans="7:7" customFormat="1" x14ac:dyDescent="0.2">
      <c r="G156" s="33"/>
    </row>
    <row r="157" spans="7:7" customFormat="1" x14ac:dyDescent="0.2">
      <c r="G157" s="33"/>
    </row>
    <row r="158" spans="7:7" customFormat="1" x14ac:dyDescent="0.2">
      <c r="G158" s="33"/>
    </row>
    <row r="159" spans="7:7" customFormat="1" x14ac:dyDescent="0.2">
      <c r="G159" s="33"/>
    </row>
    <row r="160" spans="7:7" customFormat="1" x14ac:dyDescent="0.2">
      <c r="G160" s="33"/>
    </row>
    <row r="161" spans="7:7" customFormat="1" x14ac:dyDescent="0.2">
      <c r="G161" s="33"/>
    </row>
    <row r="162" spans="7:7" customFormat="1" x14ac:dyDescent="0.2">
      <c r="G162" s="33"/>
    </row>
    <row r="163" spans="7:7" customFormat="1" x14ac:dyDescent="0.2">
      <c r="G163" s="33"/>
    </row>
    <row r="164" spans="7:7" customFormat="1" x14ac:dyDescent="0.2">
      <c r="G164" s="33"/>
    </row>
    <row r="165" spans="7:7" customFormat="1" x14ac:dyDescent="0.2">
      <c r="G165" s="33"/>
    </row>
    <row r="166" spans="7:7" customFormat="1" x14ac:dyDescent="0.2">
      <c r="G166" s="33"/>
    </row>
    <row r="167" spans="7:7" customFormat="1" x14ac:dyDescent="0.2">
      <c r="G167" s="33"/>
    </row>
    <row r="168" spans="7:7" customFormat="1" x14ac:dyDescent="0.2">
      <c r="G168" s="33"/>
    </row>
    <row r="169" spans="7:7" customFormat="1" x14ac:dyDescent="0.2">
      <c r="G169" s="33"/>
    </row>
    <row r="170" spans="7:7" customFormat="1" x14ac:dyDescent="0.2">
      <c r="G170" s="33"/>
    </row>
    <row r="171" spans="7:7" customFormat="1" x14ac:dyDescent="0.2">
      <c r="G171" s="33"/>
    </row>
    <row r="172" spans="7:7" customFormat="1" x14ac:dyDescent="0.2">
      <c r="G172" s="33"/>
    </row>
    <row r="173" spans="7:7" customFormat="1" x14ac:dyDescent="0.2">
      <c r="G173" s="33"/>
    </row>
    <row r="174" spans="7:7" customFormat="1" x14ac:dyDescent="0.2">
      <c r="G174" s="33"/>
    </row>
    <row r="175" spans="7:7" customFormat="1" x14ac:dyDescent="0.2">
      <c r="G175" s="33"/>
    </row>
    <row r="176" spans="7:7" customFormat="1" x14ac:dyDescent="0.2">
      <c r="G176" s="33"/>
    </row>
    <row r="177" spans="7:7" customFormat="1" x14ac:dyDescent="0.2">
      <c r="G177" s="33"/>
    </row>
    <row r="178" spans="7:7" customFormat="1" x14ac:dyDescent="0.2">
      <c r="G178" s="33"/>
    </row>
    <row r="179" spans="7:7" customFormat="1" x14ac:dyDescent="0.2">
      <c r="G179" s="33"/>
    </row>
    <row r="180" spans="7:7" customFormat="1" x14ac:dyDescent="0.2">
      <c r="G180" s="33"/>
    </row>
    <row r="181" spans="7:7" customFormat="1" x14ac:dyDescent="0.2">
      <c r="G181" s="33"/>
    </row>
    <row r="182" spans="7:7" customFormat="1" x14ac:dyDescent="0.2">
      <c r="G182" s="33"/>
    </row>
    <row r="183" spans="7:7" customFormat="1" x14ac:dyDescent="0.2">
      <c r="G183" s="33"/>
    </row>
    <row r="184" spans="7:7" customFormat="1" x14ac:dyDescent="0.2">
      <c r="G184" s="33"/>
    </row>
    <row r="185" spans="7:7" customFormat="1" x14ac:dyDescent="0.2">
      <c r="G185" s="33"/>
    </row>
    <row r="186" spans="7:7" customFormat="1" x14ac:dyDescent="0.2">
      <c r="G186" s="33"/>
    </row>
    <row r="187" spans="7:7" customFormat="1" x14ac:dyDescent="0.2">
      <c r="G187" s="33"/>
    </row>
    <row r="188" spans="7:7" customFormat="1" x14ac:dyDescent="0.2">
      <c r="G188" s="33"/>
    </row>
    <row r="189" spans="7:7" customFormat="1" x14ac:dyDescent="0.2">
      <c r="G189" s="33"/>
    </row>
    <row r="190" spans="7:7" customFormat="1" x14ac:dyDescent="0.2">
      <c r="G190" s="33"/>
    </row>
    <row r="191" spans="7:7" customFormat="1" x14ac:dyDescent="0.2">
      <c r="G191" s="33"/>
    </row>
    <row r="192" spans="7:7" customFormat="1" x14ac:dyDescent="0.2">
      <c r="G192" s="33"/>
    </row>
    <row r="193" spans="7:7" customFormat="1" x14ac:dyDescent="0.2">
      <c r="G193" s="33"/>
    </row>
    <row r="194" spans="7:7" customFormat="1" x14ac:dyDescent="0.2">
      <c r="G194" s="33"/>
    </row>
    <row r="195" spans="7:7" customFormat="1" x14ac:dyDescent="0.2">
      <c r="G195" s="33"/>
    </row>
    <row r="196" spans="7:7" customFormat="1" x14ac:dyDescent="0.2">
      <c r="G196" s="33"/>
    </row>
    <row r="197" spans="7:7" customFormat="1" x14ac:dyDescent="0.2">
      <c r="G197" s="33"/>
    </row>
    <row r="198" spans="7:7" customFormat="1" x14ac:dyDescent="0.2">
      <c r="G198" s="33"/>
    </row>
    <row r="199" spans="7:7" customFormat="1" x14ac:dyDescent="0.2">
      <c r="G199" s="33"/>
    </row>
    <row r="200" spans="7:7" customFormat="1" x14ac:dyDescent="0.2">
      <c r="G200" s="33"/>
    </row>
    <row r="201" spans="7:7" customFormat="1" x14ac:dyDescent="0.2">
      <c r="G201" s="33"/>
    </row>
    <row r="202" spans="7:7" customFormat="1" x14ac:dyDescent="0.2">
      <c r="G202" s="33"/>
    </row>
    <row r="203" spans="7:7" customFormat="1" x14ac:dyDescent="0.2">
      <c r="G203" s="33"/>
    </row>
    <row r="204" spans="7:7" customFormat="1" x14ac:dyDescent="0.2">
      <c r="G204" s="33"/>
    </row>
    <row r="205" spans="7:7" customFormat="1" x14ac:dyDescent="0.2">
      <c r="G205" s="33"/>
    </row>
    <row r="206" spans="7:7" customFormat="1" x14ac:dyDescent="0.2">
      <c r="G206" s="33"/>
    </row>
    <row r="207" spans="7:7" customFormat="1" x14ac:dyDescent="0.2">
      <c r="G207" s="33"/>
    </row>
    <row r="208" spans="7:7" customFormat="1" x14ac:dyDescent="0.2">
      <c r="G208" s="33"/>
    </row>
    <row r="209" spans="7:7" customFormat="1" x14ac:dyDescent="0.2">
      <c r="G209" s="33"/>
    </row>
    <row r="210" spans="7:7" customFormat="1" x14ac:dyDescent="0.2">
      <c r="G210" s="33"/>
    </row>
    <row r="211" spans="7:7" customFormat="1" x14ac:dyDescent="0.2">
      <c r="G211" s="33"/>
    </row>
    <row r="212" spans="7:7" customFormat="1" x14ac:dyDescent="0.2">
      <c r="G212" s="33"/>
    </row>
    <row r="213" spans="7:7" customFormat="1" x14ac:dyDescent="0.2">
      <c r="G213" s="33"/>
    </row>
    <row r="214" spans="7:7" customFormat="1" x14ac:dyDescent="0.2">
      <c r="G214" s="33"/>
    </row>
    <row r="215" spans="7:7" customFormat="1" x14ac:dyDescent="0.2">
      <c r="G215" s="33"/>
    </row>
    <row r="216" spans="7:7" customFormat="1" x14ac:dyDescent="0.2">
      <c r="G216" s="33"/>
    </row>
    <row r="217" spans="7:7" customFormat="1" x14ac:dyDescent="0.2">
      <c r="G217" s="33"/>
    </row>
    <row r="218" spans="7:7" customFormat="1" x14ac:dyDescent="0.2">
      <c r="G218" s="33"/>
    </row>
    <row r="219" spans="7:7" customFormat="1" x14ac:dyDescent="0.2">
      <c r="G219" s="33"/>
    </row>
    <row r="220" spans="7:7" customFormat="1" x14ac:dyDescent="0.2">
      <c r="G220" s="33"/>
    </row>
    <row r="221" spans="7:7" customFormat="1" x14ac:dyDescent="0.2">
      <c r="G221" s="33"/>
    </row>
    <row r="222" spans="7:7" customFormat="1" x14ac:dyDescent="0.2">
      <c r="G222" s="33"/>
    </row>
    <row r="223" spans="7:7" customFormat="1" x14ac:dyDescent="0.2">
      <c r="G223" s="33"/>
    </row>
    <row r="224" spans="7:7" customFormat="1" x14ac:dyDescent="0.2">
      <c r="G224" s="33"/>
    </row>
    <row r="225" spans="7:7" customFormat="1" x14ac:dyDescent="0.2">
      <c r="G225" s="33"/>
    </row>
    <row r="226" spans="7:7" customFormat="1" x14ac:dyDescent="0.2">
      <c r="G226" s="33"/>
    </row>
    <row r="227" spans="7:7" customFormat="1" x14ac:dyDescent="0.2">
      <c r="G227" s="33"/>
    </row>
    <row r="228" spans="7:7" customFormat="1" x14ac:dyDescent="0.2">
      <c r="G228" s="33"/>
    </row>
    <row r="229" spans="7:7" customFormat="1" x14ac:dyDescent="0.2">
      <c r="G229" s="33"/>
    </row>
    <row r="230" spans="7:7" customFormat="1" x14ac:dyDescent="0.2">
      <c r="G230" s="33"/>
    </row>
    <row r="231" spans="7:7" customFormat="1" x14ac:dyDescent="0.2">
      <c r="G231" s="33"/>
    </row>
    <row r="232" spans="7:7" customFormat="1" x14ac:dyDescent="0.2">
      <c r="G232" s="33"/>
    </row>
    <row r="233" spans="7:7" customFormat="1" x14ac:dyDescent="0.2">
      <c r="G233" s="33"/>
    </row>
    <row r="234" spans="7:7" customFormat="1" x14ac:dyDescent="0.2">
      <c r="G234" s="33"/>
    </row>
    <row r="235" spans="7:7" customFormat="1" x14ac:dyDescent="0.2">
      <c r="G235" s="33"/>
    </row>
    <row r="236" spans="7:7" customFormat="1" x14ac:dyDescent="0.2">
      <c r="G236" s="33"/>
    </row>
    <row r="237" spans="7:7" customFormat="1" x14ac:dyDescent="0.2">
      <c r="G237" s="33"/>
    </row>
    <row r="238" spans="7:7" customFormat="1" x14ac:dyDescent="0.2">
      <c r="G238" s="33"/>
    </row>
    <row r="239" spans="7:7" customFormat="1" x14ac:dyDescent="0.2">
      <c r="G239" s="33"/>
    </row>
    <row r="240" spans="7:7" customFormat="1" x14ac:dyDescent="0.2">
      <c r="G240" s="33"/>
    </row>
    <row r="241" spans="7:7" customFormat="1" x14ac:dyDescent="0.2">
      <c r="G241" s="33"/>
    </row>
    <row r="242" spans="7:7" customFormat="1" x14ac:dyDescent="0.2">
      <c r="G242" s="33"/>
    </row>
    <row r="243" spans="7:7" customFormat="1" x14ac:dyDescent="0.2">
      <c r="G243" s="33"/>
    </row>
    <row r="244" spans="7:7" customFormat="1" x14ac:dyDescent="0.2">
      <c r="G244" s="33"/>
    </row>
    <row r="245" spans="7:7" customFormat="1" x14ac:dyDescent="0.2">
      <c r="G245" s="33"/>
    </row>
    <row r="246" spans="7:7" customFormat="1" x14ac:dyDescent="0.2">
      <c r="G246" s="33"/>
    </row>
    <row r="247" spans="7:7" customFormat="1" x14ac:dyDescent="0.2">
      <c r="G247" s="33"/>
    </row>
    <row r="248" spans="7:7" customFormat="1" x14ac:dyDescent="0.2">
      <c r="G248" s="33"/>
    </row>
    <row r="249" spans="7:7" customFormat="1" x14ac:dyDescent="0.2">
      <c r="G249" s="33"/>
    </row>
    <row r="250" spans="7:7" customFormat="1" x14ac:dyDescent="0.2">
      <c r="G250" s="33"/>
    </row>
    <row r="251" spans="7:7" customFormat="1" x14ac:dyDescent="0.2">
      <c r="G251" s="33"/>
    </row>
    <row r="252" spans="7:7" customFormat="1" x14ac:dyDescent="0.2">
      <c r="G252" s="33"/>
    </row>
    <row r="253" spans="7:7" customFormat="1" x14ac:dyDescent="0.2">
      <c r="G253" s="33"/>
    </row>
    <row r="254" spans="7:7" customFormat="1" x14ac:dyDescent="0.2">
      <c r="G254" s="33"/>
    </row>
    <row r="255" spans="7:7" customFormat="1" x14ac:dyDescent="0.2">
      <c r="G255" s="33"/>
    </row>
    <row r="256" spans="7:7" customFormat="1" x14ac:dyDescent="0.2">
      <c r="G256" s="33"/>
    </row>
    <row r="257" spans="7:7" customFormat="1" x14ac:dyDescent="0.2">
      <c r="G257" s="33"/>
    </row>
    <row r="258" spans="7:7" customFormat="1" x14ac:dyDescent="0.2">
      <c r="G258" s="33"/>
    </row>
    <row r="259" spans="7:7" customFormat="1" x14ac:dyDescent="0.2">
      <c r="G259" s="33"/>
    </row>
    <row r="260" spans="7:7" customFormat="1" x14ac:dyDescent="0.2">
      <c r="G260" s="33"/>
    </row>
    <row r="261" spans="7:7" customFormat="1" x14ac:dyDescent="0.2">
      <c r="G261" s="33"/>
    </row>
    <row r="262" spans="7:7" customFormat="1" x14ac:dyDescent="0.2">
      <c r="G262" s="33"/>
    </row>
    <row r="263" spans="7:7" customFormat="1" x14ac:dyDescent="0.2">
      <c r="G263" s="33"/>
    </row>
    <row r="264" spans="7:7" customFormat="1" x14ac:dyDescent="0.2">
      <c r="G264" s="33"/>
    </row>
    <row r="265" spans="7:7" customFormat="1" x14ac:dyDescent="0.2">
      <c r="G265" s="33"/>
    </row>
    <row r="266" spans="7:7" customFormat="1" x14ac:dyDescent="0.2">
      <c r="G266" s="33"/>
    </row>
    <row r="267" spans="7:7" customFormat="1" x14ac:dyDescent="0.2">
      <c r="G267" s="33"/>
    </row>
    <row r="268" spans="7:7" customFormat="1" x14ac:dyDescent="0.2">
      <c r="G268" s="33"/>
    </row>
    <row r="269" spans="7:7" customFormat="1" x14ac:dyDescent="0.2">
      <c r="G269" s="33"/>
    </row>
    <row r="270" spans="7:7" customFormat="1" x14ac:dyDescent="0.2">
      <c r="G270" s="33"/>
    </row>
    <row r="271" spans="7:7" customFormat="1" x14ac:dyDescent="0.2">
      <c r="G271" s="33"/>
    </row>
    <row r="272" spans="7:7" customFormat="1" x14ac:dyDescent="0.2">
      <c r="G272" s="33"/>
    </row>
    <row r="273" spans="7:7" customFormat="1" x14ac:dyDescent="0.2">
      <c r="G273" s="33"/>
    </row>
    <row r="274" spans="7:7" customFormat="1" x14ac:dyDescent="0.2">
      <c r="G274" s="33"/>
    </row>
    <row r="275" spans="7:7" customFormat="1" x14ac:dyDescent="0.2">
      <c r="G275" s="33"/>
    </row>
    <row r="276" spans="7:7" customFormat="1" x14ac:dyDescent="0.2">
      <c r="G276" s="33"/>
    </row>
    <row r="277" spans="7:7" customFormat="1" x14ac:dyDescent="0.2">
      <c r="G277" s="33"/>
    </row>
    <row r="278" spans="7:7" customFormat="1" x14ac:dyDescent="0.2">
      <c r="G278" s="33"/>
    </row>
    <row r="279" spans="7:7" customFormat="1" x14ac:dyDescent="0.2">
      <c r="G279" s="33"/>
    </row>
    <row r="280" spans="7:7" customFormat="1" x14ac:dyDescent="0.2">
      <c r="G280" s="33"/>
    </row>
    <row r="281" spans="7:7" customFormat="1" x14ac:dyDescent="0.2">
      <c r="G281" s="33"/>
    </row>
    <row r="282" spans="7:7" customFormat="1" x14ac:dyDescent="0.2">
      <c r="G282" s="33"/>
    </row>
    <row r="283" spans="7:7" customFormat="1" x14ac:dyDescent="0.2">
      <c r="G283" s="33"/>
    </row>
    <row r="284" spans="7:7" customFormat="1" x14ac:dyDescent="0.2">
      <c r="G284" s="33"/>
    </row>
    <row r="285" spans="7:7" customFormat="1" x14ac:dyDescent="0.2">
      <c r="G285" s="33"/>
    </row>
    <row r="286" spans="7:7" customFormat="1" x14ac:dyDescent="0.2">
      <c r="G286" s="33"/>
    </row>
    <row r="287" spans="7:7" customFormat="1" x14ac:dyDescent="0.2">
      <c r="G287" s="33"/>
    </row>
    <row r="288" spans="7:7" customFormat="1" x14ac:dyDescent="0.2">
      <c r="G288" s="33"/>
    </row>
    <row r="289" spans="7:7" customFormat="1" x14ac:dyDescent="0.2">
      <c r="G289" s="33"/>
    </row>
    <row r="290" spans="7:7" customFormat="1" x14ac:dyDescent="0.2">
      <c r="G290" s="33"/>
    </row>
    <row r="291" spans="7:7" customFormat="1" x14ac:dyDescent="0.2">
      <c r="G291" s="33"/>
    </row>
    <row r="292" spans="7:7" customFormat="1" x14ac:dyDescent="0.2">
      <c r="G292" s="33"/>
    </row>
    <row r="293" spans="7:7" customFormat="1" x14ac:dyDescent="0.2">
      <c r="G293" s="33"/>
    </row>
    <row r="294" spans="7:7" customFormat="1" x14ac:dyDescent="0.2">
      <c r="G294" s="33"/>
    </row>
    <row r="295" spans="7:7" customFormat="1" x14ac:dyDescent="0.2">
      <c r="G295" s="33"/>
    </row>
    <row r="296" spans="7:7" customFormat="1" x14ac:dyDescent="0.2">
      <c r="G296" s="33"/>
    </row>
    <row r="297" spans="7:7" customFormat="1" x14ac:dyDescent="0.2">
      <c r="G297" s="33"/>
    </row>
    <row r="298" spans="7:7" customFormat="1" x14ac:dyDescent="0.2">
      <c r="G298" s="33"/>
    </row>
    <row r="299" spans="7:7" customFormat="1" x14ac:dyDescent="0.2">
      <c r="G299" s="33"/>
    </row>
    <row r="300" spans="7:7" customFormat="1" x14ac:dyDescent="0.2">
      <c r="G300" s="33"/>
    </row>
    <row r="301" spans="7:7" customFormat="1" x14ac:dyDescent="0.2">
      <c r="G301" s="33"/>
    </row>
    <row r="302" spans="7:7" customFormat="1" x14ac:dyDescent="0.2">
      <c r="G302" s="33"/>
    </row>
    <row r="303" spans="7:7" customFormat="1" x14ac:dyDescent="0.2">
      <c r="G303" s="33"/>
    </row>
    <row r="304" spans="7:7" customFormat="1" x14ac:dyDescent="0.2">
      <c r="G304" s="33"/>
    </row>
    <row r="305" spans="7:7" customFormat="1" x14ac:dyDescent="0.2">
      <c r="G305" s="33"/>
    </row>
    <row r="306" spans="7:7" customFormat="1" x14ac:dyDescent="0.2">
      <c r="G306" s="33"/>
    </row>
    <row r="307" spans="7:7" customFormat="1" x14ac:dyDescent="0.2">
      <c r="G307" s="33"/>
    </row>
    <row r="308" spans="7:7" customFormat="1" x14ac:dyDescent="0.2">
      <c r="G308" s="33"/>
    </row>
    <row r="309" spans="7:7" customFormat="1" x14ac:dyDescent="0.2">
      <c r="G309" s="33"/>
    </row>
    <row r="310" spans="7:7" customFormat="1" x14ac:dyDescent="0.2">
      <c r="G310" s="33"/>
    </row>
    <row r="311" spans="7:7" customFormat="1" x14ac:dyDescent="0.2">
      <c r="G311" s="33"/>
    </row>
    <row r="312" spans="7:7" customFormat="1" x14ac:dyDescent="0.2">
      <c r="G312" s="33"/>
    </row>
    <row r="313" spans="7:7" customFormat="1" x14ac:dyDescent="0.2">
      <c r="G313" s="33"/>
    </row>
    <row r="314" spans="7:7" customFormat="1" x14ac:dyDescent="0.2">
      <c r="G314" s="33"/>
    </row>
    <row r="315" spans="7:7" customFormat="1" x14ac:dyDescent="0.2">
      <c r="G315" s="33"/>
    </row>
    <row r="316" spans="7:7" customFormat="1" x14ac:dyDescent="0.2">
      <c r="G316" s="33"/>
    </row>
    <row r="317" spans="7:7" customFormat="1" x14ac:dyDescent="0.2">
      <c r="G317" s="33"/>
    </row>
    <row r="318" spans="7:7" customFormat="1" x14ac:dyDescent="0.2">
      <c r="G318" s="33"/>
    </row>
    <row r="319" spans="7:7" customFormat="1" x14ac:dyDescent="0.2">
      <c r="G319" s="33"/>
    </row>
    <row r="320" spans="7:7" customFormat="1" x14ac:dyDescent="0.2">
      <c r="G320" s="33"/>
    </row>
    <row r="321" spans="7:7" customFormat="1" x14ac:dyDescent="0.2">
      <c r="G321" s="33"/>
    </row>
    <row r="322" spans="7:7" customFormat="1" x14ac:dyDescent="0.2">
      <c r="G322" s="33"/>
    </row>
    <row r="323" spans="7:7" customFormat="1" x14ac:dyDescent="0.2">
      <c r="G323" s="33"/>
    </row>
    <row r="324" spans="7:7" customFormat="1" x14ac:dyDescent="0.2">
      <c r="G324" s="33"/>
    </row>
    <row r="325" spans="7:7" customFormat="1" x14ac:dyDescent="0.2">
      <c r="G325" s="33"/>
    </row>
    <row r="326" spans="7:7" customFormat="1" x14ac:dyDescent="0.2">
      <c r="G326" s="33"/>
    </row>
    <row r="327" spans="7:7" customFormat="1" x14ac:dyDescent="0.2">
      <c r="G327" s="33"/>
    </row>
    <row r="328" spans="7:7" customFormat="1" x14ac:dyDescent="0.2">
      <c r="G328" s="33"/>
    </row>
    <row r="329" spans="7:7" customFormat="1" x14ac:dyDescent="0.2">
      <c r="G329" s="33"/>
    </row>
    <row r="330" spans="7:7" customFormat="1" x14ac:dyDescent="0.2">
      <c r="G330" s="33"/>
    </row>
    <row r="331" spans="7:7" customFormat="1" x14ac:dyDescent="0.2">
      <c r="G331" s="33"/>
    </row>
    <row r="332" spans="7:7" customFormat="1" x14ac:dyDescent="0.2">
      <c r="G332" s="33"/>
    </row>
    <row r="333" spans="7:7" customFormat="1" x14ac:dyDescent="0.2">
      <c r="G333" s="33"/>
    </row>
    <row r="334" spans="7:7" customFormat="1" x14ac:dyDescent="0.2">
      <c r="G334" s="33"/>
    </row>
    <row r="335" spans="7:7" customFormat="1" x14ac:dyDescent="0.2">
      <c r="G335" s="33"/>
    </row>
    <row r="336" spans="7:7" customFormat="1" x14ac:dyDescent="0.2">
      <c r="G336" s="33"/>
    </row>
    <row r="337" spans="7:7" customFormat="1" x14ac:dyDescent="0.2">
      <c r="G337" s="33"/>
    </row>
    <row r="338" spans="7:7" customFormat="1" x14ac:dyDescent="0.2">
      <c r="G338" s="33"/>
    </row>
    <row r="339" spans="7:7" customFormat="1" x14ac:dyDescent="0.2">
      <c r="G339" s="33"/>
    </row>
    <row r="340" spans="7:7" customFormat="1" x14ac:dyDescent="0.2">
      <c r="G340" s="33"/>
    </row>
    <row r="341" spans="7:7" customFormat="1" x14ac:dyDescent="0.2">
      <c r="G341" s="33"/>
    </row>
    <row r="342" spans="7:7" customFormat="1" x14ac:dyDescent="0.2">
      <c r="G342" s="33"/>
    </row>
    <row r="343" spans="7:7" customFormat="1" x14ac:dyDescent="0.2">
      <c r="G343" s="33"/>
    </row>
    <row r="344" spans="7:7" customFormat="1" x14ac:dyDescent="0.2">
      <c r="G344" s="33"/>
    </row>
    <row r="345" spans="7:7" customFormat="1" x14ac:dyDescent="0.2">
      <c r="G345" s="33"/>
    </row>
    <row r="346" spans="7:7" customFormat="1" x14ac:dyDescent="0.2">
      <c r="G346" s="33"/>
    </row>
    <row r="347" spans="7:7" customFormat="1" x14ac:dyDescent="0.2">
      <c r="G347" s="33"/>
    </row>
    <row r="348" spans="7:7" customFormat="1" x14ac:dyDescent="0.2">
      <c r="G348" s="33"/>
    </row>
    <row r="349" spans="7:7" customFormat="1" x14ac:dyDescent="0.2">
      <c r="G349" s="33"/>
    </row>
    <row r="350" spans="7:7" customFormat="1" x14ac:dyDescent="0.2">
      <c r="G350" s="33"/>
    </row>
    <row r="351" spans="7:7" customFormat="1" x14ac:dyDescent="0.2">
      <c r="G351" s="33"/>
    </row>
    <row r="352" spans="7:7" customFormat="1" x14ac:dyDescent="0.2">
      <c r="G352" s="33"/>
    </row>
    <row r="353" spans="7:7" customFormat="1" x14ac:dyDescent="0.2">
      <c r="G353" s="33"/>
    </row>
    <row r="354" spans="7:7" customFormat="1" x14ac:dyDescent="0.2">
      <c r="G354" s="33"/>
    </row>
    <row r="355" spans="7:7" customFormat="1" x14ac:dyDescent="0.2">
      <c r="G355" s="33"/>
    </row>
    <row r="356" spans="7:7" customFormat="1" x14ac:dyDescent="0.2">
      <c r="G356" s="33"/>
    </row>
    <row r="357" spans="7:7" customFormat="1" x14ac:dyDescent="0.2">
      <c r="G357" s="33"/>
    </row>
    <row r="358" spans="7:7" customFormat="1" x14ac:dyDescent="0.2">
      <c r="G358" s="33"/>
    </row>
    <row r="359" spans="7:7" customFormat="1" x14ac:dyDescent="0.2">
      <c r="G359" s="33"/>
    </row>
    <row r="360" spans="7:7" customFormat="1" x14ac:dyDescent="0.2">
      <c r="G360" s="33"/>
    </row>
    <row r="361" spans="7:7" customFormat="1" x14ac:dyDescent="0.2">
      <c r="G361" s="33"/>
    </row>
    <row r="362" spans="7:7" customFormat="1" x14ac:dyDescent="0.2">
      <c r="G362" s="33"/>
    </row>
    <row r="363" spans="7:7" customFormat="1" x14ac:dyDescent="0.2">
      <c r="G363" s="33"/>
    </row>
    <row r="364" spans="7:7" customFormat="1" x14ac:dyDescent="0.2">
      <c r="G364" s="33"/>
    </row>
    <row r="365" spans="7:7" customFormat="1" x14ac:dyDescent="0.2">
      <c r="G365" s="33"/>
    </row>
    <row r="366" spans="7:7" customFormat="1" x14ac:dyDescent="0.2">
      <c r="G366" s="33"/>
    </row>
    <row r="367" spans="7:7" customFormat="1" x14ac:dyDescent="0.2">
      <c r="G367" s="33"/>
    </row>
    <row r="368" spans="7:7" customFormat="1" x14ac:dyDescent="0.2">
      <c r="G368" s="33"/>
    </row>
    <row r="369" spans="7:7" customFormat="1" x14ac:dyDescent="0.2">
      <c r="G369" s="33"/>
    </row>
    <row r="370" spans="7:7" customFormat="1" x14ac:dyDescent="0.2">
      <c r="G370" s="33"/>
    </row>
    <row r="371" spans="7:7" customFormat="1" x14ac:dyDescent="0.2">
      <c r="G371" s="33"/>
    </row>
    <row r="372" spans="7:7" customFormat="1" x14ac:dyDescent="0.2">
      <c r="G372" s="33"/>
    </row>
    <row r="373" spans="7:7" customFormat="1" x14ac:dyDescent="0.2">
      <c r="G373" s="33"/>
    </row>
    <row r="374" spans="7:7" customFormat="1" x14ac:dyDescent="0.2">
      <c r="G374" s="33"/>
    </row>
    <row r="375" spans="7:7" customFormat="1" x14ac:dyDescent="0.2">
      <c r="G375" s="33"/>
    </row>
    <row r="376" spans="7:7" customFormat="1" x14ac:dyDescent="0.2">
      <c r="G376" s="33"/>
    </row>
    <row r="377" spans="7:7" customFormat="1" x14ac:dyDescent="0.2">
      <c r="G377" s="33"/>
    </row>
    <row r="378" spans="7:7" customFormat="1" x14ac:dyDescent="0.2">
      <c r="G378" s="33"/>
    </row>
    <row r="379" spans="7:7" customFormat="1" x14ac:dyDescent="0.2">
      <c r="G379" s="33"/>
    </row>
    <row r="380" spans="7:7" customFormat="1" x14ac:dyDescent="0.2">
      <c r="G380" s="33"/>
    </row>
    <row r="381" spans="7:7" customFormat="1" x14ac:dyDescent="0.2">
      <c r="G381" s="33"/>
    </row>
    <row r="382" spans="7:7" customFormat="1" x14ac:dyDescent="0.2">
      <c r="G382" s="33"/>
    </row>
    <row r="383" spans="7:7" customFormat="1" x14ac:dyDescent="0.2">
      <c r="G383" s="33"/>
    </row>
    <row r="384" spans="7:7" customFormat="1" x14ac:dyDescent="0.2">
      <c r="G384" s="33"/>
    </row>
    <row r="385" spans="7:7" customFormat="1" x14ac:dyDescent="0.2">
      <c r="G385" s="33"/>
    </row>
    <row r="386" spans="7:7" customFormat="1" x14ac:dyDescent="0.2">
      <c r="G386" s="33"/>
    </row>
    <row r="387" spans="7:7" customFormat="1" x14ac:dyDescent="0.2">
      <c r="G387" s="33"/>
    </row>
    <row r="388" spans="7:7" customFormat="1" x14ac:dyDescent="0.2">
      <c r="G388" s="33"/>
    </row>
    <row r="389" spans="7:7" customFormat="1" x14ac:dyDescent="0.2">
      <c r="G389" s="33"/>
    </row>
    <row r="390" spans="7:7" customFormat="1" x14ac:dyDescent="0.2">
      <c r="G390" s="33"/>
    </row>
    <row r="391" spans="7:7" customFormat="1" x14ac:dyDescent="0.2">
      <c r="G391" s="33"/>
    </row>
    <row r="392" spans="7:7" customFormat="1" x14ac:dyDescent="0.2">
      <c r="G392" s="33"/>
    </row>
    <row r="393" spans="7:7" customFormat="1" x14ac:dyDescent="0.2">
      <c r="G393" s="33"/>
    </row>
    <row r="394" spans="7:7" customFormat="1" x14ac:dyDescent="0.2">
      <c r="G394" s="33"/>
    </row>
    <row r="395" spans="7:7" customFormat="1" x14ac:dyDescent="0.2">
      <c r="G395" s="33"/>
    </row>
    <row r="396" spans="7:7" customFormat="1" x14ac:dyDescent="0.2">
      <c r="G396" s="33"/>
    </row>
    <row r="397" spans="7:7" customFormat="1" x14ac:dyDescent="0.2">
      <c r="G397" s="33"/>
    </row>
    <row r="398" spans="7:7" customFormat="1" x14ac:dyDescent="0.2">
      <c r="G398" s="33"/>
    </row>
    <row r="399" spans="7:7" customFormat="1" x14ac:dyDescent="0.2">
      <c r="G399" s="33"/>
    </row>
    <row r="400" spans="7:7" customFormat="1" x14ac:dyDescent="0.2">
      <c r="G400" s="33"/>
    </row>
    <row r="401" spans="7:7" customFormat="1" x14ac:dyDescent="0.2">
      <c r="G401" s="33"/>
    </row>
    <row r="402" spans="7:7" customFormat="1" x14ac:dyDescent="0.2">
      <c r="G402" s="33"/>
    </row>
    <row r="403" spans="7:7" customFormat="1" x14ac:dyDescent="0.2">
      <c r="G403" s="33"/>
    </row>
    <row r="404" spans="7:7" customFormat="1" x14ac:dyDescent="0.2">
      <c r="G404" s="33"/>
    </row>
    <row r="405" spans="7:7" customFormat="1" x14ac:dyDescent="0.2">
      <c r="G405" s="33"/>
    </row>
    <row r="406" spans="7:7" customFormat="1" x14ac:dyDescent="0.2">
      <c r="G406" s="33"/>
    </row>
    <row r="407" spans="7:7" customFormat="1" x14ac:dyDescent="0.2">
      <c r="G407" s="33"/>
    </row>
    <row r="408" spans="7:7" customFormat="1" x14ac:dyDescent="0.2">
      <c r="G408" s="33"/>
    </row>
    <row r="409" spans="7:7" customFormat="1" x14ac:dyDescent="0.2">
      <c r="G409" s="33"/>
    </row>
    <row r="410" spans="7:7" customFormat="1" x14ac:dyDescent="0.2">
      <c r="G410" s="33"/>
    </row>
    <row r="411" spans="7:7" customFormat="1" x14ac:dyDescent="0.2">
      <c r="G411" s="33"/>
    </row>
    <row r="412" spans="7:7" customFormat="1" x14ac:dyDescent="0.2">
      <c r="G412" s="33"/>
    </row>
    <row r="413" spans="7:7" customFormat="1" x14ac:dyDescent="0.2">
      <c r="G413" s="33"/>
    </row>
    <row r="414" spans="7:7" customFormat="1" x14ac:dyDescent="0.2">
      <c r="G414" s="33"/>
    </row>
    <row r="415" spans="7:7" customFormat="1" x14ac:dyDescent="0.2">
      <c r="G415" s="33"/>
    </row>
    <row r="416" spans="7:7" customFormat="1" x14ac:dyDescent="0.2">
      <c r="G416" s="33"/>
    </row>
    <row r="417" spans="7:7" customFormat="1" x14ac:dyDescent="0.2">
      <c r="G417" s="33"/>
    </row>
    <row r="418" spans="7:7" customFormat="1" x14ac:dyDescent="0.2">
      <c r="G418" s="33"/>
    </row>
    <row r="419" spans="7:7" customFormat="1" x14ac:dyDescent="0.2">
      <c r="G419" s="33"/>
    </row>
    <row r="420" spans="7:7" customFormat="1" x14ac:dyDescent="0.2">
      <c r="G420" s="33"/>
    </row>
    <row r="421" spans="7:7" customFormat="1" x14ac:dyDescent="0.2">
      <c r="G421" s="33"/>
    </row>
    <row r="422" spans="7:7" customFormat="1" x14ac:dyDescent="0.2">
      <c r="G422" s="33"/>
    </row>
    <row r="423" spans="7:7" customFormat="1" x14ac:dyDescent="0.2">
      <c r="G423" s="33"/>
    </row>
    <row r="424" spans="7:7" customFormat="1" x14ac:dyDescent="0.2">
      <c r="G424" s="33"/>
    </row>
    <row r="425" spans="7:7" customFormat="1" x14ac:dyDescent="0.2">
      <c r="G425" s="33"/>
    </row>
    <row r="426" spans="7:7" customFormat="1" x14ac:dyDescent="0.2">
      <c r="G426" s="33"/>
    </row>
    <row r="427" spans="7:7" customFormat="1" x14ac:dyDescent="0.2">
      <c r="G427" s="33"/>
    </row>
    <row r="428" spans="7:7" customFormat="1" x14ac:dyDescent="0.2">
      <c r="G428" s="33"/>
    </row>
    <row r="429" spans="7:7" customFormat="1" x14ac:dyDescent="0.2">
      <c r="G429" s="33"/>
    </row>
    <row r="430" spans="7:7" customFormat="1" x14ac:dyDescent="0.2">
      <c r="G430" s="33"/>
    </row>
    <row r="431" spans="7:7" customFormat="1" x14ac:dyDescent="0.2">
      <c r="G431" s="33"/>
    </row>
    <row r="432" spans="7:7" customFormat="1" x14ac:dyDescent="0.2">
      <c r="G432" s="33"/>
    </row>
    <row r="433" spans="7:7" customFormat="1" x14ac:dyDescent="0.2">
      <c r="G433" s="33"/>
    </row>
    <row r="434" spans="7:7" customFormat="1" x14ac:dyDescent="0.2">
      <c r="G434" s="33"/>
    </row>
    <row r="435" spans="7:7" customFormat="1" x14ac:dyDescent="0.2">
      <c r="G435" s="33"/>
    </row>
    <row r="436" spans="7:7" customFormat="1" x14ac:dyDescent="0.2">
      <c r="G436" s="33"/>
    </row>
    <row r="437" spans="7:7" customFormat="1" x14ac:dyDescent="0.2">
      <c r="G437" s="33"/>
    </row>
    <row r="438" spans="7:7" customFormat="1" x14ac:dyDescent="0.2">
      <c r="G438" s="33"/>
    </row>
    <row r="439" spans="7:7" customFormat="1" x14ac:dyDescent="0.2">
      <c r="G439" s="33"/>
    </row>
    <row r="440" spans="7:7" customFormat="1" x14ac:dyDescent="0.2">
      <c r="G440" s="33"/>
    </row>
    <row r="441" spans="7:7" customFormat="1" x14ac:dyDescent="0.2">
      <c r="G441" s="33"/>
    </row>
    <row r="442" spans="7:7" customFormat="1" x14ac:dyDescent="0.2">
      <c r="G442" s="33"/>
    </row>
    <row r="443" spans="7:7" customFormat="1" x14ac:dyDescent="0.2">
      <c r="G443" s="33"/>
    </row>
    <row r="444" spans="7:7" customFormat="1" x14ac:dyDescent="0.2">
      <c r="G444" s="33"/>
    </row>
    <row r="445" spans="7:7" customFormat="1" x14ac:dyDescent="0.2">
      <c r="G445" s="33"/>
    </row>
    <row r="446" spans="7:7" customFormat="1" x14ac:dyDescent="0.2">
      <c r="G446" s="33"/>
    </row>
    <row r="447" spans="7:7" customFormat="1" x14ac:dyDescent="0.2">
      <c r="G447" s="33"/>
    </row>
    <row r="448" spans="7:7" customFormat="1" x14ac:dyDescent="0.2">
      <c r="G448" s="33"/>
    </row>
    <row r="449" spans="7:7" customFormat="1" x14ac:dyDescent="0.2">
      <c r="G449" s="33"/>
    </row>
    <row r="450" spans="7:7" customFormat="1" x14ac:dyDescent="0.2">
      <c r="G450" s="33"/>
    </row>
    <row r="451" spans="7:7" customFormat="1" x14ac:dyDescent="0.2">
      <c r="G451" s="33"/>
    </row>
    <row r="452" spans="7:7" customFormat="1" x14ac:dyDescent="0.2">
      <c r="G452" s="33"/>
    </row>
    <row r="453" spans="7:7" customFormat="1" x14ac:dyDescent="0.2">
      <c r="G453" s="33"/>
    </row>
    <row r="454" spans="7:7" customFormat="1" x14ac:dyDescent="0.2">
      <c r="G454" s="33"/>
    </row>
    <row r="455" spans="7:7" customFormat="1" x14ac:dyDescent="0.2">
      <c r="G455" s="33"/>
    </row>
    <row r="456" spans="7:7" customFormat="1" x14ac:dyDescent="0.2">
      <c r="G456" s="33"/>
    </row>
    <row r="457" spans="7:7" customFormat="1" x14ac:dyDescent="0.2">
      <c r="G457" s="33"/>
    </row>
    <row r="458" spans="7:7" customFormat="1" x14ac:dyDescent="0.2">
      <c r="G458" s="33"/>
    </row>
    <row r="459" spans="7:7" customFormat="1" x14ac:dyDescent="0.2">
      <c r="G459" s="33"/>
    </row>
    <row r="460" spans="7:7" customFormat="1" x14ac:dyDescent="0.2">
      <c r="G460" s="33"/>
    </row>
    <row r="461" spans="7:7" customFormat="1" x14ac:dyDescent="0.2">
      <c r="G461" s="33"/>
    </row>
    <row r="462" spans="7:7" customFormat="1" x14ac:dyDescent="0.2">
      <c r="G462" s="33"/>
    </row>
    <row r="463" spans="7:7" customFormat="1" x14ac:dyDescent="0.2">
      <c r="G463" s="33"/>
    </row>
    <row r="464" spans="7:7" customFormat="1" x14ac:dyDescent="0.2">
      <c r="G464" s="33"/>
    </row>
    <row r="465" spans="7:7" customFormat="1" x14ac:dyDescent="0.2">
      <c r="G465" s="33"/>
    </row>
    <row r="466" spans="7:7" customFormat="1" x14ac:dyDescent="0.2">
      <c r="G466" s="33"/>
    </row>
    <row r="467" spans="7:7" customFormat="1" x14ac:dyDescent="0.2">
      <c r="G467" s="33"/>
    </row>
    <row r="468" spans="7:7" customFormat="1" x14ac:dyDescent="0.2">
      <c r="G468" s="33"/>
    </row>
    <row r="469" spans="7:7" customFormat="1" x14ac:dyDescent="0.2">
      <c r="G469" s="33"/>
    </row>
    <row r="470" spans="7:7" customFormat="1" x14ac:dyDescent="0.2">
      <c r="G470" s="33"/>
    </row>
    <row r="471" spans="7:7" customFormat="1" x14ac:dyDescent="0.2">
      <c r="G471" s="33"/>
    </row>
    <row r="472" spans="7:7" customFormat="1" x14ac:dyDescent="0.2">
      <c r="G472" s="33"/>
    </row>
    <row r="473" spans="7:7" customFormat="1" x14ac:dyDescent="0.2">
      <c r="G473" s="33"/>
    </row>
    <row r="474" spans="7:7" customFormat="1" x14ac:dyDescent="0.2">
      <c r="G474" s="33"/>
    </row>
    <row r="475" spans="7:7" customFormat="1" x14ac:dyDescent="0.2">
      <c r="G475" s="33"/>
    </row>
    <row r="476" spans="7:7" customFormat="1" x14ac:dyDescent="0.2">
      <c r="G476" s="33"/>
    </row>
    <row r="477" spans="7:7" customFormat="1" x14ac:dyDescent="0.2">
      <c r="G477" s="33"/>
    </row>
    <row r="478" spans="7:7" customFormat="1" x14ac:dyDescent="0.2">
      <c r="G478" s="33"/>
    </row>
    <row r="479" spans="7:7" customFormat="1" x14ac:dyDescent="0.2">
      <c r="G479" s="33"/>
    </row>
    <row r="480" spans="7:7" customFormat="1" x14ac:dyDescent="0.2">
      <c r="G480" s="33"/>
    </row>
    <row r="481" spans="7:7" customFormat="1" x14ac:dyDescent="0.2">
      <c r="G481" s="33"/>
    </row>
    <row r="482" spans="7:7" customFormat="1" x14ac:dyDescent="0.2">
      <c r="G482" s="33"/>
    </row>
    <row r="483" spans="7:7" customFormat="1" x14ac:dyDescent="0.2">
      <c r="G483" s="33"/>
    </row>
    <row r="484" spans="7:7" customFormat="1" x14ac:dyDescent="0.2">
      <c r="G484" s="33"/>
    </row>
    <row r="485" spans="7:7" customFormat="1" x14ac:dyDescent="0.2">
      <c r="G485" s="33"/>
    </row>
    <row r="486" spans="7:7" customFormat="1" x14ac:dyDescent="0.2">
      <c r="G486" s="33"/>
    </row>
    <row r="487" spans="7:7" customFormat="1" x14ac:dyDescent="0.2">
      <c r="G487" s="33"/>
    </row>
    <row r="488" spans="7:7" customFormat="1" x14ac:dyDescent="0.2">
      <c r="G488" s="33"/>
    </row>
    <row r="489" spans="7:7" customFormat="1" x14ac:dyDescent="0.2">
      <c r="G489" s="33"/>
    </row>
    <row r="490" spans="7:7" customFormat="1" x14ac:dyDescent="0.2">
      <c r="G490" s="33"/>
    </row>
    <row r="491" spans="7:7" customFormat="1" x14ac:dyDescent="0.2">
      <c r="G491" s="33"/>
    </row>
    <row r="492" spans="7:7" customFormat="1" x14ac:dyDescent="0.2">
      <c r="G492" s="33"/>
    </row>
    <row r="493" spans="7:7" customFormat="1" x14ac:dyDescent="0.2">
      <c r="G493" s="33"/>
    </row>
    <row r="494" spans="7:7" customFormat="1" x14ac:dyDescent="0.2">
      <c r="G494" s="33"/>
    </row>
    <row r="495" spans="7:7" customFormat="1" x14ac:dyDescent="0.2">
      <c r="G495" s="33"/>
    </row>
    <row r="496" spans="7:7" customFormat="1" x14ac:dyDescent="0.2">
      <c r="G496" s="33"/>
    </row>
    <row r="497" spans="7:7" customFormat="1" x14ac:dyDescent="0.2">
      <c r="G497" s="33"/>
    </row>
    <row r="498" spans="7:7" customFormat="1" x14ac:dyDescent="0.2">
      <c r="G498" s="33"/>
    </row>
    <row r="499" spans="7:7" customFormat="1" x14ac:dyDescent="0.2">
      <c r="G499" s="33"/>
    </row>
    <row r="500" spans="7:7" customFormat="1" x14ac:dyDescent="0.2">
      <c r="G500" s="33"/>
    </row>
    <row r="501" spans="7:7" customFormat="1" x14ac:dyDescent="0.2">
      <c r="G501" s="33"/>
    </row>
    <row r="502" spans="7:7" customFormat="1" x14ac:dyDescent="0.2">
      <c r="G502" s="33"/>
    </row>
    <row r="503" spans="7:7" customFormat="1" x14ac:dyDescent="0.2">
      <c r="G503" s="33"/>
    </row>
    <row r="504" spans="7:7" customFormat="1" x14ac:dyDescent="0.2">
      <c r="G504" s="33"/>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24"/>
  <sheetViews>
    <sheetView workbookViewId="0"/>
  </sheetViews>
  <sheetFormatPr defaultRowHeight="12.75" x14ac:dyDescent="0.2"/>
  <cols>
    <col min="1" max="1" width="2.42578125" style="32" customWidth="1"/>
    <col min="2" max="2" width="30.7109375" style="32" customWidth="1"/>
    <col min="3" max="5" width="10.7109375" style="32" customWidth="1"/>
    <col min="6" max="6" width="2.7109375" style="32" customWidth="1"/>
    <col min="7" max="7" width="60.7109375" style="32" customWidth="1"/>
    <col min="8" max="11" width="10.7109375" style="32" customWidth="1"/>
    <col min="12" max="16384" width="9.140625" style="32"/>
  </cols>
  <sheetData>
    <row r="1" spans="2:7" ht="31.5" x14ac:dyDescent="0.2">
      <c r="B1" s="31" t="str">
        <f>"Scope 3 data: commuting Bothell, CY" &amp; cover!C2</f>
        <v>Scope 3 data: commuting Bothell, CY2016</v>
      </c>
    </row>
    <row r="4" spans="2:7" x14ac:dyDescent="0.2">
      <c r="B4" s="19" t="s">
        <v>653</v>
      </c>
      <c r="C4" s="19"/>
      <c r="D4" s="19"/>
      <c r="E4" s="19"/>
      <c r="F4" s="19"/>
      <c r="G4" s="19"/>
    </row>
    <row r="5" spans="2:7" ht="13.5" x14ac:dyDescent="0.25">
      <c r="C5" s="59" t="s">
        <v>22</v>
      </c>
      <c r="D5" s="7" t="s">
        <v>23</v>
      </c>
      <c r="E5" s="7" t="s">
        <v>27</v>
      </c>
      <c r="G5" s="7" t="s">
        <v>33</v>
      </c>
    </row>
    <row r="6" spans="2:7" x14ac:dyDescent="0.2">
      <c r="B6" s="72" t="s">
        <v>670</v>
      </c>
      <c r="C6" s="92">
        <f>populations!G9/populations!F9</f>
        <v>0.23148553647574047</v>
      </c>
      <c r="D6" s="75"/>
    </row>
    <row r="7" spans="2:7" x14ac:dyDescent="0.2">
      <c r="B7" s="72" t="s">
        <v>655</v>
      </c>
      <c r="C7" s="74">
        <f>C6*'S3 commuting Seattle'!H48</f>
        <v>115486.45610194527</v>
      </c>
      <c r="D7" s="75" t="s">
        <v>57</v>
      </c>
    </row>
    <row r="8" spans="2:7" x14ac:dyDescent="0.2">
      <c r="B8" s="72" t="s">
        <v>656</v>
      </c>
      <c r="C8" s="74">
        <f>C6*'S3 commuting Seattle'!H52</f>
        <v>144713.29383058762</v>
      </c>
      <c r="D8" s="75" t="s">
        <v>57</v>
      </c>
    </row>
    <row r="10" spans="2:7" x14ac:dyDescent="0.2">
      <c r="B10" s="19" t="s">
        <v>652</v>
      </c>
      <c r="C10" s="19"/>
      <c r="D10" s="19"/>
      <c r="E10" s="19"/>
      <c r="F10" s="19"/>
      <c r="G10" s="19"/>
    </row>
    <row r="11" spans="2:7" ht="13.5" x14ac:dyDescent="0.25">
      <c r="C11" s="7" t="s">
        <v>22</v>
      </c>
      <c r="D11" s="7" t="s">
        <v>23</v>
      </c>
      <c r="E11" s="7" t="s">
        <v>27</v>
      </c>
      <c r="G11" s="7" t="s">
        <v>33</v>
      </c>
    </row>
    <row r="12" spans="2:7" ht="14.25" x14ac:dyDescent="0.2">
      <c r="B12" s="75" t="s">
        <v>648</v>
      </c>
      <c r="C12" s="11">
        <v>1113</v>
      </c>
      <c r="D12" s="32" t="s">
        <v>647</v>
      </c>
      <c r="E12" s="45" t="s">
        <v>689</v>
      </c>
      <c r="G12" s="35"/>
    </row>
    <row r="13" spans="2:7" x14ac:dyDescent="0.2">
      <c r="B13" s="72" t="s">
        <v>649</v>
      </c>
      <c r="C13" s="61">
        <v>2012</v>
      </c>
      <c r="E13" s="45" t="s">
        <v>689</v>
      </c>
      <c r="G13" s="35"/>
    </row>
    <row r="14" spans="2:7" x14ac:dyDescent="0.2">
      <c r="B14" s="72" t="s">
        <v>651</v>
      </c>
      <c r="C14" s="157">
        <f>cover!C2</f>
        <v>2016</v>
      </c>
      <c r="E14" s="35"/>
      <c r="G14" s="35"/>
    </row>
    <row r="15" spans="2:7" x14ac:dyDescent="0.2">
      <c r="B15" s="72" t="s">
        <v>671</v>
      </c>
      <c r="C15" s="62">
        <v>0</v>
      </c>
      <c r="E15" s="35"/>
      <c r="G15" s="35"/>
    </row>
    <row r="16" spans="2:7" ht="14.25" x14ac:dyDescent="0.2">
      <c r="B16" s="72" t="s">
        <v>658</v>
      </c>
      <c r="C16" s="74">
        <f>C12*(1+C15)</f>
        <v>1113</v>
      </c>
      <c r="D16" s="75" t="s">
        <v>647</v>
      </c>
      <c r="E16" s="75"/>
    </row>
    <row r="17" spans="2:5" x14ac:dyDescent="0.2">
      <c r="B17" s="72" t="s">
        <v>672</v>
      </c>
      <c r="C17" s="93">
        <f>populations!G6/populations!G7</f>
        <v>0.47750362844702465</v>
      </c>
      <c r="D17" s="75"/>
      <c r="E17" s="75"/>
    </row>
    <row r="18" spans="2:5" ht="14.25" x14ac:dyDescent="0.2">
      <c r="B18" s="72" t="s">
        <v>673</v>
      </c>
      <c r="C18" s="81">
        <f>$C$17*$C$16</f>
        <v>531.46153846153845</v>
      </c>
      <c r="D18" s="75" t="s">
        <v>647</v>
      </c>
      <c r="E18" s="75"/>
    </row>
    <row r="19" spans="2:5" ht="14.25" x14ac:dyDescent="0.2">
      <c r="B19" s="72" t="s">
        <v>674</v>
      </c>
      <c r="C19" s="81">
        <f>(1-$C$17)*$C$16</f>
        <v>581.53846153846155</v>
      </c>
      <c r="D19" s="75" t="s">
        <v>647</v>
      </c>
      <c r="E19" s="75"/>
    </row>
    <row r="20" spans="2:5" x14ac:dyDescent="0.2">
      <c r="B20" s="75"/>
    </row>
    <row r="21" spans="2:5" x14ac:dyDescent="0.2">
      <c r="B21" s="75"/>
    </row>
    <row r="22" spans="2:5" x14ac:dyDescent="0.2">
      <c r="B22" s="75"/>
    </row>
    <row r="23" spans="2:5" x14ac:dyDescent="0.2">
      <c r="B23" s="75"/>
    </row>
    <row r="24" spans="2:5" x14ac:dyDescent="0.2">
      <c r="B24" s="75"/>
    </row>
  </sheetData>
  <sheetProtection sheet="1" objects="1" scenarios="1"/>
  <pageMargins left="0.7" right="0.7" top="0.75" bottom="0.75" header="0.3" footer="0.3"/>
  <pageSetup orientation="portrait" horizontalDpi="4294967292"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181</vt:i4>
      </vt:variant>
    </vt:vector>
  </HeadingPairs>
  <TitlesOfParts>
    <vt:vector size="200" baseType="lpstr">
      <vt:lpstr>cover</vt:lpstr>
      <vt:lpstr>contents</vt:lpstr>
      <vt:lpstr>S1 stationary</vt:lpstr>
      <vt:lpstr>S1 mobile</vt:lpstr>
      <vt:lpstr>S1 fugitive</vt:lpstr>
      <vt:lpstr>S2 electricity</vt:lpstr>
      <vt:lpstr>S2 steam</vt:lpstr>
      <vt:lpstr>S3 commuting Seattle</vt:lpstr>
      <vt:lpstr>S3 commuting Bothell</vt:lpstr>
      <vt:lpstr>S3 commuting Tacoma</vt:lpstr>
      <vt:lpstr>S3 professional travel</vt:lpstr>
      <vt:lpstr>S3 off-campus medical</vt:lpstr>
      <vt:lpstr>inventory summary</vt:lpstr>
      <vt:lpstr>inventory database</vt:lpstr>
      <vt:lpstr>sources</vt:lpstr>
      <vt:lpstr>populations</vt:lpstr>
      <vt:lpstr>constants</vt:lpstr>
      <vt:lpstr>lookup</vt:lpstr>
      <vt:lpstr>units</vt:lpstr>
      <vt:lpstr>acreftTOgal</vt:lpstr>
      <vt:lpstr>acreftTOm3</vt:lpstr>
      <vt:lpstr>acreinTOgal</vt:lpstr>
      <vt:lpstr>acreTOft2</vt:lpstr>
      <vt:lpstr>acreTOha</vt:lpstr>
      <vt:lpstr>acreTOkm2</vt:lpstr>
      <vt:lpstr>acreTOm2</vt:lpstr>
      <vt:lpstr>acreTOmi2</vt:lpstr>
      <vt:lpstr>atmTObar</vt:lpstr>
      <vt:lpstr>atmTOpsi</vt:lpstr>
      <vt:lpstr>barTOPa</vt:lpstr>
      <vt:lpstr>barTOpsi</vt:lpstr>
      <vt:lpstr>bblTOgal</vt:lpstr>
      <vt:lpstr>bblTOL</vt:lpstr>
      <vt:lpstr>Btu.ft3TOMJ.m3</vt:lpstr>
      <vt:lpstr>Btu.hphTOmmBtu.MWh</vt:lpstr>
      <vt:lpstr>Btu.lbTOMJ.kg</vt:lpstr>
      <vt:lpstr>Btu.lbTOmmBtu.ton</vt:lpstr>
      <vt:lpstr>BtuTOcal</vt:lpstr>
      <vt:lpstr>BtuTOJ</vt:lpstr>
      <vt:lpstr>BtuTOkJ</vt:lpstr>
      <vt:lpstr>BtuTOkWh</vt:lpstr>
      <vt:lpstr>BtuTOMJ</vt:lpstr>
      <vt:lpstr>BtuTOtherm</vt:lpstr>
      <vt:lpstr>BtuTOWh</vt:lpstr>
      <vt:lpstr>calTOBtu</vt:lpstr>
      <vt:lpstr>calTOJ</vt:lpstr>
      <vt:lpstr>cmTOin</vt:lpstr>
      <vt:lpstr>databaseRecords</vt:lpstr>
      <vt:lpstr>dayTOmin</vt:lpstr>
      <vt:lpstr>dayTOyr</vt:lpstr>
      <vt:lpstr>EJTOTWh</vt:lpstr>
      <vt:lpstr>ft2TOm2</vt:lpstr>
      <vt:lpstr>ft2TOyd2</vt:lpstr>
      <vt:lpstr>ft3TOgal</vt:lpstr>
      <vt:lpstr>ft3TOL</vt:lpstr>
      <vt:lpstr>ft3TOm3</vt:lpstr>
      <vt:lpstr>ftTOm</vt:lpstr>
      <vt:lpstr>g.hphTOlb.MWh</vt:lpstr>
      <vt:lpstr>g.kWhTOlb.MWh</vt:lpstr>
      <vt:lpstr>galTOacreft</vt:lpstr>
      <vt:lpstr>galTOacrein</vt:lpstr>
      <vt:lpstr>galTObbl</vt:lpstr>
      <vt:lpstr>galTOL</vt:lpstr>
      <vt:lpstr>galTOliter</vt:lpstr>
      <vt:lpstr>galTOm3</vt:lpstr>
      <vt:lpstr>ggeTOBtu</vt:lpstr>
      <vt:lpstr>ggeTOtherm</vt:lpstr>
      <vt:lpstr>GJ.hrTOMW</vt:lpstr>
      <vt:lpstr>GJTOmmBtu</vt:lpstr>
      <vt:lpstr>GJTOMWh</vt:lpstr>
      <vt:lpstr>GJTOtherm</vt:lpstr>
      <vt:lpstr>gpmTOliter.s</vt:lpstr>
      <vt:lpstr>gTOlb</vt:lpstr>
      <vt:lpstr>GWTOkW</vt:lpstr>
      <vt:lpstr>GWTOquad.yr</vt:lpstr>
      <vt:lpstr>GWTOTWh.yr</vt:lpstr>
      <vt:lpstr>haTOacre</vt:lpstr>
      <vt:lpstr>haTOkm2</vt:lpstr>
      <vt:lpstr>hpTOkW</vt:lpstr>
      <vt:lpstr>hrTOday</vt:lpstr>
      <vt:lpstr>hrTOmin</vt:lpstr>
      <vt:lpstr>hrTOs</vt:lpstr>
      <vt:lpstr>hrTOyr</vt:lpstr>
      <vt:lpstr>inTOcm</vt:lpstr>
      <vt:lpstr>inTOmm</vt:lpstr>
      <vt:lpstr>JTOBtu</vt:lpstr>
      <vt:lpstr>JTOcal</vt:lpstr>
      <vt:lpstr>JTOWh</vt:lpstr>
      <vt:lpstr>kcalTOMJ</vt:lpstr>
      <vt:lpstr>kg.GJTOlb.MWh</vt:lpstr>
      <vt:lpstr>kgTOg</vt:lpstr>
      <vt:lpstr>kgTOlb</vt:lpstr>
      <vt:lpstr>kJ.kWhTOmmBtu.MWh</vt:lpstr>
      <vt:lpstr>kJTOBtu</vt:lpstr>
      <vt:lpstr>km.lTOmi.gal</vt:lpstr>
      <vt:lpstr>km2TOacre</vt:lpstr>
      <vt:lpstr>km2TOha</vt:lpstr>
      <vt:lpstr>km2TOm2</vt:lpstr>
      <vt:lpstr>km2TOmi2</vt:lpstr>
      <vt:lpstr>kmTOmi</vt:lpstr>
      <vt:lpstr>kWh.tonTOMJ.kg</vt:lpstr>
      <vt:lpstr>kWhTOBtu</vt:lpstr>
      <vt:lpstr>kWhTOMJ</vt:lpstr>
      <vt:lpstr>kWTOhp</vt:lpstr>
      <vt:lpstr>L.sTOgpm</vt:lpstr>
      <vt:lpstr>lb.mmBtuTOMg.mmBtu</vt:lpstr>
      <vt:lpstr>lb.mmBtuTOng.J</vt:lpstr>
      <vt:lpstr>lb.mmBtuTOTg.quad</vt:lpstr>
      <vt:lpstr>lb.MWhTOg.hph</vt:lpstr>
      <vt:lpstr>lb.MWhTOg.kWh</vt:lpstr>
      <vt:lpstr>lb.MWhTOkg.GJ</vt:lpstr>
      <vt:lpstr>lb.MWhTOton.GWh</vt:lpstr>
      <vt:lpstr>lbTOg</vt:lpstr>
      <vt:lpstr>lbTOkg</vt:lpstr>
      <vt:lpstr>lbTOMg</vt:lpstr>
      <vt:lpstr>lbTON</vt:lpstr>
      <vt:lpstr>lbTOoz</vt:lpstr>
      <vt:lpstr>lbTOton</vt:lpstr>
      <vt:lpstr>LTOft3</vt:lpstr>
      <vt:lpstr>LTOgal</vt:lpstr>
      <vt:lpstr>LTOm3</vt:lpstr>
      <vt:lpstr>lu_EmissionFactors</vt:lpstr>
      <vt:lpstr>m2TOacre</vt:lpstr>
      <vt:lpstr>m2TOft2</vt:lpstr>
      <vt:lpstr>m2TOha</vt:lpstr>
      <vt:lpstr>m2TOkm2</vt:lpstr>
      <vt:lpstr>m3.dayTOgpm</vt:lpstr>
      <vt:lpstr>m3TOacreft</vt:lpstr>
      <vt:lpstr>m3TOft3</vt:lpstr>
      <vt:lpstr>m3TOgal</vt:lpstr>
      <vt:lpstr>m3TOliter</vt:lpstr>
      <vt:lpstr>mi2TOacre</vt:lpstr>
      <vt:lpstr>mi2TOkm2</vt:lpstr>
      <vt:lpstr>minTOday</vt:lpstr>
      <vt:lpstr>miTOkm</vt:lpstr>
      <vt:lpstr>MJ.hrTOkW</vt:lpstr>
      <vt:lpstr>MJ.kgTOBtu.lb</vt:lpstr>
      <vt:lpstr>MJ.kgTOkWh.ton</vt:lpstr>
      <vt:lpstr>MJ.kgTOmmBtu.ton</vt:lpstr>
      <vt:lpstr>MJ.kWhTOmmBtu.MWh</vt:lpstr>
      <vt:lpstr>MJ.m3TOBtu.ft3</vt:lpstr>
      <vt:lpstr>MJTOBtu</vt:lpstr>
      <vt:lpstr>MJTOkcal</vt:lpstr>
      <vt:lpstr>MJTOkWh</vt:lpstr>
      <vt:lpstr>MJTOMWh</vt:lpstr>
      <vt:lpstr>MJTOtherm</vt:lpstr>
      <vt:lpstr>mmBtu.MWhTOBtu.hph</vt:lpstr>
      <vt:lpstr>mmBtu.MWhTOkJ.kWh</vt:lpstr>
      <vt:lpstr>mmBtu.MWhTOMJ.kWh</vt:lpstr>
      <vt:lpstr>mmBtu.tonTOBtu.lb</vt:lpstr>
      <vt:lpstr>mmBtuTOMJ</vt:lpstr>
      <vt:lpstr>mmBtuTOMWh</vt:lpstr>
      <vt:lpstr>mmBtuTOtherm</vt:lpstr>
      <vt:lpstr>mmBtuTOTJ</vt:lpstr>
      <vt:lpstr>mmTOin</vt:lpstr>
      <vt:lpstr>moTOday</vt:lpstr>
      <vt:lpstr>moTOyr</vt:lpstr>
      <vt:lpstr>MtoeTOGWh</vt:lpstr>
      <vt:lpstr>MtoeTOmmBtu</vt:lpstr>
      <vt:lpstr>MtoeTOTJ</vt:lpstr>
      <vt:lpstr>MWaTOMWh</vt:lpstr>
      <vt:lpstr>MWhTOGJ</vt:lpstr>
      <vt:lpstr>MWhTOmmBtu</vt:lpstr>
      <vt:lpstr>MWhTOMWa</vt:lpstr>
      <vt:lpstr>MWhTOTJ</vt:lpstr>
      <vt:lpstr>MWTOGJ.hr</vt:lpstr>
      <vt:lpstr>MWTOkW</vt:lpstr>
      <vt:lpstr>ng.JTOlb.mmBtu</vt:lpstr>
      <vt:lpstr>ozTOkg</vt:lpstr>
      <vt:lpstr>psiTOPa</vt:lpstr>
      <vt:lpstr>quad.yrTOGW</vt:lpstr>
      <vt:lpstr>quadTOEJ</vt:lpstr>
      <vt:lpstr>quadTOTWh</vt:lpstr>
      <vt:lpstr>sTOday</vt:lpstr>
      <vt:lpstr>sTOhr</vt:lpstr>
      <vt:lpstr>sTOyr</vt:lpstr>
      <vt:lpstr>Tg.quadTOlb.mmBtu</vt:lpstr>
      <vt:lpstr>thermTOBtu</vt:lpstr>
      <vt:lpstr>thermTOGJ</vt:lpstr>
      <vt:lpstr>thermTOkWh</vt:lpstr>
      <vt:lpstr>thermTOMJ</vt:lpstr>
      <vt:lpstr>thermTOTJ</vt:lpstr>
      <vt:lpstr>ton.GWhTOlb.MWh</vt:lpstr>
      <vt:lpstr>tonTOkg</vt:lpstr>
      <vt:lpstr>tonTOlb</vt:lpstr>
      <vt:lpstr>tonTOMg</vt:lpstr>
      <vt:lpstr>tonTOt</vt:lpstr>
      <vt:lpstr>tTOkg</vt:lpstr>
      <vt:lpstr>tTOton</vt:lpstr>
      <vt:lpstr>TWh.yrTOGW</vt:lpstr>
      <vt:lpstr>TWhTOEJ</vt:lpstr>
      <vt:lpstr>TWhTOquad</vt:lpstr>
      <vt:lpstr>WhTOBtu</vt:lpstr>
      <vt:lpstr>WhTOJ</vt:lpstr>
      <vt:lpstr>yd2TOft2</vt:lpstr>
      <vt:lpstr>yd3TOm3</vt:lpstr>
      <vt:lpstr>yrTOday</vt:lpstr>
      <vt:lpstr>yrTOhr</vt:lpstr>
      <vt:lpstr>yrTOmo</vt:lpstr>
      <vt:lpstr>yrTOs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Roel Hammerschlag</dc:creator>
  <cp:lastModifiedBy>David M. Ogrodnik</cp:lastModifiedBy>
  <cp:lastPrinted>2015-09-02T22:13:26Z</cp:lastPrinted>
  <dcterms:created xsi:type="dcterms:W3CDTF">2013-08-30T21:33:16Z</dcterms:created>
  <dcterms:modified xsi:type="dcterms:W3CDTF">2017-04-28T19:40:45Z</dcterms:modified>
</cp:coreProperties>
</file>