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jenniferandrews/Downloads/"/>
    </mc:Choice>
  </mc:AlternateContent>
  <xr:revisionPtr revIDLastSave="0" documentId="13_ncr:1_{E529A03A-5372-7645-A8E5-CB3030B5136F}" xr6:coauthVersionLast="45" xr6:coauthVersionMax="45" xr10:uidLastSave="{00000000-0000-0000-0000-000000000000}"/>
  <bookViews>
    <workbookView xWindow="0" yWindow="460" windowWidth="19420" windowHeight="10420" activeTab="1" xr2:uid="{F3DF9163-236C-4BF8-B126-D6DFCDE543AD}"/>
  </bookViews>
  <sheets>
    <sheet name="Data Numbers" sheetId="5" r:id="rId1"/>
    <sheet name="Revised Carbon Footprint" sheetId="10" r:id="rId2"/>
    <sheet name="Chart1" sheetId="6" r:id="rId3"/>
    <sheet name="Updated gas and diesel EFs" sheetId="9" r:id="rId4"/>
    <sheet name="7. Emissions" sheetId="7" r:id="rId5"/>
    <sheet name="CA-CP Vs. UC" sheetId="8" r:id="rId6"/>
  </sheets>
  <definedNames>
    <definedName name="_xlnm.Print_Titles" localSheetId="4">'7. Emissions'!$1:$3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0" l="1"/>
  <c r="F183" i="5"/>
  <c r="F182" i="5"/>
  <c r="AB6" i="10" l="1"/>
  <c r="AB7" i="10"/>
  <c r="AB8" i="10"/>
  <c r="AB9" i="10"/>
  <c r="AB10" i="10"/>
  <c r="AB11" i="10"/>
  <c r="AB12" i="10"/>
  <c r="AB13" i="10"/>
  <c r="AB14" i="10"/>
  <c r="AB5" i="10"/>
  <c r="C182" i="5" l="1"/>
  <c r="E15" i="10" l="1"/>
  <c r="D18" i="5" l="1"/>
  <c r="D17" i="5"/>
  <c r="D34" i="5"/>
  <c r="D33" i="5"/>
  <c r="D50" i="5"/>
  <c r="D49" i="5"/>
  <c r="D66" i="5"/>
  <c r="D65" i="5"/>
  <c r="D82" i="5"/>
  <c r="D81" i="5"/>
  <c r="D98" i="5"/>
  <c r="D97" i="5"/>
  <c r="D114" i="5"/>
  <c r="D113" i="5"/>
  <c r="D130" i="5"/>
  <c r="D129" i="5"/>
  <c r="D146" i="5"/>
  <c r="D145" i="5"/>
  <c r="D162" i="5"/>
  <c r="D161" i="5"/>
  <c r="D178" i="5"/>
  <c r="D177" i="5"/>
  <c r="F181" i="5" l="1"/>
  <c r="F234" i="5"/>
  <c r="E5" i="10" l="1"/>
  <c r="E6" i="10"/>
  <c r="E7" i="10"/>
  <c r="E8" i="10"/>
  <c r="E9" i="10"/>
  <c r="E10" i="10"/>
  <c r="E11" i="10"/>
  <c r="E12" i="10"/>
  <c r="E13" i="10"/>
  <c r="E14" i="10"/>
  <c r="E4" i="10"/>
  <c r="D182" i="5"/>
  <c r="X5" i="10" l="1"/>
  <c r="X6" i="10"/>
  <c r="X7" i="10"/>
  <c r="X8" i="10"/>
  <c r="X9" i="10"/>
  <c r="X10" i="10"/>
  <c r="X11" i="10"/>
  <c r="X12" i="10"/>
  <c r="X13" i="10"/>
  <c r="X14" i="10"/>
  <c r="X15" i="10"/>
  <c r="X4" i="10"/>
  <c r="I14" i="10"/>
  <c r="W14" i="10" s="1"/>
  <c r="I13" i="10"/>
  <c r="W13" i="10" s="1"/>
  <c r="I12" i="10"/>
  <c r="W12" i="10" s="1"/>
  <c r="I11" i="10"/>
  <c r="W11" i="10" s="1"/>
  <c r="I10" i="10"/>
  <c r="W10" i="10" s="1"/>
  <c r="I9" i="10"/>
  <c r="W9" i="10" s="1"/>
  <c r="I8" i="10"/>
  <c r="W8" i="10" s="1"/>
  <c r="I7" i="10"/>
  <c r="W7" i="10" s="1"/>
  <c r="I6" i="10"/>
  <c r="W6" i="10" s="1"/>
  <c r="I5" i="10"/>
  <c r="W5" i="10" s="1"/>
  <c r="I4" i="10"/>
  <c r="W4" i="10" s="1"/>
  <c r="D4" i="10"/>
  <c r="D5" i="10"/>
  <c r="D6" i="10"/>
  <c r="D7" i="10"/>
  <c r="V7" i="10" s="1"/>
  <c r="D8" i="10"/>
  <c r="D9" i="10"/>
  <c r="D10" i="10"/>
  <c r="D11" i="10"/>
  <c r="D12" i="10"/>
  <c r="D13" i="10"/>
  <c r="D14" i="10"/>
  <c r="D15" i="10"/>
  <c r="C15" i="10"/>
  <c r="V15" i="10" s="1"/>
  <c r="C14" i="10"/>
  <c r="V14" i="10" s="1"/>
  <c r="C13" i="10"/>
  <c r="V13" i="10" s="1"/>
  <c r="C12" i="10"/>
  <c r="V12" i="10" s="1"/>
  <c r="C11" i="10"/>
  <c r="V11" i="10" s="1"/>
  <c r="C10" i="10"/>
  <c r="V10" i="10" s="1"/>
  <c r="C9" i="10"/>
  <c r="V9" i="10" s="1"/>
  <c r="C8" i="10"/>
  <c r="C7" i="10"/>
  <c r="C6" i="10"/>
  <c r="V6" i="10" s="1"/>
  <c r="C5" i="10"/>
  <c r="C4" i="10"/>
  <c r="V4" i="10" s="1"/>
  <c r="AA4" i="10" l="1"/>
  <c r="V5" i="10"/>
  <c r="V8" i="10"/>
  <c r="AA12" i="10"/>
  <c r="AA13" i="10"/>
  <c r="AA11" i="10"/>
  <c r="AA10" i="10"/>
  <c r="AA9" i="10"/>
  <c r="AA8" i="10"/>
  <c r="AA14" i="10"/>
  <c r="AA7" i="10"/>
  <c r="AA6" i="10"/>
  <c r="AA5" i="10"/>
  <c r="G181" i="5" l="1"/>
  <c r="G182" i="5" s="1"/>
  <c r="E182" i="5" l="1"/>
  <c r="H199" i="5" l="1"/>
  <c r="G199" i="5"/>
  <c r="E22" i="9" l="1"/>
  <c r="E23" i="9"/>
  <c r="E24" i="9"/>
  <c r="E25" i="9"/>
  <c r="E26" i="9"/>
  <c r="E27" i="9"/>
  <c r="E28" i="9"/>
  <c r="E29" i="9"/>
  <c r="E30" i="9"/>
  <c r="E31" i="9"/>
  <c r="E32" i="9"/>
  <c r="E33" i="9"/>
  <c r="E16" i="9"/>
  <c r="E15" i="9"/>
  <c r="E14" i="9"/>
  <c r="E13" i="9"/>
  <c r="E12" i="9"/>
  <c r="E11" i="9"/>
  <c r="E10" i="9"/>
  <c r="E9" i="9"/>
  <c r="E8" i="9"/>
  <c r="E7" i="9"/>
  <c r="E6" i="9"/>
  <c r="E5" i="9"/>
  <c r="N215" i="5"/>
  <c r="N214" i="5"/>
  <c r="N213" i="5"/>
  <c r="N212" i="5"/>
  <c r="N211" i="5"/>
  <c r="N210" i="5"/>
  <c r="N209" i="5"/>
  <c r="N208" i="5"/>
  <c r="N207" i="5"/>
  <c r="N206" i="5"/>
  <c r="N205" i="5"/>
  <c r="N216" i="5"/>
  <c r="E197" i="5" l="1"/>
  <c r="E196" i="5"/>
  <c r="E195" i="5"/>
  <c r="E194" i="5"/>
  <c r="E193" i="5"/>
  <c r="E192" i="5"/>
  <c r="E191" i="5"/>
  <c r="E190" i="5"/>
  <c r="E189" i="5"/>
  <c r="E188" i="5"/>
  <c r="E187" i="5"/>
  <c r="E186" i="5"/>
  <c r="E199" i="5" l="1"/>
  <c r="F15" i="8"/>
  <c r="W15" i="10" l="1"/>
  <c r="AA15" i="10" s="1"/>
  <c r="AB15" i="10" s="1"/>
  <c r="I182" i="5"/>
  <c r="M15" i="8"/>
  <c r="N15" i="8" s="1"/>
  <c r="J15" i="8"/>
  <c r="K15" i="8" s="1"/>
  <c r="D15" i="8"/>
  <c r="E15" i="8" s="1"/>
  <c r="Q21" i="5" l="1"/>
  <c r="Q22" i="5"/>
  <c r="Q23" i="5"/>
  <c r="Q24" i="5"/>
  <c r="Q25" i="5"/>
  <c r="Q26" i="5"/>
  <c r="Q27" i="5"/>
  <c r="Q28" i="5"/>
  <c r="Q29" i="5"/>
  <c r="Q30" i="5"/>
  <c r="Q31" i="5"/>
  <c r="Q32" i="5"/>
  <c r="Q37" i="5"/>
  <c r="Q38" i="5"/>
  <c r="Q39" i="5"/>
  <c r="Q40" i="5"/>
  <c r="Q41" i="5"/>
  <c r="Q42" i="5"/>
  <c r="Q43" i="5"/>
  <c r="Q44" i="5"/>
  <c r="Q45" i="5"/>
  <c r="Q46" i="5"/>
  <c r="Q47" i="5"/>
  <c r="Q48" i="5"/>
  <c r="Q45" i="7" l="1"/>
  <c r="C188" i="5"/>
  <c r="C189" i="5"/>
  <c r="C190" i="5"/>
  <c r="C191" i="5"/>
  <c r="C192" i="5"/>
  <c r="C193" i="5"/>
  <c r="C194" i="5"/>
  <c r="C195" i="5"/>
  <c r="C196" i="5"/>
  <c r="C197" i="5"/>
  <c r="C199" i="5" s="1"/>
  <c r="C187" i="5"/>
  <c r="C186" i="5"/>
  <c r="Q44" i="7"/>
  <c r="Q43" i="7"/>
  <c r="Q42" i="7"/>
  <c r="Q41" i="7"/>
  <c r="Q40" i="7"/>
  <c r="Q39" i="7"/>
  <c r="Q38" i="7"/>
  <c r="Q37" i="7"/>
  <c r="Q36" i="7"/>
  <c r="Q35" i="7"/>
  <c r="Q34" i="7"/>
  <c r="Q33" i="7"/>
  <c r="B28" i="7"/>
  <c r="C28" i="7"/>
  <c r="D28" i="7"/>
  <c r="E28" i="7"/>
  <c r="F28" i="7"/>
  <c r="G28" i="7"/>
  <c r="H28" i="7"/>
  <c r="I28" i="7"/>
  <c r="I30" i="7" s="1"/>
  <c r="J28" i="7"/>
  <c r="J30" i="7" s="1"/>
  <c r="K28" i="7"/>
  <c r="K30" i="7" s="1"/>
  <c r="L28" i="7"/>
  <c r="L30" i="7" s="1"/>
  <c r="M28" i="7"/>
  <c r="M30" i="7" s="1"/>
  <c r="N28" i="7"/>
  <c r="O28" i="7"/>
  <c r="P28" i="7"/>
  <c r="Q28" i="7"/>
  <c r="R28" i="7"/>
  <c r="S28" i="7"/>
  <c r="T28" i="7"/>
  <c r="U28" i="7"/>
  <c r="U30" i="7" s="1"/>
  <c r="V28" i="7"/>
  <c r="V30" i="7" s="1"/>
  <c r="W28" i="7"/>
  <c r="W30" i="7" s="1"/>
  <c r="X28" i="7"/>
  <c r="X30" i="7" s="1"/>
  <c r="Y28" i="7"/>
  <c r="Y30" i="7" s="1"/>
  <c r="Z28" i="7"/>
  <c r="AA28" i="7"/>
  <c r="AB28" i="7"/>
  <c r="AC28" i="7"/>
  <c r="AD28" i="7"/>
  <c r="B30" i="7"/>
  <c r="C30" i="7"/>
  <c r="D30" i="7"/>
  <c r="E30" i="7"/>
  <c r="F30" i="7"/>
  <c r="G30" i="7"/>
  <c r="H30" i="7"/>
  <c r="N30" i="7"/>
  <c r="O30" i="7"/>
  <c r="P30" i="7"/>
  <c r="Q30" i="7"/>
  <c r="R30" i="7"/>
  <c r="S30" i="7"/>
  <c r="T30" i="7"/>
  <c r="Z30" i="7"/>
  <c r="AA30" i="7"/>
  <c r="AB30" i="7"/>
  <c r="AC30" i="7"/>
  <c r="AD30" i="7"/>
  <c r="R54" i="5" l="1"/>
  <c r="R55" i="5"/>
  <c r="R56" i="5"/>
  <c r="R57" i="5"/>
  <c r="R58" i="5"/>
  <c r="R59" i="5"/>
  <c r="R60" i="5"/>
  <c r="R61" i="5"/>
  <c r="R62" i="5"/>
  <c r="R63" i="5"/>
  <c r="H182" i="5"/>
  <c r="H178" i="5"/>
  <c r="H162" i="5"/>
  <c r="H146" i="5"/>
  <c r="H130" i="5"/>
  <c r="H114" i="5"/>
  <c r="H98" i="5"/>
  <c r="H82" i="5"/>
  <c r="H66" i="5"/>
  <c r="H50" i="5"/>
  <c r="H34" i="5"/>
  <c r="H18" i="5"/>
  <c r="O52" i="5" l="1"/>
  <c r="F17" i="5"/>
  <c r="E17" i="5"/>
  <c r="C17" i="5"/>
  <c r="F33" i="5"/>
  <c r="E33" i="5"/>
  <c r="C33" i="5"/>
  <c r="F49" i="5"/>
  <c r="E49" i="5"/>
  <c r="C49" i="5"/>
  <c r="F65" i="5"/>
  <c r="E65" i="5"/>
  <c r="C65" i="5"/>
  <c r="F81" i="5"/>
  <c r="E81" i="5"/>
  <c r="C81" i="5"/>
  <c r="F97" i="5"/>
  <c r="E97" i="5"/>
  <c r="C97" i="5"/>
  <c r="F113" i="5"/>
  <c r="E113" i="5"/>
  <c r="C113" i="5"/>
  <c r="F129" i="5"/>
  <c r="E129" i="5"/>
  <c r="C129" i="5"/>
  <c r="F145" i="5"/>
  <c r="E145" i="5"/>
  <c r="C145" i="5"/>
  <c r="F161" i="5"/>
  <c r="E161" i="5"/>
  <c r="C161" i="5"/>
  <c r="E177" i="5"/>
  <c r="F177" i="5"/>
  <c r="C177" i="5"/>
  <c r="F130" i="5" l="1"/>
  <c r="M11" i="8"/>
  <c r="N11" i="8" s="1"/>
  <c r="D14" i="8"/>
  <c r="E14" i="8" s="1"/>
  <c r="C178" i="5"/>
  <c r="D10" i="8"/>
  <c r="E10" i="8" s="1"/>
  <c r="C114" i="5"/>
  <c r="E114" i="5"/>
  <c r="I114" i="5" s="1"/>
  <c r="O35" i="5" s="1"/>
  <c r="J10" i="8"/>
  <c r="K10" i="8" s="1"/>
  <c r="D13" i="8"/>
  <c r="E13" i="8" s="1"/>
  <c r="C162" i="5"/>
  <c r="E130" i="5"/>
  <c r="I130" i="5" s="1"/>
  <c r="O36" i="5" s="1"/>
  <c r="J11" i="8"/>
  <c r="K11" i="8" s="1"/>
  <c r="F114" i="5"/>
  <c r="M10" i="8"/>
  <c r="N10" i="8" s="1"/>
  <c r="D4" i="8"/>
  <c r="E4" i="8" s="1"/>
  <c r="C18" i="5"/>
  <c r="I18" i="5" s="1"/>
  <c r="O17" i="5" s="1"/>
  <c r="P52" i="5" s="1"/>
  <c r="E66" i="5"/>
  <c r="J7" i="8"/>
  <c r="K7" i="8" s="1"/>
  <c r="F178" i="5"/>
  <c r="I178" i="5" s="1"/>
  <c r="O51" i="5" s="1"/>
  <c r="M14" i="8"/>
  <c r="N14" i="8" s="1"/>
  <c r="E50" i="5"/>
  <c r="I50" i="5" s="1"/>
  <c r="O19" i="5" s="1"/>
  <c r="J6" i="8"/>
  <c r="K6" i="8" s="1"/>
  <c r="D5" i="8"/>
  <c r="E5" i="8" s="1"/>
  <c r="C34" i="5"/>
  <c r="I34" i="5" s="1"/>
  <c r="O18" i="5" s="1"/>
  <c r="E18" i="5"/>
  <c r="J4" i="8"/>
  <c r="K4" i="8" s="1"/>
  <c r="D6" i="8"/>
  <c r="E6" i="8" s="1"/>
  <c r="C50" i="5"/>
  <c r="E178" i="5"/>
  <c r="J14" i="8"/>
  <c r="K14" i="8" s="1"/>
  <c r="F50" i="5"/>
  <c r="M6" i="8"/>
  <c r="N6" i="8" s="1"/>
  <c r="D9" i="8"/>
  <c r="E9" i="8" s="1"/>
  <c r="C98" i="5"/>
  <c r="I98" i="5" s="1"/>
  <c r="O34" i="5" s="1"/>
  <c r="E162" i="5"/>
  <c r="I162" i="5" s="1"/>
  <c r="O50" i="5" s="1"/>
  <c r="J13" i="8"/>
  <c r="K13" i="8" s="1"/>
  <c r="E98" i="5"/>
  <c r="J9" i="8"/>
  <c r="K9" i="8" s="1"/>
  <c r="F162" i="5"/>
  <c r="M13" i="8"/>
  <c r="N13" i="8" s="1"/>
  <c r="F34" i="5"/>
  <c r="M5" i="8"/>
  <c r="N5" i="8" s="1"/>
  <c r="D8" i="8"/>
  <c r="E8" i="8" s="1"/>
  <c r="C82" i="5"/>
  <c r="I82" i="5" s="1"/>
  <c r="O33" i="5" s="1"/>
  <c r="F146" i="5"/>
  <c r="M12" i="8"/>
  <c r="N12" i="8" s="1"/>
  <c r="F18" i="5"/>
  <c r="M4" i="8"/>
  <c r="N4" i="8" s="1"/>
  <c r="F66" i="5"/>
  <c r="M7" i="8"/>
  <c r="N7" i="8" s="1"/>
  <c r="E34" i="5"/>
  <c r="J5" i="8"/>
  <c r="K5" i="8" s="1"/>
  <c r="F98" i="5"/>
  <c r="M9" i="8"/>
  <c r="N9" i="8" s="1"/>
  <c r="D12" i="8"/>
  <c r="E12" i="8" s="1"/>
  <c r="C146" i="5"/>
  <c r="E146" i="5"/>
  <c r="J12" i="8"/>
  <c r="K12" i="8" s="1"/>
  <c r="E82" i="5"/>
  <c r="J8" i="8"/>
  <c r="K8" i="8" s="1"/>
  <c r="F82" i="5"/>
  <c r="M8" i="8"/>
  <c r="N8" i="8" s="1"/>
  <c r="D11" i="8"/>
  <c r="E11" i="8" s="1"/>
  <c r="C130" i="5"/>
  <c r="D7" i="8"/>
  <c r="E7" i="8" s="1"/>
  <c r="C66" i="5"/>
  <c r="Q52" i="5"/>
  <c r="R53" i="5"/>
  <c r="I146" i="5"/>
  <c r="O49" i="5" s="1"/>
  <c r="I66" i="5"/>
  <c r="O20" i="5" s="1"/>
  <c r="Q33" i="5" l="1"/>
  <c r="P33" i="5"/>
  <c r="Q35" i="5"/>
  <c r="P35" i="5"/>
  <c r="Q51" i="5"/>
  <c r="P51" i="5"/>
  <c r="Q49" i="5"/>
  <c r="P49" i="5"/>
  <c r="Q20" i="5"/>
  <c r="P20" i="5"/>
  <c r="Q19" i="5"/>
  <c r="P19" i="5"/>
  <c r="Q17" i="5"/>
  <c r="P31" i="5"/>
  <c r="P43" i="5"/>
  <c r="P32" i="5"/>
  <c r="P21" i="5"/>
  <c r="P45" i="5"/>
  <c r="P46" i="5"/>
  <c r="P23" i="5"/>
  <c r="P24" i="5"/>
  <c r="P26" i="5"/>
  <c r="P39" i="5"/>
  <c r="P44" i="5"/>
  <c r="P22" i="5"/>
  <c r="P47" i="5"/>
  <c r="P37" i="5"/>
  <c r="P38" i="5"/>
  <c r="P40" i="5"/>
  <c r="P41" i="5"/>
  <c r="P42" i="5"/>
  <c r="P25" i="5"/>
  <c r="P27" i="5"/>
  <c r="P29" i="5"/>
  <c r="P30" i="5"/>
  <c r="P48" i="5"/>
  <c r="P28" i="5"/>
  <c r="Q18" i="5"/>
  <c r="P18" i="5"/>
  <c r="Q50" i="5"/>
  <c r="P50" i="5"/>
  <c r="Q34" i="5"/>
  <c r="P34" i="5"/>
  <c r="Q36" i="5"/>
  <c r="P36" i="5"/>
</calcChain>
</file>

<file path=xl/sharedStrings.xml><?xml version="1.0" encoding="utf-8"?>
<sst xmlns="http://schemas.openxmlformats.org/spreadsheetml/2006/main" count="448" uniqueCount="201">
  <si>
    <t>FY08</t>
  </si>
  <si>
    <t>NRGUSA Gas Usage</t>
  </si>
  <si>
    <t>Coal Usage</t>
  </si>
  <si>
    <t>Duke Elec Usage</t>
  </si>
  <si>
    <t>FY09</t>
  </si>
  <si>
    <t>FY10</t>
  </si>
  <si>
    <t>FY11</t>
  </si>
  <si>
    <t>Duke Elec. Usage</t>
  </si>
  <si>
    <t xml:space="preserve">Total </t>
  </si>
  <si>
    <t>FY12</t>
  </si>
  <si>
    <t>C.EnergyGas Usage</t>
  </si>
  <si>
    <t>FY13</t>
  </si>
  <si>
    <t>FY14</t>
  </si>
  <si>
    <t>FY15</t>
  </si>
  <si>
    <t>EnergyGas Usage</t>
  </si>
  <si>
    <t>FY16</t>
  </si>
  <si>
    <t>FY17</t>
  </si>
  <si>
    <t>FY18</t>
  </si>
  <si>
    <t>Natural Gas MMBTU to CO2 Emission MTCO2e</t>
  </si>
  <si>
    <t>Electric kWh to CO2 Emission MTCO2e</t>
  </si>
  <si>
    <t>Coal Short Ton to CO2 Emission MTCO2e</t>
  </si>
  <si>
    <t>MMBTU</t>
  </si>
  <si>
    <t>CO2</t>
  </si>
  <si>
    <t>Conversion Factors CO2</t>
  </si>
  <si>
    <t>FY19</t>
  </si>
  <si>
    <t>Coal</t>
  </si>
  <si>
    <t xml:space="preserve">Electric </t>
  </si>
  <si>
    <t>NRGUSA Usage</t>
  </si>
  <si>
    <t>kWh</t>
  </si>
  <si>
    <t>Year</t>
  </si>
  <si>
    <t>Total CO2 (MTCO2e)</t>
  </si>
  <si>
    <t>UC Fuel Data FY 09 - FY 19</t>
  </si>
  <si>
    <t>Short Ton</t>
  </si>
  <si>
    <t>Chart Data</t>
  </si>
  <si>
    <t>UC + Non UC</t>
  </si>
  <si>
    <t>UC Only</t>
  </si>
  <si>
    <t>Change Since FY 08</t>
  </si>
  <si>
    <t>MT/kWh</t>
  </si>
  <si>
    <t>lbs/kWh</t>
  </si>
  <si>
    <t>Source: Calculations made by the Electric Power Systems and Reliability Team; Office of Electricity,   Renewables, and Uranium Statistics; U.S. Energy Information Administration. https://www.eia.gov/electricity/state/ohio/</t>
  </si>
  <si>
    <t>Carbon dioxide</t>
  </si>
  <si>
    <t>Nitrogen oxide</t>
  </si>
  <si>
    <t>Sulfur dioxide</t>
  </si>
  <si>
    <t xml:space="preserve"> </t>
  </si>
  <si>
    <t>Total emission rate (lbs/MWh)</t>
  </si>
  <si>
    <t>Total</t>
  </si>
  <si>
    <t>Petroleum</t>
  </si>
  <si>
    <t>Other</t>
  </si>
  <si>
    <t>Natural gas</t>
  </si>
  <si>
    <t>Carbon dioxide (thousand metric tons)</t>
  </si>
  <si>
    <t>Nitrogen oxide (short tons)</t>
  </si>
  <si>
    <t>Sulfur dioxide (short tons)</t>
  </si>
  <si>
    <t xml:space="preserve"> 
2018</t>
  </si>
  <si>
    <t xml:space="preserve"> 
2017</t>
  </si>
  <si>
    <t xml:space="preserve"> 
2016</t>
  </si>
  <si>
    <t xml:space="preserve"> 
2015</t>
  </si>
  <si>
    <t xml:space="preserve"> 
2014</t>
  </si>
  <si>
    <t xml:space="preserve"> 
2013</t>
  </si>
  <si>
    <t xml:space="preserve"> 
2012</t>
  </si>
  <si>
    <t xml:space="preserve"> 
2011</t>
  </si>
  <si>
    <t xml:space="preserve"> 
2010</t>
  </si>
  <si>
    <t xml:space="preserve"> 
2009</t>
  </si>
  <si>
    <t xml:space="preserve"> 
2008</t>
  </si>
  <si>
    <t xml:space="preserve"> 
2007</t>
  </si>
  <si>
    <t xml:space="preserve"> 
2006</t>
  </si>
  <si>
    <t xml:space="preserve"> 
2005</t>
  </si>
  <si>
    <t xml:space="preserve"> 
2004</t>
  </si>
  <si>
    <t xml:space="preserve"> 
2003</t>
  </si>
  <si>
    <t xml:space="preserve"> 
2002</t>
  </si>
  <si>
    <t xml:space="preserve"> 
2001</t>
  </si>
  <si>
    <t xml:space="preserve"> 
2000</t>
  </si>
  <si>
    <t xml:space="preserve"> 
1999</t>
  </si>
  <si>
    <t xml:space="preserve"> 
1998</t>
  </si>
  <si>
    <t xml:space="preserve"> 
1997</t>
  </si>
  <si>
    <t xml:space="preserve"> 
1996</t>
  </si>
  <si>
    <t xml:space="preserve"> 
1995</t>
  </si>
  <si>
    <t xml:space="preserve"> 
1994</t>
  </si>
  <si>
    <t xml:space="preserve"> 
1993</t>
  </si>
  <si>
    <t xml:space="preserve"> 
1992</t>
  </si>
  <si>
    <t xml:space="preserve"> 
1991</t>
  </si>
  <si>
    <t xml:space="preserve"> 
1990</t>
  </si>
  <si>
    <t>Emission type</t>
  </si>
  <si>
    <t>Ohio</t>
  </si>
  <si>
    <t>Table 7. Electric power industry emissions estimates, 1990 through 2018</t>
  </si>
  <si>
    <t>FY 2009</t>
  </si>
  <si>
    <t>FY2010</t>
  </si>
  <si>
    <t>FY 2011</t>
  </si>
  <si>
    <t>FY 2012</t>
  </si>
  <si>
    <t>FY 2008</t>
  </si>
  <si>
    <t>FY 2013</t>
  </si>
  <si>
    <t>FY 2014</t>
  </si>
  <si>
    <t>FY 2015</t>
  </si>
  <si>
    <t>FY 2016</t>
  </si>
  <si>
    <t>FY 2017</t>
  </si>
  <si>
    <t>FY 2018</t>
  </si>
  <si>
    <t>FY 2019</t>
  </si>
  <si>
    <t>Placeholder</t>
  </si>
  <si>
    <t>See Below</t>
  </si>
  <si>
    <t>Electricity Grid Factor (MTCO2e / kWh)*</t>
  </si>
  <si>
    <t>*Averaged between relevant calendar years to get Fiscal Years</t>
  </si>
  <si>
    <t>*Source: CA-CP Planet EF_ECO2 Factors</t>
  </si>
  <si>
    <t>Natural Gas Factor (MTCO2e / MMBtu)*</t>
  </si>
  <si>
    <t>FY2008</t>
  </si>
  <si>
    <t>FY2009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</si>
  <si>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</si>
  <si>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</si>
  <si>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</si>
  <si>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</si>
  <si>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</si>
  <si>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</si>
  <si>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</si>
  <si>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</si>
  <si>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</si>
  <si>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Fiscal Year (FY)</t>
  </si>
  <si>
    <t>Natural Gas CA-CP Utililes (CA-CP) MMBtu</t>
  </si>
  <si>
    <t>Natural Gas CA-CP Utililes (New) MMBtu</t>
  </si>
  <si>
    <t>Natural Gas CA-CP Buildings (CA-CP) MMBtu</t>
  </si>
  <si>
    <t>Natural Gas CA-CP Buildings (New) MMBtu</t>
  </si>
  <si>
    <t>Natural Gas CA-CP Coal (CA-CP) Short Tons</t>
  </si>
  <si>
    <t>Natural Gas CA-CP Coal (New) Short Tons</t>
  </si>
  <si>
    <t>Data Inputs CA-CP Data Vs. New Data</t>
  </si>
  <si>
    <t>Electricity (CA-CP) kWh</t>
  </si>
  <si>
    <t>Electricity (New) kWh</t>
  </si>
  <si>
    <t>"+ or -"</t>
  </si>
  <si>
    <t>Percentage of Energy Non-UC</t>
  </si>
  <si>
    <t>SIMAP updated #s (MTCDE/kWh)</t>
  </si>
  <si>
    <t>CO2 Residual 2019</t>
  </si>
  <si>
    <t>eCO2</t>
  </si>
  <si>
    <t>kg CO2/kWh</t>
  </si>
  <si>
    <t>kg CH4/kWh</t>
  </si>
  <si>
    <t>CH4 2019 version Efs</t>
  </si>
  <si>
    <t>N20 2019 version Efs</t>
  </si>
  <si>
    <t>kg N2O/kWh</t>
  </si>
  <si>
    <t>kg MTCDE/kWH</t>
  </si>
  <si>
    <t xml:space="preserve">RFCW grid region </t>
  </si>
  <si>
    <t>CH4 GWP (AR5)</t>
  </si>
  <si>
    <t>N20 GWP (AR5)</t>
  </si>
  <si>
    <t>SIMAP updated #s (MTCDE/short ton)</t>
  </si>
  <si>
    <t>Coal (Steam)</t>
  </si>
  <si>
    <t>CO2 2019 version</t>
  </si>
  <si>
    <t>kg CO2/short ton</t>
  </si>
  <si>
    <t>kg CH4/short ton</t>
  </si>
  <si>
    <t>kg N2O/short ton</t>
  </si>
  <si>
    <t>kg eCO2/short ton</t>
  </si>
  <si>
    <t>Coal Factor (MTCDE/short ton)*</t>
  </si>
  <si>
    <t>kg CO2/gallon</t>
  </si>
  <si>
    <t>kg CH4/gallon</t>
  </si>
  <si>
    <t>kg N2O/gallon</t>
  </si>
  <si>
    <t>kg eCO2/gallon</t>
  </si>
  <si>
    <t>Gasoline</t>
  </si>
  <si>
    <t>Diesel</t>
  </si>
  <si>
    <t>kWhs</t>
  </si>
  <si>
    <t>Month</t>
  </si>
  <si>
    <t xml:space="preserve">Total Wind REC Purchases FY 2019 </t>
  </si>
  <si>
    <t>UC Satellite Campus Buildings</t>
  </si>
  <si>
    <t>Wind RECs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</si>
  <si>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</si>
  <si>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</si>
  <si>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</si>
  <si>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</si>
  <si>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</si>
  <si>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</si>
  <si>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</si>
  <si>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</si>
  <si>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</si>
  <si>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</si>
  <si>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</si>
  <si>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</si>
  <si>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Faculty / Staff Commuting</t>
  </si>
  <si>
    <t>Student Commuting</t>
  </si>
  <si>
    <t>Directly Financed Air Travel</t>
  </si>
  <si>
    <t>Other Directly Financed Travel</t>
  </si>
  <si>
    <t>Study Abroad Air Travel</t>
  </si>
  <si>
    <t>Student Travel to/from Home (OPTIONAL)</t>
  </si>
  <si>
    <t>Solid Waste</t>
  </si>
  <si>
    <t>Wastewater</t>
  </si>
  <si>
    <t xml:space="preserve">Paper Purchasing </t>
  </si>
  <si>
    <t>Scope 2 T&amp;D Losses</t>
  </si>
  <si>
    <t>Additional</t>
  </si>
  <si>
    <t>Non-Additional</t>
  </si>
  <si>
    <t>Total Scope 1</t>
  </si>
  <si>
    <t>Total Scope 2</t>
  </si>
  <si>
    <t>Total Scope 3</t>
  </si>
  <si>
    <t>Biogenic</t>
  </si>
  <si>
    <t>Total Offsets</t>
  </si>
  <si>
    <t>Purchased Electricity</t>
  </si>
  <si>
    <t>Direct Transportation</t>
  </si>
  <si>
    <t>Refrigerants &amp; Chemicals</t>
  </si>
  <si>
    <t>Agriculture</t>
  </si>
  <si>
    <t>Central Plant Natural Gas</t>
  </si>
  <si>
    <t>Building Natural Gas</t>
  </si>
  <si>
    <t>Fiscal Years (FY)</t>
  </si>
  <si>
    <t>Scope 1</t>
  </si>
  <si>
    <t>Scope 2</t>
  </si>
  <si>
    <t>Scope 3</t>
  </si>
  <si>
    <t>Natural Gas Central Plant</t>
  </si>
  <si>
    <t>Natural Gas Buildings</t>
  </si>
  <si>
    <t>Electricity Usage for 1819 Building for FY19</t>
  </si>
  <si>
    <t>Additional Building</t>
  </si>
  <si>
    <t>Percentage Reduced</t>
  </si>
  <si>
    <t>Adjusted (Market Based)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</si>
</sst>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"/>
    <numFmt numFmtId="166" formatCode="#,##0;[Red]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30"/>
      <name val="Arial"/>
      <family val="2"/>
    </font>
    <font>
      <sz val="8"/>
      <name val="Calibri"/>
      <family val="2"/>
      <scheme val="minor"/>
    </font>
    <font>
      <sz val="14"/>
      <color rgb="FF333333"/>
      <name val="Helvetica Neue"/>
      <family val="2"/>
    </font>
    <font>
      <b/>
      <sz val="14"/>
      <color rgb="FF333333"/>
      <name val="Helvetica Neue"/>
      <family val="2"/>
    </font>
    <font>
      <sz val="11"/>
      <color rgb="FF333333"/>
      <name val="Helvetica Neue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8"/>
      <name val="Century Schoolbook"/>
      <family val="1"/>
    </font>
    <font>
      <b/>
      <sz val="8"/>
      <color theme="0"/>
      <name val="Century Schoolbook"/>
      <family val="1"/>
    </font>
    <font>
      <b/>
      <sz val="11"/>
      <color rgb="FFFF0000"/>
      <name val="Calibri"/>
      <family val="2"/>
      <scheme val="minor"/>
    </font>
    <font>
      <sz val="8"/>
      <color rgb="FFFF0000"/>
      <name val="Century Schoolbook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2FA"/>
        <bgColor indexed="64"/>
      </patternFill>
    </fill>
    <fill>
      <patternFill patternType="solid">
        <fgColor rgb="FFD8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9B9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3" fontId="3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9" fontId="0" fillId="0" borderId="0" xfId="4" applyFont="1" applyAlignment="1">
      <alignment horizontal="center" vertical="center"/>
    </xf>
    <xf numFmtId="3" fontId="0" fillId="0" borderId="0" xfId="4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left" wrapText="1"/>
    </xf>
    <xf numFmtId="165" fontId="9" fillId="0" borderId="4" xfId="0" applyNumberFormat="1" applyFont="1" applyBorder="1" applyAlignment="1">
      <alignment horizontal="right" wrapText="1"/>
    </xf>
    <xf numFmtId="165" fontId="9" fillId="0" borderId="4" xfId="0" applyNumberFormat="1" applyFont="1" applyBorder="1" applyAlignment="1">
      <alignment horizontal="left" wrapText="1"/>
    </xf>
    <xf numFmtId="4" fontId="10" fillId="5" borderId="4" xfId="0" applyNumberFormat="1" applyFont="1" applyFill="1" applyBorder="1" applyAlignment="1">
      <alignment horizontal="right" wrapText="1"/>
    </xf>
    <xf numFmtId="4" fontId="10" fillId="5" borderId="4" xfId="0" applyNumberFormat="1" applyFont="1" applyFill="1" applyBorder="1" applyAlignment="1">
      <alignment horizontal="left" wrapText="1"/>
    </xf>
    <xf numFmtId="0" fontId="11" fillId="6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7" borderId="0" xfId="0" applyFill="1" applyAlignment="1">
      <alignment horizontal="center" vertical="center"/>
    </xf>
    <xf numFmtId="3" fontId="0" fillId="7" borderId="0" xfId="0" applyNumberFormat="1" applyFill="1" applyAlignment="1">
      <alignment horizontal="center"/>
    </xf>
    <xf numFmtId="0" fontId="0" fillId="7" borderId="0" xfId="0" applyFill="1"/>
    <xf numFmtId="3" fontId="0" fillId="7" borderId="0" xfId="4" applyNumberFormat="1" applyFont="1" applyFill="1" applyAlignment="1">
      <alignment horizontal="center" vertical="center"/>
    </xf>
    <xf numFmtId="0" fontId="7" fillId="3" borderId="0" xfId="0" applyFont="1" applyFill="1"/>
    <xf numFmtId="0" fontId="0" fillId="7" borderId="4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4" applyNumberFormat="1" applyFont="1" applyBorder="1" applyAlignment="1">
      <alignment horizontal="center" vertical="center"/>
    </xf>
    <xf numFmtId="9" fontId="0" fillId="0" borderId="4" xfId="4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3" fontId="0" fillId="0" borderId="1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2" borderId="13" xfId="0" applyFill="1" applyBorder="1"/>
    <xf numFmtId="3" fontId="0" fillId="2" borderId="13" xfId="0" applyNumberFormat="1" applyFill="1" applyBorder="1" applyAlignment="1">
      <alignment horizontal="center"/>
    </xf>
    <xf numFmtId="0" fontId="0" fillId="2" borderId="4" xfId="0" applyFill="1" applyBorder="1"/>
    <xf numFmtId="3" fontId="0" fillId="2" borderId="4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right" vertical="center"/>
    </xf>
    <xf numFmtId="0" fontId="1" fillId="2" borderId="0" xfId="0" applyNumberFormat="1" applyFont="1" applyFill="1" applyAlignment="1">
      <alignment horizontal="center"/>
    </xf>
    <xf numFmtId="0" fontId="0" fillId="2" borderId="0" xfId="0" applyFill="1"/>
    <xf numFmtId="0" fontId="6" fillId="7" borderId="0" xfId="0" applyFont="1" applyFill="1" applyAlignment="1">
      <alignment horizontal="center" vertical="center"/>
    </xf>
    <xf numFmtId="4" fontId="0" fillId="7" borderId="0" xfId="0" applyNumberFormat="1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left" vertical="center"/>
    </xf>
    <xf numFmtId="3" fontId="3" fillId="7" borderId="4" xfId="0" applyNumberFormat="1" applyFont="1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22" fillId="10" borderId="18" xfId="0" applyFont="1" applyFill="1" applyBorder="1" applyAlignment="1">
      <alignment horizontal="centerContinuous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11" borderId="18" xfId="0" applyFont="1" applyFill="1" applyBorder="1" applyAlignment="1">
      <alignment horizontal="centerContinuous" vertical="center" wrapText="1"/>
    </xf>
    <xf numFmtId="0" fontId="22" fillId="12" borderId="18" xfId="0" applyFont="1" applyFill="1" applyBorder="1" applyAlignment="1">
      <alignment horizontal="centerContinuous" vertical="center" wrapText="1"/>
    </xf>
    <xf numFmtId="38" fontId="21" fillId="9" borderId="18" xfId="0" applyNumberFormat="1" applyFont="1" applyFill="1" applyBorder="1" applyAlignment="1">
      <alignment horizontal="center"/>
    </xf>
    <xf numFmtId="38" fontId="21" fillId="0" borderId="18" xfId="0" applyNumberFormat="1" applyFont="1" applyBorder="1" applyAlignment="1">
      <alignment horizontal="center"/>
    </xf>
    <xf numFmtId="0" fontId="20" fillId="11" borderId="18" xfId="0" applyFont="1" applyFill="1" applyBorder="1" applyAlignment="1">
      <alignment horizontal="center"/>
    </xf>
    <xf numFmtId="44" fontId="0" fillId="0" borderId="0" xfId="5" applyFont="1"/>
    <xf numFmtId="0" fontId="0" fillId="7" borderId="0" xfId="0" applyFill="1" applyBorder="1" applyAlignment="1">
      <alignment horizontal="left" vertical="center" wrapText="1"/>
    </xf>
    <xf numFmtId="0" fontId="19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left" vertical="top"/>
    </xf>
    <xf numFmtId="0" fontId="17" fillId="7" borderId="17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17" fontId="18" fillId="7" borderId="16" xfId="0" applyNumberFormat="1" applyFont="1" applyFill="1" applyBorder="1" applyAlignment="1">
      <alignment horizontal="left" vertical="top"/>
    </xf>
    <xf numFmtId="3" fontId="0" fillId="7" borderId="16" xfId="0" applyNumberFormat="1" applyFill="1" applyBorder="1" applyAlignment="1">
      <alignment horizontal="center" vertical="top"/>
    </xf>
    <xf numFmtId="3" fontId="0" fillId="7" borderId="0" xfId="0" applyNumberFormat="1" applyFill="1" applyBorder="1" applyAlignment="1">
      <alignment horizontal="center" vertical="top"/>
    </xf>
    <xf numFmtId="17" fontId="0" fillId="7" borderId="4" xfId="0" applyNumberFormat="1" applyFill="1" applyBorder="1" applyAlignment="1">
      <alignment horizontal="left" vertical="top"/>
    </xf>
    <xf numFmtId="3" fontId="0" fillId="7" borderId="4" xfId="0" applyNumberFormat="1" applyFill="1" applyBorder="1" applyAlignment="1">
      <alignment horizontal="center" vertical="top"/>
    </xf>
    <xf numFmtId="3" fontId="0" fillId="7" borderId="14" xfId="0" applyNumberFormat="1" applyFill="1" applyBorder="1" applyAlignment="1">
      <alignment horizontal="center" vertical="top"/>
    </xf>
    <xf numFmtId="0" fontId="17" fillId="7" borderId="13" xfId="0" applyFont="1" applyFill="1" applyBorder="1" applyAlignment="1">
      <alignment horizontal="left" vertical="top"/>
    </xf>
    <xf numFmtId="3" fontId="17" fillId="7" borderId="13" xfId="0" applyNumberFormat="1" applyFont="1" applyFill="1" applyBorder="1" applyAlignment="1">
      <alignment horizontal="center" vertical="top"/>
    </xf>
    <xf numFmtId="3" fontId="17" fillId="7" borderId="0" xfId="0" applyNumberFormat="1" applyFont="1" applyFill="1" applyBorder="1" applyAlignment="1">
      <alignment horizontal="center" vertical="top"/>
    </xf>
    <xf numFmtId="3" fontId="0" fillId="7" borderId="13" xfId="0" applyNumberFormat="1" applyFill="1" applyBorder="1" applyAlignment="1">
      <alignment horizontal="center"/>
    </xf>
    <xf numFmtId="3" fontId="0" fillId="7" borderId="4" xfId="0" applyNumberForma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38" fontId="21" fillId="7" borderId="18" xfId="0" applyNumberFormat="1" applyFont="1" applyFill="1" applyBorder="1" applyAlignment="1">
      <alignment horizontal="center"/>
    </xf>
    <xf numFmtId="9" fontId="21" fillId="0" borderId="18" xfId="0" applyNumberFormat="1" applyFont="1" applyBorder="1" applyAlignment="1">
      <alignment horizontal="center"/>
    </xf>
    <xf numFmtId="9" fontId="21" fillId="9" borderId="18" xfId="0" applyNumberFormat="1" applyFont="1" applyFill="1" applyBorder="1" applyAlignment="1">
      <alignment horizontal="center"/>
    </xf>
    <xf numFmtId="3" fontId="3" fillId="0" borderId="6" xfId="4" applyNumberFormat="1" applyFont="1" applyBorder="1" applyAlignment="1">
      <alignment horizontal="center" vertical="center" wrapText="1"/>
    </xf>
    <xf numFmtId="3" fontId="3" fillId="0" borderId="10" xfId="4" applyNumberFormat="1" applyFont="1" applyBorder="1" applyAlignment="1">
      <alignment horizontal="center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top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2" fillId="12" borderId="18" xfId="0" applyFont="1" applyFill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38" fontId="0" fillId="0" borderId="0" xfId="0" applyNumberFormat="1"/>
    <xf numFmtId="38" fontId="24" fillId="0" borderId="18" xfId="0" applyNumberFormat="1" applyFont="1" applyBorder="1" applyAlignment="1">
      <alignment horizontal="center"/>
    </xf>
  </cellXfs>
  <cellStyles count="6">
    <cellStyle name="Comma 2" xfId="2" xr:uid="{00000000-0005-0000-0000-000000000000}"/>
    <cellStyle name="Currency" xfId="5" builtinId="4"/>
    <cellStyle name="Currency 2" xfId="3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'Revised Carbon Footprint'!$V$3</c:f>
              <c:strCache>
                <c:ptCount val="1"/>
                <c:pt idx="0">
                  <c:v>Total Scope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'Revised Carbon Footprint'!$B$4:$B$15</c:f>
              <c:strCache>
                <c:ptCount val="12"/>
                <c:pt idx="0">
                  <c:v>Fy2008</c:v>
                </c:pt>
                <c:pt idx="1">
                  <c:v>Fy2009</c:v>
                </c:pt>
                <c:pt idx="2">
                  <c:v>Fy2010</c:v>
                </c:pt>
                <c:pt idx="3">
                  <c:v>Fy2011</c:v>
                </c:pt>
                <c:pt idx="4">
                  <c:v>Fy2012</c:v>
                </c:pt>
                <c:pt idx="5">
                  <c:v>Fy2013</c:v>
                </c:pt>
                <c:pt idx="6">
                  <c:v>Fy2014</c:v>
                </c:pt>
                <c:pt idx="7">
                  <c:v>Fy2015</c:v>
                </c:pt>
                <c:pt idx="8">
                  <c:v>Fy2016</c:v>
                </c:pt>
                <c:pt idx="9">
                  <c:v>Fy2017</c:v>
                </c:pt>
                <c:pt idx="10">
                  <c:v>Fy2018</c:v>
                </c:pt>
                <c:pt idx="11">
                  <c:v>Fy2019</c:v>
                </c:pt>
              </c:strCache>
            </c:strRef>
          </c:cat>
          <c:val>
            <c:numRef>
              <c:f>'Revised Carbon Footprint'!$V$4:$V$15</c:f>
              <c:numCache>
                <c:formatCode>#,##0_);[Red]\(#,##0\)</c:formatCode>
                <c:ptCount val="12"/>
                <c:pt idx="0">
                  <c:v>126841.47907354175</c:v>
                </c:pt>
                <c:pt idx="1">
                  <c:v>115278.57753063439</c:v>
                </c:pt>
                <c:pt idx="2">
                  <c:v>193741.43461498205</c:v>
                </c:pt>
                <c:pt idx="3">
                  <c:v>197177.88076423662</c:v>
                </c:pt>
                <c:pt idx="4">
                  <c:v>184325.592767116</c:v>
                </c:pt>
                <c:pt idx="5">
                  <c:v>155011.10549663351</c:v>
                </c:pt>
                <c:pt idx="6">
                  <c:v>135143.1255402666</c:v>
                </c:pt>
                <c:pt idx="7">
                  <c:v>90899.5183149691</c:v>
                </c:pt>
                <c:pt idx="8">
                  <c:v>124318.22192715461</c:v>
                </c:pt>
                <c:pt idx="9">
                  <c:v>158260.30354072081</c:v>
                </c:pt>
                <c:pt idx="10">
                  <c:v>156163.63413632722</c:v>
                </c:pt>
                <c:pt idx="11">
                  <c:v>165769.04921096296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0-48E0-8C30-8D8DA46B6256}"/>
            </c:ext>
          </c:extLst>
        </c:ser>
        <c:ser>
          <c:idx val="1"/>
          <c:order val="1"/>
          <c:tx>
            <c:strRef>
              <c:f>'Revised Carbon Footprint'!$W$3</c:f>
              <c:strCache>
                <c:ptCount val="1"/>
                <c:pt idx="0">
                  <c:v>Total Scope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'Revised Carbon Footprint'!$B$4:$B$15</c:f>
              <c:strCache>
                <c:ptCount val="12"/>
                <c:pt idx="0">
                  <c:v>Fy2008</c:v>
                </c:pt>
                <c:pt idx="1">
                  <c:v>Fy2009</c:v>
                </c:pt>
                <c:pt idx="2">
                  <c:v>Fy2010</c:v>
                </c:pt>
                <c:pt idx="3">
                  <c:v>Fy2011</c:v>
                </c:pt>
                <c:pt idx="4">
                  <c:v>Fy2012</c:v>
                </c:pt>
                <c:pt idx="5">
                  <c:v>Fy2013</c:v>
                </c:pt>
                <c:pt idx="6">
                  <c:v>Fy2014</c:v>
                </c:pt>
                <c:pt idx="7">
                  <c:v>Fy2015</c:v>
                </c:pt>
                <c:pt idx="8">
                  <c:v>Fy2016</c:v>
                </c:pt>
                <c:pt idx="9">
                  <c:v>Fy2017</c:v>
                </c:pt>
                <c:pt idx="10">
                  <c:v>Fy2018</c:v>
                </c:pt>
                <c:pt idx="11">
                  <c:v>Fy2019</c:v>
                </c:pt>
              </c:strCache>
            </c:strRef>
          </c:cat>
          <c:val>
            <c:numRef>
              <c:f>'Revised Carbon Footprint'!$W$4:$W$15</c:f>
              <c:numCache>
                <c:formatCode>#,##0_);[Red]\(#,##0\)</c:formatCode>
                <c:ptCount val="12"/>
                <c:pt idx="0">
                  <c:v>181813.63653673776</c:v>
                </c:pt>
                <c:pt idx="1">
                  <c:v>193713.77407530745</c:v>
                </c:pt>
                <c:pt idx="2">
                  <c:v>90726.787343556731</c:v>
                </c:pt>
                <c:pt idx="3">
                  <c:v>73417.408277928218</c:v>
                </c:pt>
                <c:pt idx="4">
                  <c:v>46376.878480654821</c:v>
                </c:pt>
                <c:pt idx="5">
                  <c:v>70341.459376869141</c:v>
                </c:pt>
                <c:pt idx="6">
                  <c:v>103753.18892523623</c:v>
                </c:pt>
                <c:pt idx="7">
                  <c:v>153815.41232658972</c:v>
                </c:pt>
                <c:pt idx="8">
                  <c:v>87985.115196405444</c:v>
                </c:pt>
                <c:pt idx="9">
                  <c:v>49213.723161147558</c:v>
                </c:pt>
                <c:pt idx="10">
                  <c:v>45161.344555066673</c:v>
                </c:pt>
                <c:pt idx="11">
                  <c:v>35843.633486917483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0-48E0-8C30-8D8DA46B6256}"/>
            </c:ext>
          </c:extLst>
        </c:ser>
        <c:ser>
          <c:idx val="2"/>
          <c:order val="2"/>
          <c:tx>
            <c:strRef>
              <c:f>'Revised Carbon Footprint'!$X$3</c:f>
              <c:strCache>
                <c:ptCount val="1"/>
                <c:pt idx="0">
                  <c:v>Total Scope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'Revised Carbon Footprint'!$B$4:$B$15</c:f>
              <c:strCache>
                <c:ptCount val="12"/>
                <c:pt idx="0">
                  <c:v>Fy2008</c:v>
                </c:pt>
                <c:pt idx="1">
                  <c:v>Fy2009</c:v>
                </c:pt>
                <c:pt idx="2">
                  <c:v>Fy2010</c:v>
                </c:pt>
                <c:pt idx="3">
                  <c:v>Fy2011</c:v>
                </c:pt>
                <c:pt idx="4">
                  <c:v>Fy2012</c:v>
                </c:pt>
                <c:pt idx="5">
                  <c:v>Fy2013</c:v>
                </c:pt>
                <c:pt idx="6">
                  <c:v>Fy2014</c:v>
                </c:pt>
                <c:pt idx="7">
                  <c:v>Fy2015</c:v>
                </c:pt>
                <c:pt idx="8">
                  <c:v>Fy2016</c:v>
                </c:pt>
                <c:pt idx="9">
                  <c:v>Fy2017</c:v>
                </c:pt>
                <c:pt idx="10">
                  <c:v>Fy2018</c:v>
                </c:pt>
                <c:pt idx="11">
                  <c:v>Fy2019</c:v>
                </c:pt>
              </c:strCache>
            </c:strRef>
          </c:cat>
          <c:val>
            <c:numRef>
              <c:f>'Revised Carbon Footprint'!$X$4:$X$15</c:f>
              <c:numCache>
                <c:formatCode>#,##0_);[Red]\(#,##0\)</c:formatCode>
                <c:ptCount val="12"/>
                <c:pt idx="0">
                  <c:v>64917.259426430719</c:v>
                </c:pt>
                <c:pt idx="1">
                  <c:v>89576.773853011633</c:v>
                </c:pt>
                <c:pt idx="2">
                  <c:v>77927.414606356979</c:v>
                </c:pt>
                <c:pt idx="3">
                  <c:v>65885.044349964781</c:v>
                </c:pt>
                <c:pt idx="4">
                  <c:v>66140.00733873123</c:v>
                </c:pt>
                <c:pt idx="5">
                  <c:v>58761.069299836352</c:v>
                </c:pt>
                <c:pt idx="6">
                  <c:v>63230.757950447944</c:v>
                </c:pt>
                <c:pt idx="7">
                  <c:v>72195.911284884889</c:v>
                </c:pt>
                <c:pt idx="8">
                  <c:v>66412.985600645246</c:v>
                </c:pt>
                <c:pt idx="9">
                  <c:v>62853.881994165</c:v>
                </c:pt>
                <c:pt idx="10">
                  <c:v>62574.902934977799</c:v>
                </c:pt>
                <c:pt idx="11">
                  <c:v>62863.778816809696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0-48E0-8C30-8D8DA46B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394208"/>
        <c:axId val="1192140096"/>
      </c:lineChart>
      <c:catAx>
        <c:axId val="11833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140096"/>
        <c:crosses val="autoZero"/>
        <c:auto val="1"/>
        <c:lblAlgn val="ctr"/>
        <c:lblOffset val="100"/>
        <c:noMultiLvlLbl val="0"/>
      </c:catAx>
      <c:valAx>
        <c:axId val="11921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39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'Revised Carbon Footprint'!$B$4:$B$15</c:f>
              <c:strCache>
                <c:ptCount val="12"/>
                <c:pt idx="0">
                  <c:v>Fy2008</c:v>
                </c:pt>
                <c:pt idx="1">
                  <c:v>Fy2009</c:v>
                </c:pt>
                <c:pt idx="2">
                  <c:v>Fy2010</c:v>
                </c:pt>
                <c:pt idx="3">
                  <c:v>Fy2011</c:v>
                </c:pt>
                <c:pt idx="4">
                  <c:v>Fy2012</c:v>
                </c:pt>
                <c:pt idx="5">
                  <c:v>Fy2013</c:v>
                </c:pt>
                <c:pt idx="6">
                  <c:v>Fy2014</c:v>
                </c:pt>
                <c:pt idx="7">
                  <c:v>Fy2015</c:v>
                </c:pt>
                <c:pt idx="8">
                  <c:v>Fy2016</c:v>
                </c:pt>
                <c:pt idx="9">
                  <c:v>Fy2017</c:v>
                </c:pt>
                <c:pt idx="10">
                  <c:v>Fy2018</c:v>
                </c:pt>
                <c:pt idx="11">
                  <c:v>Fy2019</c:v>
                </c:pt>
              </c:strCache>
            </c:strRef>
          </c:cat>
          <c:val>
            <c:numRef>
              <c:f>'Revised Carbon Footprint'!$AA$4:$AA$15</c:f>
              <c:numCache>
                <c:formatCode>#,##0_);[Red]\(#,##0\)</c:formatCode>
                <c:ptCount val="12"/>
                <c:pt idx="0">
                  <c:v>372539.02860159025</c:v>
                </c:pt>
                <c:pt idx="1">
                  <c:v>398358.63714895345</c:v>
                </c:pt>
                <c:pt idx="2">
                  <c:v>362129.81903689576</c:v>
                </c:pt>
                <c:pt idx="3">
                  <c:v>336218.26639612956</c:v>
                </c:pt>
                <c:pt idx="4">
                  <c:v>296795.75085250201</c:v>
                </c:pt>
                <c:pt idx="5">
                  <c:v>284729.94831657899</c:v>
                </c:pt>
                <c:pt idx="6">
                  <c:v>304545.01084855077</c:v>
                </c:pt>
                <c:pt idx="7">
                  <c:v>316605.12554557348</c:v>
                </c:pt>
                <c:pt idx="8">
                  <c:v>278407.14554079506</c:v>
                </c:pt>
                <c:pt idx="9">
                  <c:v>270026.21162823332</c:v>
                </c:pt>
                <c:pt idx="10">
                  <c:v>263596.85996230505</c:v>
                </c:pt>
                <c:pt idx="11">
                  <c:v>264481.17333669012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E-4EAC-964B-A82FBCB7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187872"/>
        <c:axId val="1192162976"/>
      </c:lineChart>
      <c:catAx>
        <c:axId val="14831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162976"/>
        <c:crosses val="autoZero"/>
        <c:auto val="1"/>
        <c:lblAlgn val="ctr"/>
        <c:lblOffset val="100"/>
        <c:noMultiLvlLbl val="0"/>
      </c:catAx>
      <c:valAx>
        <c:axId val="11921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8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Emission/FY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Numbers'!$O$3</c:f>
              <c:strCache>
                <c:ptCount val="1"/>
                <c:pt idx="0">
                  <c:v>UC + Non 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1.5163742115338564E-3"/>
                  <c:y val="2.47499937102331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'Data Numbers'!$N$5:$N$52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'Data Numbers'!$O$5:$O$52</c:f>
              <c:numCache>
                <c:formatCode>#,##0</c:formatCode>
                <c:ptCount val="12"/>
                <c:pt idx="0">
                  <c:v>306679.37151210033</c:v>
                </c:pt>
                <c:pt idx="1">
                  <c:v>307715.62286242796</c:v>
                </c:pt>
                <c:pt idx="2">
                  <c:v>282294.91090104822</c:v>
                </c:pt>
                <c:pt idx="3">
                  <c:v>263502.32054203434</c:v>
                </c:pt>
                <c:pt idx="4">
                  <c:v>229101.33097719873</c:v>
                </c:pt>
                <c:pt idx="5">
                  <c:v>222755.56099709042</c:v>
                </c:pt>
                <c:pt idx="6">
                  <c:v>235663.74404266206</c:v>
                </c:pt>
                <c:pt idx="7">
                  <c:v>243078.78455806625</c:v>
                </c:pt>
                <c:pt idx="8">
                  <c:v>210024.22779786523</c:v>
                </c:pt>
                <c:pt idx="9">
                  <c:v>204671.21998950667</c:v>
                </c:pt>
                <c:pt idx="10">
                  <c:v>198552.38753505115</c:v>
                </c:pt>
                <c:pt idx="11">
                  <c:v>198707.48057223263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F-4282-94B0-06CFD93DFCAC}"/>
            </c:ext>
          </c:extLst>
        </c:ser>
        <c:ser>
          <c:idx val="1"/>
          <c:order val="1"/>
          <c:tx>
            <c:strRef>
              <c:f>'Data Numbers'!$Q$3</c:f>
              <c:strCache>
                <c:ptCount val="1"/>
                <c:pt idx="0">
                  <c:v>UC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1.5163742115338564E-3"/>
                  <c:y val="3.50754023619587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'Data Numbers'!$Q$17:$Q$52</c:f>
              <c:numCache>
                <c:formatCode>#,##0</c:formatCode>
                <c:ptCount val="12"/>
                <c:pt idx="0">
                  <c:v>214675.56005847023</c:v>
                </c:pt>
                <c:pt idx="1">
                  <c:v>215400.93600369955</c:v>
                </c:pt>
                <c:pt idx="2">
                  <c:v>197606.43763073374</c:v>
                </c:pt>
                <c:pt idx="3">
                  <c:v>184451.62437942403</c:v>
                </c:pt>
                <c:pt idx="4">
                  <c:v>160370.9316840391</c:v>
                </c:pt>
                <c:pt idx="5">
                  <c:v>155928.89269796328</c:v>
                </c:pt>
                <c:pt idx="6">
                  <c:v>164964.62082986344</c:v>
                </c:pt>
                <c:pt idx="7">
                  <c:v>170155.14919064636</c:v>
                </c:pt>
                <c:pt idx="8">
                  <c:v>147016.95945850565</c:v>
                </c:pt>
                <c:pt idx="9">
                  <c:v>143269.85399265465</c:v>
                </c:pt>
                <c:pt idx="10">
                  <c:v>138986.67127453579</c:v>
                </c:pt>
                <c:pt idx="11">
                  <c:v>139095.23640056283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F-4282-94B0-06CFD93DF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311736"/>
        <c:axId val="268312392"/>
      </c:lineChart>
      <c:catAx>
        <c:axId val="268311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12392"/>
        <c:crosses val="autoZero"/>
        <c:auto val="1"/>
        <c:lblAlgn val="ctr"/>
        <c:lblOffset val="100"/>
        <c:noMultiLvlLbl val="0"/>
      </c:catAx>
      <c:valAx>
        <c:axId val="26831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CO2e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31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236</xdr:row>
      <xdr:rowOff>7620</xdr:rowOff>
    </xdr:from>
    <xdr:to>
      <xdr:col>7</xdr:col>
      <xdr:colOff>1699800</xdr:colOff>
      <xdr:row>254</xdr:row>
      <xdr:rowOff>137336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C9050B-E7BC-457A-9E64-FC92DECFB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20589240"/>
          <a:ext cx="10505980" cy="3419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18</xdr:row>
      <xdr:rowOff>109220</xdr:rowOff>
    </xdr:from>
    <xdr:to>
      <xdr:col>16</xdr:col>
      <xdr:colOff>6350</xdr:colOff>
      <xdr:row>33</xdr:row>
      <xdr:rowOff>109220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7DA384-C5F6-40B1-A427-B641425B1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524510</xdr:colOff>
      <xdr:row>18</xdr:row>
      <xdr:rowOff>99060</xdr:rowOff>
    </xdr:from>
    <xdr:to>
      <xdr:col>23</xdr:col>
      <xdr:colOff>589280</xdr:colOff>
      <xdr:row>33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47E2F-E988-41EB-B03D-89D94F808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8"/>
  <sheetViews>
    <sheetView topLeftCell="A177" workbookViewId="0">
      <selection activeCell="F183" sqref="F183"/>
    </sheetView>
  </sheetViews>
  <sheetFormatPr baseColWidth="10" defaultColWidth="8.83203125" defaultRowHeight="15" x14ac:dyDescent="0.2"/>
  <cols>
    <col min="1" max="1" width="6.5" customWidth="1"/>
    <col min="2" max="2" width="13.33203125" style="4" customWidth="1"/>
    <col min="3" max="4" width="21.83203125" style="2" customWidth="1"/>
    <col min="5" max="5" width="36.33203125" style="2" customWidth="1"/>
    <col min="6" max="6" width="16" style="2" bestFit="1" customWidth="1"/>
    <col min="7" max="7" width="18.1640625" customWidth="1"/>
    <col min="8" max="8" width="36.1640625" style="14" customWidth="1"/>
    <col min="9" max="9" width="19" style="14" bestFit="1" customWidth="1"/>
    <col min="10" max="10" width="19.5" style="14" customWidth="1"/>
    <col min="11" max="11" width="23.6640625" style="14" customWidth="1"/>
    <col min="12" max="12" width="20.6640625" style="14" customWidth="1"/>
    <col min="13" max="13" width="21" customWidth="1"/>
    <col min="14" max="14" width="16.6640625" style="14" customWidth="1"/>
    <col min="15" max="15" width="19" style="14" bestFit="1" customWidth="1"/>
    <col min="16" max="16" width="12.5" style="14" customWidth="1"/>
    <col min="17" max="17" width="19.1640625" bestFit="1" customWidth="1"/>
    <col min="18" max="18" width="10.83203125" style="21" customWidth="1"/>
  </cols>
  <sheetData>
    <row r="1" spans="2:17" ht="19" x14ac:dyDescent="0.2">
      <c r="B1" s="18" t="s">
        <v>31</v>
      </c>
    </row>
    <row r="2" spans="2:17" ht="16" thickBot="1" x14ac:dyDescent="0.25"/>
    <row r="3" spans="2:17" ht="16" thickBot="1" x14ac:dyDescent="0.25">
      <c r="C3" s="6" t="s">
        <v>21</v>
      </c>
      <c r="D3" s="6"/>
      <c r="E3" s="6" t="s">
        <v>32</v>
      </c>
      <c r="F3" s="6" t="s">
        <v>28</v>
      </c>
      <c r="N3" s="25" t="s">
        <v>33</v>
      </c>
      <c r="O3" s="24" t="s">
        <v>34</v>
      </c>
      <c r="P3" s="113" t="s">
        <v>36</v>
      </c>
      <c r="Q3" s="26" t="s">
        <v>35</v>
      </c>
    </row>
    <row r="4" spans="2:17" ht="16" thickBot="1" x14ac:dyDescent="0.25">
      <c r="B4" s="4" t="s">
        <v>0</v>
      </c>
      <c r="C4" s="2" t="s">
        <v>1</v>
      </c>
      <c r="E4" s="2" t="s">
        <v>2</v>
      </c>
      <c r="F4" s="2" t="s">
        <v>3</v>
      </c>
      <c r="H4" s="16" t="s">
        <v>29</v>
      </c>
      <c r="I4" s="17" t="s">
        <v>30</v>
      </c>
      <c r="J4" s="23"/>
      <c r="N4" s="16" t="s">
        <v>29</v>
      </c>
      <c r="O4" s="17" t="s">
        <v>30</v>
      </c>
      <c r="P4" s="114"/>
      <c r="Q4" s="17" t="s">
        <v>30</v>
      </c>
    </row>
    <row r="5" spans="2:17" ht="16" hidden="1" thickBot="1" x14ac:dyDescent="0.25">
      <c r="B5" s="4">
        <v>39264</v>
      </c>
      <c r="C5" s="2">
        <v>51616</v>
      </c>
      <c r="E5" s="2">
        <v>3211</v>
      </c>
      <c r="F5" s="2">
        <v>25062790</v>
      </c>
      <c r="P5" s="21"/>
    </row>
    <row r="6" spans="2:17" ht="16" hidden="1" thickBot="1" x14ac:dyDescent="0.25">
      <c r="B6" s="4">
        <v>39301</v>
      </c>
      <c r="C6" s="2">
        <v>80324</v>
      </c>
      <c r="E6" s="2">
        <v>3175</v>
      </c>
      <c r="F6" s="2">
        <v>22720261</v>
      </c>
      <c r="P6" s="21"/>
    </row>
    <row r="7" spans="2:17" ht="16" hidden="1" thickBot="1" x14ac:dyDescent="0.25">
      <c r="B7" s="4">
        <v>39326</v>
      </c>
      <c r="C7" s="2">
        <v>58890</v>
      </c>
      <c r="E7" s="2">
        <v>2013</v>
      </c>
      <c r="F7" s="2">
        <v>23197413</v>
      </c>
      <c r="P7" s="21"/>
    </row>
    <row r="8" spans="2:17" ht="16" hidden="1" thickBot="1" x14ac:dyDescent="0.25">
      <c r="B8" s="4">
        <v>39356</v>
      </c>
      <c r="C8" s="2">
        <v>87208</v>
      </c>
      <c r="E8" s="2">
        <v>1866</v>
      </c>
      <c r="F8" s="2">
        <v>21090688</v>
      </c>
      <c r="P8" s="21"/>
    </row>
    <row r="9" spans="2:17" ht="16" hidden="1" thickBot="1" x14ac:dyDescent="0.25">
      <c r="B9" s="4">
        <v>39387</v>
      </c>
      <c r="C9" s="2">
        <v>76340</v>
      </c>
      <c r="E9" s="2">
        <v>3576</v>
      </c>
      <c r="F9" s="2">
        <v>18202655</v>
      </c>
      <c r="P9" s="21"/>
    </row>
    <row r="10" spans="2:17" ht="16" hidden="1" thickBot="1" x14ac:dyDescent="0.25">
      <c r="B10" s="4">
        <v>39417</v>
      </c>
      <c r="C10" s="2">
        <v>92833</v>
      </c>
      <c r="E10" s="2">
        <v>3760</v>
      </c>
      <c r="F10" s="2">
        <v>17326836</v>
      </c>
      <c r="P10" s="21"/>
    </row>
    <row r="11" spans="2:17" ht="16" hidden="1" thickBot="1" x14ac:dyDescent="0.25">
      <c r="B11" s="4">
        <v>39448</v>
      </c>
      <c r="C11" s="2">
        <v>93239</v>
      </c>
      <c r="E11" s="2">
        <v>4029</v>
      </c>
      <c r="F11" s="2">
        <v>19013983</v>
      </c>
      <c r="P11" s="21"/>
    </row>
    <row r="12" spans="2:17" ht="16" hidden="1" thickBot="1" x14ac:dyDescent="0.25">
      <c r="B12" s="4">
        <v>39486</v>
      </c>
      <c r="C12" s="2">
        <v>85083</v>
      </c>
      <c r="E12" s="2">
        <v>3614</v>
      </c>
      <c r="F12" s="2">
        <v>18722322</v>
      </c>
      <c r="P12" s="21"/>
    </row>
    <row r="13" spans="2:17" ht="16" hidden="1" thickBot="1" x14ac:dyDescent="0.25">
      <c r="B13" s="4">
        <v>39508</v>
      </c>
      <c r="C13" s="2">
        <v>57916</v>
      </c>
      <c r="E13" s="2">
        <v>3599</v>
      </c>
      <c r="F13" s="2">
        <v>20358896</v>
      </c>
      <c r="P13" s="21"/>
    </row>
    <row r="14" spans="2:17" ht="16" hidden="1" thickBot="1" x14ac:dyDescent="0.25">
      <c r="B14" s="4">
        <v>39539</v>
      </c>
      <c r="C14" s="2">
        <v>40074</v>
      </c>
      <c r="E14" s="2">
        <v>2961</v>
      </c>
      <c r="F14" s="2">
        <v>21249884</v>
      </c>
      <c r="P14" s="21"/>
    </row>
    <row r="15" spans="2:17" ht="16" hidden="1" thickBot="1" x14ac:dyDescent="0.25">
      <c r="B15" s="4">
        <v>39569</v>
      </c>
      <c r="C15" s="2">
        <v>7399</v>
      </c>
      <c r="E15" s="2">
        <v>3436</v>
      </c>
      <c r="F15" s="2">
        <v>22511967</v>
      </c>
      <c r="P15" s="21"/>
    </row>
    <row r="16" spans="2:17" ht="16" hidden="1" thickBot="1" x14ac:dyDescent="0.25">
      <c r="B16" s="4">
        <v>39600</v>
      </c>
      <c r="C16" s="2">
        <v>12914</v>
      </c>
      <c r="E16" s="2">
        <v>2243</v>
      </c>
      <c r="F16" s="2">
        <v>27666032</v>
      </c>
      <c r="P16" s="21"/>
    </row>
    <row r="17" spans="2:17" ht="16" thickBot="1" x14ac:dyDescent="0.25">
      <c r="B17" s="11" t="s">
        <v>8</v>
      </c>
      <c r="C17" s="9">
        <f>SUM(C5:C16)</f>
        <v>743836</v>
      </c>
      <c r="D17" s="109">
        <f>$D$181</f>
        <v>61959.980631111095</v>
      </c>
      <c r="E17" s="9">
        <f t="shared" ref="E17" si="0">SUM(E5:E16)</f>
        <v>37483</v>
      </c>
      <c r="F17" s="12">
        <f t="shared" ref="F17" si="1">SUM(F5:F16)</f>
        <v>257123727</v>
      </c>
      <c r="K17" s="19" t="s">
        <v>23</v>
      </c>
      <c r="L17" s="3"/>
      <c r="N17" s="45" t="s">
        <v>0</v>
      </c>
      <c r="O17" s="46">
        <f>I18</f>
        <v>306679.37151210033</v>
      </c>
      <c r="P17" s="47">
        <v>0</v>
      </c>
      <c r="Q17" s="46">
        <f>O17*(1-$L$33)</f>
        <v>214675.56005847023</v>
      </c>
    </row>
    <row r="18" spans="2:17" ht="16" thickBot="1" x14ac:dyDescent="0.25">
      <c r="B18" s="7" t="s">
        <v>22</v>
      </c>
      <c r="C18" s="1">
        <f>C17*J186</f>
        <v>39559.663552504004</v>
      </c>
      <c r="D18" s="109">
        <f>$D$182</f>
        <v>3294.2090696600762</v>
      </c>
      <c r="E18" s="1">
        <f>E17*H186</f>
        <v>82011.862353198463</v>
      </c>
      <c r="F18" s="8">
        <f>F17*E186</f>
        <v>181813.63653673776</v>
      </c>
      <c r="H18" s="4" t="str">
        <f>B4</f>
        <v>FY08</v>
      </c>
      <c r="I18" s="15">
        <f>SUM(C18:F18)</f>
        <v>306679.37151210033</v>
      </c>
      <c r="J18" s="51" t="s">
        <v>18</v>
      </c>
      <c r="K18" s="51"/>
      <c r="L18" s="49" t="s">
        <v>97</v>
      </c>
      <c r="N18" s="45" t="s">
        <v>4</v>
      </c>
      <c r="O18" s="46">
        <f>I34</f>
        <v>307715.62286242796</v>
      </c>
      <c r="P18" s="48">
        <f t="shared" ref="P18:P52" si="2">(O18-$O$17)/$O$17</f>
        <v>3.3789405046003931E-3</v>
      </c>
      <c r="Q18" s="46">
        <f t="shared" ref="Q18:Q52" si="3">O18*(1-$L$33)</f>
        <v>215400.93600369955</v>
      </c>
    </row>
    <row r="19" spans="2:17" x14ac:dyDescent="0.2">
      <c r="J19" s="51" t="s">
        <v>20</v>
      </c>
      <c r="K19" s="51"/>
      <c r="L19" s="49" t="s">
        <v>97</v>
      </c>
      <c r="N19" s="45" t="s">
        <v>5</v>
      </c>
      <c r="O19" s="46">
        <f>I50</f>
        <v>282294.91090104822</v>
      </c>
      <c r="P19" s="48">
        <f t="shared" si="2"/>
        <v>-7.9511251411606601E-2</v>
      </c>
      <c r="Q19" s="46">
        <f t="shared" si="3"/>
        <v>197606.43763073374</v>
      </c>
    </row>
    <row r="20" spans="2:17" ht="16" thickBot="1" x14ac:dyDescent="0.25">
      <c r="B20" s="4" t="s">
        <v>4</v>
      </c>
      <c r="C20" s="2" t="s">
        <v>1</v>
      </c>
      <c r="E20" s="2" t="s">
        <v>2</v>
      </c>
      <c r="F20" s="2" t="s">
        <v>3</v>
      </c>
      <c r="J20" s="51" t="s">
        <v>19</v>
      </c>
      <c r="K20" s="51"/>
      <c r="L20" s="49" t="s">
        <v>97</v>
      </c>
      <c r="N20" s="45" t="s">
        <v>6</v>
      </c>
      <c r="O20" s="46">
        <f>I66</f>
        <v>263502.32054203434</v>
      </c>
      <c r="P20" s="48">
        <f t="shared" si="2"/>
        <v>-0.14078889870283431</v>
      </c>
      <c r="Q20" s="46">
        <f t="shared" si="3"/>
        <v>184451.62437942403</v>
      </c>
    </row>
    <row r="21" spans="2:17" ht="16" hidden="1" thickBot="1" x14ac:dyDescent="0.25">
      <c r="B21" s="4">
        <v>39630</v>
      </c>
      <c r="C21" s="2">
        <v>27834</v>
      </c>
      <c r="E21" s="2">
        <v>1626</v>
      </c>
      <c r="F21" s="2">
        <v>30920432</v>
      </c>
      <c r="J21" s="51"/>
      <c r="K21" s="51"/>
      <c r="N21" s="22"/>
      <c r="O21" s="22"/>
      <c r="P21" s="48">
        <f t="shared" si="2"/>
        <v>-1</v>
      </c>
      <c r="Q21" s="46">
        <f t="shared" si="3"/>
        <v>0</v>
      </c>
    </row>
    <row r="22" spans="2:17" ht="16" hidden="1" thickBot="1" x14ac:dyDescent="0.25">
      <c r="B22" s="4">
        <v>39661</v>
      </c>
      <c r="C22" s="2">
        <v>1642</v>
      </c>
      <c r="E22" s="2">
        <v>3633</v>
      </c>
      <c r="F22" s="2">
        <v>27978354</v>
      </c>
      <c r="J22" s="51"/>
      <c r="K22" s="51"/>
      <c r="N22" s="22"/>
      <c r="O22" s="22"/>
      <c r="P22" s="48">
        <f t="shared" si="2"/>
        <v>-1</v>
      </c>
      <c r="Q22" s="46">
        <f t="shared" si="3"/>
        <v>0</v>
      </c>
    </row>
    <row r="23" spans="2:17" ht="16" hidden="1" thickBot="1" x14ac:dyDescent="0.25">
      <c r="B23" s="4">
        <v>39692</v>
      </c>
      <c r="C23" s="2">
        <v>34373</v>
      </c>
      <c r="E23" s="2">
        <v>1690</v>
      </c>
      <c r="F23" s="2">
        <v>27211864</v>
      </c>
      <c r="J23" s="51"/>
      <c r="K23" s="51"/>
      <c r="N23" s="22"/>
      <c r="O23" s="22"/>
      <c r="P23" s="48">
        <f t="shared" si="2"/>
        <v>-1</v>
      </c>
      <c r="Q23" s="46">
        <f t="shared" si="3"/>
        <v>0</v>
      </c>
    </row>
    <row r="24" spans="2:17" ht="16" hidden="1" thickBot="1" x14ac:dyDescent="0.25">
      <c r="B24" s="4">
        <v>39722</v>
      </c>
      <c r="C24" s="2">
        <v>43036</v>
      </c>
      <c r="E24" s="2">
        <v>2521</v>
      </c>
      <c r="F24" s="2">
        <v>23753518</v>
      </c>
      <c r="J24" s="51"/>
      <c r="K24" s="51"/>
      <c r="N24" s="22"/>
      <c r="O24" s="22"/>
      <c r="P24" s="48">
        <f t="shared" si="2"/>
        <v>-1</v>
      </c>
      <c r="Q24" s="46">
        <f t="shared" si="3"/>
        <v>0</v>
      </c>
    </row>
    <row r="25" spans="2:17" ht="16" hidden="1" thickBot="1" x14ac:dyDescent="0.25">
      <c r="B25" s="4">
        <v>39753</v>
      </c>
      <c r="C25" s="2">
        <v>52366</v>
      </c>
      <c r="E25" s="2">
        <v>3347</v>
      </c>
      <c r="F25" s="2">
        <v>20293014</v>
      </c>
      <c r="J25" s="51"/>
      <c r="K25" s="51"/>
      <c r="N25" s="22"/>
      <c r="O25" s="22"/>
      <c r="P25" s="48">
        <f t="shared" si="2"/>
        <v>-1</v>
      </c>
      <c r="Q25" s="46">
        <f t="shared" si="3"/>
        <v>0</v>
      </c>
    </row>
    <row r="26" spans="2:17" ht="16" hidden="1" thickBot="1" x14ac:dyDescent="0.25">
      <c r="B26" s="4">
        <v>39783</v>
      </c>
      <c r="C26" s="2">
        <v>91677</v>
      </c>
      <c r="E26" s="2">
        <v>4288</v>
      </c>
      <c r="F26" s="2">
        <v>21476796</v>
      </c>
      <c r="J26" s="51"/>
      <c r="K26" s="51"/>
      <c r="N26" s="22"/>
      <c r="O26" s="22"/>
      <c r="P26" s="48">
        <f t="shared" si="2"/>
        <v>-1</v>
      </c>
      <c r="Q26" s="46">
        <f t="shared" si="3"/>
        <v>0</v>
      </c>
    </row>
    <row r="27" spans="2:17" ht="16" hidden="1" thickBot="1" x14ac:dyDescent="0.25">
      <c r="B27" s="4">
        <v>39814</v>
      </c>
      <c r="C27" s="2">
        <v>108846</v>
      </c>
      <c r="E27" s="2">
        <v>4199</v>
      </c>
      <c r="F27" s="2">
        <v>18808873</v>
      </c>
      <c r="J27" s="51"/>
      <c r="K27" s="51"/>
      <c r="N27" s="22"/>
      <c r="O27" s="22"/>
      <c r="P27" s="48">
        <f t="shared" si="2"/>
        <v>-1</v>
      </c>
      <c r="Q27" s="46">
        <f t="shared" si="3"/>
        <v>0</v>
      </c>
    </row>
    <row r="28" spans="2:17" ht="16" hidden="1" thickBot="1" x14ac:dyDescent="0.25">
      <c r="B28" s="4">
        <v>39845</v>
      </c>
      <c r="C28" s="2">
        <v>82032</v>
      </c>
      <c r="E28" s="2">
        <v>3493</v>
      </c>
      <c r="F28" s="2">
        <v>20026090</v>
      </c>
      <c r="J28" s="51"/>
      <c r="K28" s="51"/>
      <c r="N28" s="22"/>
      <c r="O28" s="22"/>
      <c r="P28" s="48">
        <f t="shared" si="2"/>
        <v>-1</v>
      </c>
      <c r="Q28" s="46">
        <f t="shared" si="3"/>
        <v>0</v>
      </c>
    </row>
    <row r="29" spans="2:17" ht="16" hidden="1" thickBot="1" x14ac:dyDescent="0.25">
      <c r="B29" s="4">
        <v>39873</v>
      </c>
      <c r="C29" s="2">
        <v>47865</v>
      </c>
      <c r="E29" s="2">
        <v>3581.04</v>
      </c>
      <c r="F29" s="2">
        <v>19502895</v>
      </c>
      <c r="J29" s="51"/>
      <c r="K29" s="51"/>
      <c r="N29" s="22"/>
      <c r="O29" s="22"/>
      <c r="P29" s="48">
        <f t="shared" si="2"/>
        <v>-1</v>
      </c>
      <c r="Q29" s="46">
        <f t="shared" si="3"/>
        <v>0</v>
      </c>
    </row>
    <row r="30" spans="2:17" ht="16" hidden="1" thickBot="1" x14ac:dyDescent="0.25">
      <c r="B30" s="4">
        <v>39904</v>
      </c>
      <c r="C30" s="2">
        <v>24310</v>
      </c>
      <c r="E30" s="2">
        <v>3630</v>
      </c>
      <c r="F30" s="2">
        <v>21306525</v>
      </c>
      <c r="J30" s="51"/>
      <c r="K30" s="51"/>
      <c r="N30" s="22"/>
      <c r="O30" s="22"/>
      <c r="P30" s="48">
        <f t="shared" si="2"/>
        <v>-1</v>
      </c>
      <c r="Q30" s="46">
        <f t="shared" si="3"/>
        <v>0</v>
      </c>
    </row>
    <row r="31" spans="2:17" ht="16" hidden="1" thickBot="1" x14ac:dyDescent="0.25">
      <c r="B31" s="4">
        <v>39942</v>
      </c>
      <c r="C31" s="2">
        <v>65823</v>
      </c>
      <c r="E31" s="2">
        <v>757.76</v>
      </c>
      <c r="F31" s="2">
        <v>26643325</v>
      </c>
      <c r="J31" s="51"/>
      <c r="K31" s="51"/>
      <c r="N31" s="22"/>
      <c r="O31" s="22"/>
      <c r="P31" s="48">
        <f t="shared" si="2"/>
        <v>-1</v>
      </c>
      <c r="Q31" s="46">
        <f t="shared" si="3"/>
        <v>0</v>
      </c>
    </row>
    <row r="32" spans="2:17" ht="16" hidden="1" thickBot="1" x14ac:dyDescent="0.25">
      <c r="B32" s="4">
        <v>39965</v>
      </c>
      <c r="C32" s="2">
        <v>114592</v>
      </c>
      <c r="E32" s="2">
        <v>1223.7</v>
      </c>
      <c r="F32" s="2">
        <v>21615392</v>
      </c>
      <c r="J32" s="51"/>
      <c r="K32" s="51"/>
      <c r="N32" s="22"/>
      <c r="O32" s="22"/>
      <c r="P32" s="48">
        <f t="shared" si="2"/>
        <v>-1</v>
      </c>
      <c r="Q32" s="46">
        <f t="shared" si="3"/>
        <v>0</v>
      </c>
    </row>
    <row r="33" spans="2:17" ht="16" thickBot="1" x14ac:dyDescent="0.25">
      <c r="B33" s="7" t="s">
        <v>8</v>
      </c>
      <c r="C33" s="1">
        <f>SUM(C21:C32)</f>
        <v>694396</v>
      </c>
      <c r="D33" s="109">
        <f>$D$181</f>
        <v>61959.980631111095</v>
      </c>
      <c r="E33" s="1">
        <f t="shared" ref="E33" si="4">SUM(E21:E32)</f>
        <v>33989.5</v>
      </c>
      <c r="F33" s="8">
        <f t="shared" ref="F33" si="5">SUM(F21:F32)</f>
        <v>279537078</v>
      </c>
      <c r="J33" s="51" t="s">
        <v>124</v>
      </c>
      <c r="K33" s="51"/>
      <c r="L33" s="50">
        <v>0.3</v>
      </c>
      <c r="N33" s="45" t="s">
        <v>9</v>
      </c>
      <c r="O33" s="46">
        <f>I82</f>
        <v>229101.33097719873</v>
      </c>
      <c r="P33" s="48">
        <f t="shared" si="2"/>
        <v>-0.25296139141148816</v>
      </c>
      <c r="Q33" s="46">
        <f t="shared" si="3"/>
        <v>160370.9316840391</v>
      </c>
    </row>
    <row r="34" spans="2:17" ht="16" thickBot="1" x14ac:dyDescent="0.25">
      <c r="B34" s="7" t="s">
        <v>22</v>
      </c>
      <c r="C34" s="1">
        <f>C33*J187</f>
        <v>36930.280508344003</v>
      </c>
      <c r="D34" s="109">
        <f>$D$182</f>
        <v>3294.2090696600762</v>
      </c>
      <c r="E34" s="1">
        <f>E33*H187</f>
        <v>73777.359209116461</v>
      </c>
      <c r="F34" s="8">
        <f>F33*E187</f>
        <v>193713.77407530745</v>
      </c>
      <c r="H34" s="4" t="str">
        <f>B20</f>
        <v>FY09</v>
      </c>
      <c r="I34" s="15">
        <f>SUM(C34:F34)</f>
        <v>307715.62286242796</v>
      </c>
      <c r="J34" s="15"/>
      <c r="N34" s="45" t="s">
        <v>11</v>
      </c>
      <c r="O34" s="46">
        <f>I98</f>
        <v>222755.56099709042</v>
      </c>
      <c r="P34" s="48">
        <f t="shared" si="2"/>
        <v>-0.27365326236720366</v>
      </c>
      <c r="Q34" s="46">
        <f t="shared" si="3"/>
        <v>155928.89269796328</v>
      </c>
    </row>
    <row r="35" spans="2:17" x14ac:dyDescent="0.2">
      <c r="N35" s="45" t="s">
        <v>12</v>
      </c>
      <c r="O35" s="46">
        <f>I114</f>
        <v>235663.74404266206</v>
      </c>
      <c r="P35" s="48">
        <f t="shared" si="2"/>
        <v>-0.23156310487820431</v>
      </c>
      <c r="Q35" s="46">
        <f t="shared" si="3"/>
        <v>164964.62082986344</v>
      </c>
    </row>
    <row r="36" spans="2:17" ht="16" thickBot="1" x14ac:dyDescent="0.25">
      <c r="B36" s="4" t="s">
        <v>5</v>
      </c>
      <c r="C36" s="2" t="s">
        <v>1</v>
      </c>
      <c r="E36" s="2" t="s">
        <v>2</v>
      </c>
      <c r="F36" s="2" t="s">
        <v>3</v>
      </c>
      <c r="N36" s="45" t="s">
        <v>13</v>
      </c>
      <c r="O36" s="46">
        <f>I130</f>
        <v>243078.78455806625</v>
      </c>
      <c r="P36" s="48">
        <f t="shared" si="2"/>
        <v>-0.20738462662306797</v>
      </c>
      <c r="Q36" s="46">
        <f t="shared" si="3"/>
        <v>170155.14919064636</v>
      </c>
    </row>
    <row r="37" spans="2:17" ht="16" hidden="1" thickBot="1" x14ac:dyDescent="0.25">
      <c r="B37" s="4">
        <v>39995</v>
      </c>
      <c r="C37" s="2">
        <v>86957</v>
      </c>
      <c r="E37" s="2">
        <v>1914.53</v>
      </c>
      <c r="F37" s="2">
        <v>22813032</v>
      </c>
      <c r="N37" s="22"/>
      <c r="O37" s="22"/>
      <c r="P37" s="48">
        <f t="shared" si="2"/>
        <v>-1</v>
      </c>
      <c r="Q37" s="46">
        <f t="shared" si="3"/>
        <v>0</v>
      </c>
    </row>
    <row r="38" spans="2:17" ht="16" hidden="1" thickBot="1" x14ac:dyDescent="0.25">
      <c r="B38" s="4">
        <v>40026</v>
      </c>
      <c r="C38" s="2">
        <v>85242</v>
      </c>
      <c r="E38" s="2">
        <v>1849.11</v>
      </c>
      <c r="F38" s="2">
        <v>22012000</v>
      </c>
      <c r="N38" s="22"/>
      <c r="O38" s="22"/>
      <c r="P38" s="48">
        <f t="shared" si="2"/>
        <v>-1</v>
      </c>
      <c r="Q38" s="46">
        <f t="shared" si="3"/>
        <v>0</v>
      </c>
    </row>
    <row r="39" spans="2:17" ht="16" hidden="1" thickBot="1" x14ac:dyDescent="0.25">
      <c r="B39" s="4">
        <v>40057</v>
      </c>
      <c r="C39" s="2">
        <v>111017</v>
      </c>
      <c r="E39" s="2">
        <v>370.09</v>
      </c>
      <c r="F39" s="2">
        <v>23884416</v>
      </c>
      <c r="N39" s="22"/>
      <c r="O39" s="22"/>
      <c r="P39" s="48">
        <f t="shared" si="2"/>
        <v>-1</v>
      </c>
      <c r="Q39" s="46">
        <f t="shared" si="3"/>
        <v>0</v>
      </c>
    </row>
    <row r="40" spans="2:17" ht="16" hidden="1" thickBot="1" x14ac:dyDescent="0.25">
      <c r="B40" s="4">
        <v>40087</v>
      </c>
      <c r="C40" s="2">
        <v>136356</v>
      </c>
      <c r="E40" s="2">
        <v>729.96</v>
      </c>
      <c r="F40" s="2">
        <v>17787797</v>
      </c>
      <c r="N40" s="22"/>
      <c r="O40" s="22"/>
      <c r="P40" s="48">
        <f t="shared" si="2"/>
        <v>-1</v>
      </c>
      <c r="Q40" s="46">
        <f t="shared" si="3"/>
        <v>0</v>
      </c>
    </row>
    <row r="41" spans="2:17" ht="16" hidden="1" thickBot="1" x14ac:dyDescent="0.25">
      <c r="B41" s="4">
        <v>40118</v>
      </c>
      <c r="C41" s="2">
        <v>154898</v>
      </c>
      <c r="E41" s="2">
        <v>2796</v>
      </c>
      <c r="F41" s="2">
        <v>12974369</v>
      </c>
      <c r="N41" s="22"/>
      <c r="O41" s="22"/>
      <c r="P41" s="48">
        <f t="shared" si="2"/>
        <v>-1</v>
      </c>
      <c r="Q41" s="46">
        <f t="shared" si="3"/>
        <v>0</v>
      </c>
    </row>
    <row r="42" spans="2:17" ht="16" hidden="1" thickBot="1" x14ac:dyDescent="0.25">
      <c r="B42" s="4">
        <v>40148</v>
      </c>
      <c r="C42" s="2">
        <v>271766</v>
      </c>
      <c r="E42" s="2">
        <v>4074</v>
      </c>
      <c r="F42" s="2">
        <v>2329675</v>
      </c>
      <c r="N42" s="22"/>
      <c r="O42" s="22"/>
      <c r="P42" s="48">
        <f t="shared" si="2"/>
        <v>-1</v>
      </c>
      <c r="Q42" s="46">
        <f t="shared" si="3"/>
        <v>0</v>
      </c>
    </row>
    <row r="43" spans="2:17" ht="16" hidden="1" thickBot="1" x14ac:dyDescent="0.25">
      <c r="B43" s="4">
        <v>40179</v>
      </c>
      <c r="C43" s="2">
        <v>296126</v>
      </c>
      <c r="E43" s="2">
        <v>3590</v>
      </c>
      <c r="F43" s="2">
        <v>3536128</v>
      </c>
      <c r="N43" s="22"/>
      <c r="O43" s="22"/>
      <c r="P43" s="48">
        <f t="shared" si="2"/>
        <v>-1</v>
      </c>
      <c r="Q43" s="46">
        <f t="shared" si="3"/>
        <v>0</v>
      </c>
    </row>
    <row r="44" spans="2:17" ht="16" hidden="1" thickBot="1" x14ac:dyDescent="0.25">
      <c r="B44" s="4">
        <v>40210</v>
      </c>
      <c r="C44" s="2">
        <v>270890</v>
      </c>
      <c r="E44" s="2">
        <v>3929</v>
      </c>
      <c r="F44" s="2">
        <v>2389027</v>
      </c>
      <c r="N44" s="22"/>
      <c r="O44" s="22"/>
      <c r="P44" s="48">
        <f t="shared" si="2"/>
        <v>-1</v>
      </c>
      <c r="Q44" s="46">
        <f t="shared" si="3"/>
        <v>0</v>
      </c>
    </row>
    <row r="45" spans="2:17" ht="16" hidden="1" thickBot="1" x14ac:dyDescent="0.25">
      <c r="B45" s="4">
        <v>40238</v>
      </c>
      <c r="C45" s="2">
        <v>260896</v>
      </c>
      <c r="E45" s="2">
        <v>3265</v>
      </c>
      <c r="F45" s="2">
        <v>1582702</v>
      </c>
      <c r="N45" s="22"/>
      <c r="O45" s="22"/>
      <c r="P45" s="48">
        <f t="shared" si="2"/>
        <v>-1</v>
      </c>
      <c r="Q45" s="46">
        <f t="shared" si="3"/>
        <v>0</v>
      </c>
    </row>
    <row r="46" spans="2:17" ht="16" hidden="1" thickBot="1" x14ac:dyDescent="0.25">
      <c r="B46" s="4">
        <v>40269</v>
      </c>
      <c r="C46" s="2">
        <v>225947</v>
      </c>
      <c r="E46" s="2">
        <v>3382</v>
      </c>
      <c r="F46" s="2">
        <v>1518051</v>
      </c>
      <c r="N46" s="22"/>
      <c r="O46" s="22"/>
      <c r="P46" s="48">
        <f t="shared" si="2"/>
        <v>-1</v>
      </c>
      <c r="Q46" s="46">
        <f t="shared" si="3"/>
        <v>0</v>
      </c>
    </row>
    <row r="47" spans="2:17" ht="16" hidden="1" thickBot="1" x14ac:dyDescent="0.25">
      <c r="B47" s="4">
        <v>40299</v>
      </c>
      <c r="C47" s="2">
        <v>276420</v>
      </c>
      <c r="E47" s="2">
        <v>3137.79</v>
      </c>
      <c r="F47" s="2">
        <v>1115272</v>
      </c>
      <c r="N47" s="22"/>
      <c r="O47" s="22"/>
      <c r="P47" s="48">
        <f t="shared" si="2"/>
        <v>-1</v>
      </c>
      <c r="Q47" s="46">
        <f t="shared" si="3"/>
        <v>0</v>
      </c>
    </row>
    <row r="48" spans="2:17" ht="16" hidden="1" thickBot="1" x14ac:dyDescent="0.25">
      <c r="B48" s="4">
        <v>40330</v>
      </c>
      <c r="C48" s="2">
        <v>130163</v>
      </c>
      <c r="E48" s="2">
        <v>1505.47</v>
      </c>
      <c r="F48" s="2">
        <v>20472791</v>
      </c>
      <c r="N48" s="22"/>
      <c r="O48" s="22"/>
      <c r="P48" s="48">
        <f t="shared" si="2"/>
        <v>-1</v>
      </c>
      <c r="Q48" s="46">
        <f t="shared" si="3"/>
        <v>0</v>
      </c>
    </row>
    <row r="49" spans="2:18" ht="16" thickBot="1" x14ac:dyDescent="0.25">
      <c r="B49" s="7" t="s">
        <v>8</v>
      </c>
      <c r="C49" s="1">
        <f>SUM(C37:C48)</f>
        <v>2306678</v>
      </c>
      <c r="D49" s="109">
        <f>$D$181</f>
        <v>61959.980631111095</v>
      </c>
      <c r="E49" s="1">
        <f t="shared" ref="E49" si="6">SUM(E37:E48)</f>
        <v>30542.95</v>
      </c>
      <c r="F49" s="8">
        <f t="shared" ref="F49" si="7">SUM(F37:F48)</f>
        <v>132415260</v>
      </c>
      <c r="N49" s="45" t="s">
        <v>15</v>
      </c>
      <c r="O49" s="46">
        <f>I146</f>
        <v>210024.22779786523</v>
      </c>
      <c r="P49" s="48">
        <f t="shared" si="2"/>
        <v>-0.31516675946501177</v>
      </c>
      <c r="Q49" s="46">
        <f t="shared" si="3"/>
        <v>147016.95945850565</v>
      </c>
    </row>
    <row r="50" spans="2:18" ht="16" thickBot="1" x14ac:dyDescent="0.25">
      <c r="B50" s="7" t="s">
        <v>22</v>
      </c>
      <c r="C50" s="1">
        <f>C49*J188</f>
        <v>122676.78037089201</v>
      </c>
      <c r="D50" s="109">
        <f>$D$182</f>
        <v>3294.2090696600762</v>
      </c>
      <c r="E50" s="1">
        <f>E49*H188</f>
        <v>65597.134116939385</v>
      </c>
      <c r="F50" s="8">
        <f>F49*E188</f>
        <v>90726.787343556731</v>
      </c>
      <c r="H50" s="4" t="str">
        <f>B36</f>
        <v>FY10</v>
      </c>
      <c r="I50" s="15">
        <f>SUM(C50:F50)</f>
        <v>282294.91090104822</v>
      </c>
      <c r="J50" s="15"/>
      <c r="N50" s="45" t="s">
        <v>16</v>
      </c>
      <c r="O50" s="46">
        <f>I162</f>
        <v>204671.21998950667</v>
      </c>
      <c r="P50" s="48">
        <f t="shared" si="2"/>
        <v>-0.33262149658008161</v>
      </c>
      <c r="Q50" s="46">
        <f t="shared" si="3"/>
        <v>143269.85399265465</v>
      </c>
    </row>
    <row r="51" spans="2:18" x14ac:dyDescent="0.2">
      <c r="N51" s="45" t="s">
        <v>17</v>
      </c>
      <c r="O51" s="46">
        <f>I178</f>
        <v>198552.38753505115</v>
      </c>
      <c r="P51" s="48">
        <f t="shared" si="2"/>
        <v>-0.3525733845218309</v>
      </c>
      <c r="Q51" s="46">
        <f t="shared" si="3"/>
        <v>138986.67127453579</v>
      </c>
    </row>
    <row r="52" spans="2:18" x14ac:dyDescent="0.2">
      <c r="B52" s="4" t="s">
        <v>6</v>
      </c>
      <c r="C52" s="2" t="s">
        <v>27</v>
      </c>
      <c r="E52" s="2" t="s">
        <v>2</v>
      </c>
      <c r="F52" s="2" t="s">
        <v>7</v>
      </c>
      <c r="N52" s="45" t="s">
        <v>24</v>
      </c>
      <c r="O52" s="46">
        <f>I182</f>
        <v>198707.48057223263</v>
      </c>
      <c r="P52" s="48">
        <f t="shared" si="2"/>
        <v>-0.35206766730838812</v>
      </c>
      <c r="Q52" s="46">
        <f t="shared" si="3"/>
        <v>139095.23640056283</v>
      </c>
    </row>
    <row r="53" spans="2:18" hidden="1" x14ac:dyDescent="0.2">
      <c r="B53" s="4">
        <v>40360</v>
      </c>
      <c r="C53" s="2">
        <v>199848</v>
      </c>
      <c r="E53" s="2">
        <v>20</v>
      </c>
      <c r="F53" s="2">
        <v>16690253</v>
      </c>
      <c r="R53" s="20">
        <f t="shared" ref="R53:R63" si="8">(O53-O52)/O52</f>
        <v>-1</v>
      </c>
    </row>
    <row r="54" spans="2:18" hidden="1" x14ac:dyDescent="0.2">
      <c r="B54" s="4">
        <v>40391</v>
      </c>
      <c r="C54" s="2">
        <v>257563</v>
      </c>
      <c r="E54" s="2">
        <v>3001.71</v>
      </c>
      <c r="F54" s="2">
        <v>9027790</v>
      </c>
      <c r="R54" s="20" t="e">
        <f t="shared" si="8"/>
        <v>#DIV/0!</v>
      </c>
    </row>
    <row r="55" spans="2:18" hidden="1" x14ac:dyDescent="0.2">
      <c r="B55" s="4">
        <v>40422</v>
      </c>
      <c r="C55" s="2">
        <v>234202</v>
      </c>
      <c r="E55" s="2">
        <v>1028</v>
      </c>
      <c r="F55" s="2">
        <v>7974741</v>
      </c>
      <c r="R55" s="20" t="e">
        <f t="shared" si="8"/>
        <v>#DIV/0!</v>
      </c>
    </row>
    <row r="56" spans="2:18" hidden="1" x14ac:dyDescent="0.2">
      <c r="B56" s="4">
        <v>40452</v>
      </c>
      <c r="C56" s="2">
        <v>205700</v>
      </c>
      <c r="E56" s="2">
        <v>1599</v>
      </c>
      <c r="F56" s="2">
        <v>7533960</v>
      </c>
      <c r="R56" s="20" t="e">
        <f t="shared" si="8"/>
        <v>#DIV/0!</v>
      </c>
    </row>
    <row r="57" spans="2:18" hidden="1" x14ac:dyDescent="0.2">
      <c r="B57" s="4">
        <v>40483</v>
      </c>
      <c r="C57" s="2">
        <v>245964</v>
      </c>
      <c r="E57" s="2">
        <v>2664</v>
      </c>
      <c r="F57" s="2">
        <v>7160679</v>
      </c>
      <c r="R57" s="20" t="e">
        <f t="shared" si="8"/>
        <v>#DIV/0!</v>
      </c>
    </row>
    <row r="58" spans="2:18" hidden="1" x14ac:dyDescent="0.2">
      <c r="B58" s="4">
        <v>40513</v>
      </c>
      <c r="C58" s="2">
        <v>278529</v>
      </c>
      <c r="E58" s="2">
        <v>4403</v>
      </c>
      <c r="F58" s="2">
        <v>503122</v>
      </c>
      <c r="R58" s="20" t="e">
        <f t="shared" si="8"/>
        <v>#DIV/0!</v>
      </c>
    </row>
    <row r="59" spans="2:18" hidden="1" x14ac:dyDescent="0.2">
      <c r="B59" s="4">
        <v>40544</v>
      </c>
      <c r="C59" s="2">
        <v>204155</v>
      </c>
      <c r="E59" s="2">
        <v>3714</v>
      </c>
      <c r="F59" s="2">
        <v>7558866</v>
      </c>
      <c r="R59" s="20" t="e">
        <f t="shared" si="8"/>
        <v>#DIV/0!</v>
      </c>
    </row>
    <row r="60" spans="2:18" hidden="1" x14ac:dyDescent="0.2">
      <c r="B60" s="4">
        <v>40575</v>
      </c>
      <c r="C60" s="2">
        <v>137216</v>
      </c>
      <c r="E60" s="2">
        <v>3004</v>
      </c>
      <c r="F60" s="2">
        <v>10737235</v>
      </c>
      <c r="R60" s="20" t="e">
        <f t="shared" si="8"/>
        <v>#DIV/0!</v>
      </c>
    </row>
    <row r="61" spans="2:18" hidden="1" x14ac:dyDescent="0.2">
      <c r="B61" s="4">
        <v>40603</v>
      </c>
      <c r="C61" s="2">
        <v>205284</v>
      </c>
      <c r="E61" s="2">
        <v>1223</v>
      </c>
      <c r="F61" s="2">
        <v>8475110</v>
      </c>
      <c r="R61" s="20" t="e">
        <f t="shared" si="8"/>
        <v>#DIV/0!</v>
      </c>
    </row>
    <row r="62" spans="2:18" hidden="1" x14ac:dyDescent="0.2">
      <c r="B62" s="4">
        <v>40634</v>
      </c>
      <c r="C62" s="2">
        <v>192833</v>
      </c>
      <c r="E62" s="2">
        <v>1404</v>
      </c>
      <c r="F62" s="2">
        <v>9041148</v>
      </c>
      <c r="R62" s="20" t="e">
        <f t="shared" si="8"/>
        <v>#DIV/0!</v>
      </c>
    </row>
    <row r="63" spans="2:18" hidden="1" x14ac:dyDescent="0.2">
      <c r="B63" s="4">
        <v>40664</v>
      </c>
      <c r="C63" s="2">
        <v>207344</v>
      </c>
      <c r="E63" s="2">
        <v>771.54</v>
      </c>
      <c r="F63" s="2">
        <v>9927034</v>
      </c>
      <c r="R63" s="20" t="e">
        <f t="shared" si="8"/>
        <v>#DIV/0!</v>
      </c>
    </row>
    <row r="64" spans="2:18" ht="33" customHeight="1" thickBot="1" x14ac:dyDescent="0.25">
      <c r="B64" s="44">
        <v>40695</v>
      </c>
      <c r="C64" s="2">
        <v>196059</v>
      </c>
      <c r="E64" s="2">
        <v>1174.4000000000001</v>
      </c>
      <c r="F64" s="2">
        <v>12522376</v>
      </c>
      <c r="R64" s="20"/>
    </row>
    <row r="65" spans="2:10" ht="16" thickBot="1" x14ac:dyDescent="0.25">
      <c r="B65" s="7" t="s">
        <v>8</v>
      </c>
      <c r="C65" s="1">
        <f>SUM(C53:C64)</f>
        <v>2564697</v>
      </c>
      <c r="D65" s="109">
        <f>$D$181</f>
        <v>61959.980631111095</v>
      </c>
      <c r="E65" s="1">
        <f t="shared" ref="E65" si="9">SUM(E53:E64)</f>
        <v>24006.65</v>
      </c>
      <c r="F65" s="8">
        <f t="shared" ref="F65" si="10">SUM(F53:F64)</f>
        <v>107152314</v>
      </c>
    </row>
    <row r="66" spans="2:10" ht="16" thickBot="1" x14ac:dyDescent="0.25">
      <c r="B66" s="7" t="s">
        <v>22</v>
      </c>
      <c r="C66" s="1">
        <f>C65*J189</f>
        <v>136399.08586585801</v>
      </c>
      <c r="D66" s="109">
        <f>$D$182</f>
        <v>3294.2090696600762</v>
      </c>
      <c r="E66" s="1">
        <f>E65*H189</f>
        <v>50391.617328587992</v>
      </c>
      <c r="F66" s="8">
        <f>F65*E189</f>
        <v>73417.408277928218</v>
      </c>
      <c r="H66" s="4" t="str">
        <f>B52</f>
        <v>FY11</v>
      </c>
      <c r="I66" s="15">
        <f>SUM(C66:F66)</f>
        <v>263502.32054203434</v>
      </c>
      <c r="J66" s="15"/>
    </row>
    <row r="68" spans="2:10" ht="16" thickBot="1" x14ac:dyDescent="0.25">
      <c r="B68" s="4" t="s">
        <v>9</v>
      </c>
      <c r="C68" s="2" t="s">
        <v>10</v>
      </c>
      <c r="E68" s="2" t="s">
        <v>2</v>
      </c>
      <c r="F68" s="2" t="s">
        <v>7</v>
      </c>
    </row>
    <row r="69" spans="2:10" ht="16" hidden="1" thickBot="1" x14ac:dyDescent="0.25">
      <c r="B69" s="4">
        <v>40725</v>
      </c>
      <c r="C69" s="2">
        <v>269010</v>
      </c>
      <c r="E69" s="2">
        <v>0</v>
      </c>
      <c r="F69" s="2">
        <v>14471275</v>
      </c>
    </row>
    <row r="70" spans="2:10" ht="16" hidden="1" thickBot="1" x14ac:dyDescent="0.25">
      <c r="B70" s="4">
        <v>40756</v>
      </c>
      <c r="C70" s="2">
        <v>244442</v>
      </c>
      <c r="E70" s="2">
        <v>0</v>
      </c>
      <c r="F70" s="2">
        <v>14016646</v>
      </c>
    </row>
    <row r="71" spans="2:10" ht="16" hidden="1" thickBot="1" x14ac:dyDescent="0.25">
      <c r="B71" s="4">
        <v>40787</v>
      </c>
      <c r="C71" s="2">
        <v>212664</v>
      </c>
      <c r="E71" s="2">
        <v>302</v>
      </c>
      <c r="F71" s="2">
        <v>13318312</v>
      </c>
    </row>
    <row r="72" spans="2:10" ht="16" hidden="1" thickBot="1" x14ac:dyDescent="0.25">
      <c r="B72" s="4">
        <v>40817</v>
      </c>
      <c r="C72" s="2">
        <v>230343</v>
      </c>
      <c r="E72" s="2">
        <v>0</v>
      </c>
      <c r="F72" s="2">
        <v>9633819</v>
      </c>
    </row>
    <row r="73" spans="2:10" ht="16" hidden="1" thickBot="1" x14ac:dyDescent="0.25">
      <c r="B73" s="4">
        <v>40848</v>
      </c>
      <c r="C73" s="2">
        <v>236655</v>
      </c>
      <c r="E73" s="2">
        <v>0</v>
      </c>
      <c r="F73" s="2">
        <v>7797427</v>
      </c>
    </row>
    <row r="74" spans="2:10" ht="16" hidden="1" thickBot="1" x14ac:dyDescent="0.25">
      <c r="B74" s="4">
        <v>40878</v>
      </c>
      <c r="C74" s="2">
        <v>254304</v>
      </c>
      <c r="E74" s="2">
        <v>0</v>
      </c>
      <c r="F74" s="2">
        <v>1986531</v>
      </c>
    </row>
    <row r="75" spans="2:10" ht="16" hidden="1" thickBot="1" x14ac:dyDescent="0.25">
      <c r="B75" s="4">
        <v>40909</v>
      </c>
      <c r="C75" s="2">
        <v>301262</v>
      </c>
      <c r="E75" s="2">
        <v>0</v>
      </c>
      <c r="F75" s="2">
        <v>3439527</v>
      </c>
    </row>
    <row r="76" spans="2:10" ht="16" hidden="1" thickBot="1" x14ac:dyDescent="0.25">
      <c r="B76" s="4">
        <v>40940</v>
      </c>
      <c r="C76" s="2">
        <v>281159</v>
      </c>
      <c r="E76" s="2">
        <v>0</v>
      </c>
      <c r="F76" s="2">
        <v>3036153</v>
      </c>
    </row>
    <row r="77" spans="2:10" ht="16" hidden="1" thickBot="1" x14ac:dyDescent="0.25">
      <c r="B77" s="4">
        <v>40969</v>
      </c>
      <c r="C77" s="2">
        <v>280866</v>
      </c>
      <c r="E77" s="2">
        <v>0</v>
      </c>
      <c r="F77" s="2">
        <v>2578323</v>
      </c>
    </row>
    <row r="78" spans="2:10" ht="16" hidden="1" thickBot="1" x14ac:dyDescent="0.25">
      <c r="B78" s="4">
        <v>41000</v>
      </c>
      <c r="C78" s="2">
        <v>325329</v>
      </c>
      <c r="E78" s="2">
        <v>382.24</v>
      </c>
      <c r="F78" s="2">
        <v>850565</v>
      </c>
    </row>
    <row r="79" spans="2:10" ht="16" hidden="1" thickBot="1" x14ac:dyDescent="0.25">
      <c r="B79" s="4">
        <v>41030</v>
      </c>
      <c r="C79" s="2">
        <v>360215</v>
      </c>
      <c r="E79" s="2">
        <v>43.71</v>
      </c>
      <c r="F79" s="2">
        <v>1739318</v>
      </c>
    </row>
    <row r="80" spans="2:10" ht="16" hidden="1" thickBot="1" x14ac:dyDescent="0.25">
      <c r="B80" s="4">
        <v>41061</v>
      </c>
      <c r="C80" s="2">
        <v>350910</v>
      </c>
      <c r="E80" s="2">
        <v>0</v>
      </c>
      <c r="F80" s="2">
        <v>917038</v>
      </c>
    </row>
    <row r="81" spans="2:10" ht="16" thickBot="1" x14ac:dyDescent="0.25">
      <c r="B81" s="7" t="s">
        <v>8</v>
      </c>
      <c r="C81" s="1">
        <f>SUM(C69:C80)</f>
        <v>3347159</v>
      </c>
      <c r="D81" s="109">
        <f>$D$181</f>
        <v>61959.980631111095</v>
      </c>
      <c r="E81" s="1">
        <f t="shared" ref="E81" si="11">SUM(E69:E80)</f>
        <v>727.95</v>
      </c>
      <c r="F81" s="8">
        <f t="shared" ref="F81" si="12">SUM(F69:F80)</f>
        <v>73784934</v>
      </c>
    </row>
    <row r="82" spans="2:10" ht="16" thickBot="1" x14ac:dyDescent="0.25">
      <c r="B82" s="7" t="s">
        <v>22</v>
      </c>
      <c r="C82" s="1">
        <f>C81*J190</f>
        <v>177957.47227619207</v>
      </c>
      <c r="D82" s="109">
        <f>$D$182</f>
        <v>3294.2090696600762</v>
      </c>
      <c r="E82" s="1">
        <f>E81*H190</f>
        <v>1472.771150691766</v>
      </c>
      <c r="F82" s="8">
        <f>F81*E190</f>
        <v>46376.878480654821</v>
      </c>
      <c r="H82" s="4" t="str">
        <f>B68</f>
        <v>FY12</v>
      </c>
      <c r="I82" s="15">
        <f>SUM(C82:F82)</f>
        <v>229101.33097719873</v>
      </c>
      <c r="J82" s="15"/>
    </row>
    <row r="84" spans="2:10" ht="16" thickBot="1" x14ac:dyDescent="0.25">
      <c r="B84" s="4" t="s">
        <v>11</v>
      </c>
      <c r="C84" s="2" t="s">
        <v>10</v>
      </c>
      <c r="E84" s="2" t="s">
        <v>2</v>
      </c>
      <c r="F84" s="2" t="s">
        <v>7</v>
      </c>
    </row>
    <row r="85" spans="2:10" ht="16" hidden="1" thickBot="1" x14ac:dyDescent="0.25">
      <c r="B85" s="4">
        <v>41091</v>
      </c>
      <c r="C85" s="2">
        <v>380312</v>
      </c>
      <c r="E85" s="2">
        <v>0</v>
      </c>
      <c r="F85" s="2">
        <v>3888115</v>
      </c>
    </row>
    <row r="86" spans="2:10" ht="16" hidden="1" thickBot="1" x14ac:dyDescent="0.25">
      <c r="B86" s="4">
        <v>41122</v>
      </c>
      <c r="C86" s="2">
        <v>253206</v>
      </c>
      <c r="E86" s="2">
        <v>0</v>
      </c>
      <c r="F86" s="2">
        <v>9023832</v>
      </c>
    </row>
    <row r="87" spans="2:10" ht="16" hidden="1" thickBot="1" x14ac:dyDescent="0.25">
      <c r="B87" s="4">
        <v>41153</v>
      </c>
      <c r="C87" s="2">
        <v>214905</v>
      </c>
      <c r="E87" s="2">
        <v>0</v>
      </c>
      <c r="F87" s="2">
        <v>10367856</v>
      </c>
    </row>
    <row r="88" spans="2:10" ht="16" hidden="1" thickBot="1" x14ac:dyDescent="0.25">
      <c r="B88" s="4">
        <v>41183</v>
      </c>
      <c r="C88" s="2">
        <v>188199</v>
      </c>
      <c r="E88" s="2">
        <v>112.35</v>
      </c>
      <c r="F88" s="2">
        <v>10502525</v>
      </c>
    </row>
    <row r="89" spans="2:10" ht="16" hidden="1" thickBot="1" x14ac:dyDescent="0.25">
      <c r="B89" s="4">
        <v>41214</v>
      </c>
      <c r="C89" s="2">
        <v>227427</v>
      </c>
      <c r="E89" s="2">
        <v>346.35</v>
      </c>
      <c r="F89" s="2">
        <v>6972653</v>
      </c>
    </row>
    <row r="90" spans="2:10" ht="16" hidden="1" thickBot="1" x14ac:dyDescent="0.25">
      <c r="B90" s="4">
        <v>41244</v>
      </c>
      <c r="C90" s="2">
        <v>230669</v>
      </c>
      <c r="E90" s="2">
        <v>176.83</v>
      </c>
      <c r="F90" s="2">
        <v>7347899</v>
      </c>
    </row>
    <row r="91" spans="2:10" ht="16" hidden="1" thickBot="1" x14ac:dyDescent="0.25">
      <c r="B91" s="4">
        <v>41275</v>
      </c>
      <c r="C91" s="2">
        <v>258083</v>
      </c>
      <c r="E91" s="2">
        <v>196.18</v>
      </c>
      <c r="F91" s="2">
        <v>8034676</v>
      </c>
    </row>
    <row r="92" spans="2:10" ht="16" hidden="1" thickBot="1" x14ac:dyDescent="0.25">
      <c r="B92" s="4">
        <v>41306</v>
      </c>
      <c r="C92" s="2">
        <v>204651</v>
      </c>
      <c r="E92" s="2">
        <v>851</v>
      </c>
      <c r="F92" s="2">
        <v>9320251</v>
      </c>
    </row>
    <row r="93" spans="2:10" ht="16" hidden="1" thickBot="1" x14ac:dyDescent="0.25">
      <c r="B93" s="4">
        <v>41334</v>
      </c>
      <c r="C93" s="2">
        <v>221194</v>
      </c>
      <c r="E93" s="2">
        <v>124.44</v>
      </c>
      <c r="F93" s="2">
        <v>10257931</v>
      </c>
    </row>
    <row r="94" spans="2:10" ht="16" hidden="1" thickBot="1" x14ac:dyDescent="0.25">
      <c r="B94" s="4">
        <v>41365</v>
      </c>
      <c r="C94" s="2">
        <v>180761</v>
      </c>
      <c r="E94" s="2">
        <v>0</v>
      </c>
      <c r="F94" s="2">
        <v>11043864</v>
      </c>
    </row>
    <row r="95" spans="2:10" ht="16" hidden="1" thickBot="1" x14ac:dyDescent="0.25">
      <c r="B95" s="4">
        <v>41395</v>
      </c>
      <c r="C95" s="2">
        <v>176671</v>
      </c>
      <c r="E95" s="2">
        <v>0</v>
      </c>
      <c r="F95" s="2">
        <v>13155289</v>
      </c>
    </row>
    <row r="96" spans="2:10" ht="16" hidden="1" thickBot="1" x14ac:dyDescent="0.25">
      <c r="B96" s="4">
        <v>41426</v>
      </c>
      <c r="C96" s="2">
        <v>200130</v>
      </c>
      <c r="E96" s="2">
        <v>0</v>
      </c>
      <c r="F96" s="2">
        <v>11997340</v>
      </c>
    </row>
    <row r="97" spans="2:10" ht="16" thickBot="1" x14ac:dyDescent="0.25">
      <c r="B97" s="7" t="s">
        <v>8</v>
      </c>
      <c r="C97" s="1">
        <f>SUM(C85:C96)</f>
        <v>2736208</v>
      </c>
      <c r="D97" s="109">
        <f>$D$181</f>
        <v>61959.980631111095</v>
      </c>
      <c r="E97" s="1">
        <f t="shared" ref="E97" si="13">SUM(E85:E96)</f>
        <v>1807.15</v>
      </c>
      <c r="F97" s="8">
        <f t="shared" ref="F97" si="14">SUM(F85:F96)</f>
        <v>111912231</v>
      </c>
    </row>
    <row r="98" spans="2:10" ht="16" thickBot="1" x14ac:dyDescent="0.25">
      <c r="B98" s="7" t="s">
        <v>22</v>
      </c>
      <c r="C98" s="1">
        <f>C97*J191</f>
        <v>145475.21026096906</v>
      </c>
      <c r="D98" s="109">
        <f>$D$182</f>
        <v>3294.2090696600762</v>
      </c>
      <c r="E98" s="1">
        <f>E97*H191</f>
        <v>3644.6822895921273</v>
      </c>
      <c r="F98" s="8">
        <f>F97*E191</f>
        <v>70341.459376869141</v>
      </c>
      <c r="H98" s="4" t="str">
        <f>B84</f>
        <v>FY13</v>
      </c>
      <c r="I98" s="15">
        <f>SUM(C98:F98)</f>
        <v>222755.56099709042</v>
      </c>
      <c r="J98" s="15"/>
    </row>
    <row r="100" spans="2:10" ht="16" thickBot="1" x14ac:dyDescent="0.25">
      <c r="B100" s="4" t="s">
        <v>12</v>
      </c>
      <c r="C100" s="2" t="s">
        <v>10</v>
      </c>
      <c r="E100" s="2" t="s">
        <v>2</v>
      </c>
      <c r="F100" s="2" t="s">
        <v>7</v>
      </c>
    </row>
    <row r="101" spans="2:10" ht="16" hidden="1" thickBot="1" x14ac:dyDescent="0.25">
      <c r="B101" s="4">
        <v>41456</v>
      </c>
      <c r="C101" s="2">
        <v>229603</v>
      </c>
      <c r="E101" s="2">
        <v>604</v>
      </c>
      <c r="F101" s="2">
        <v>11878420</v>
      </c>
    </row>
    <row r="102" spans="2:10" ht="16" hidden="1" thickBot="1" x14ac:dyDescent="0.25">
      <c r="B102" s="4">
        <v>41487</v>
      </c>
      <c r="C102" s="2">
        <v>236632</v>
      </c>
      <c r="E102" s="2">
        <v>164</v>
      </c>
      <c r="F102" s="2">
        <v>11156300</v>
      </c>
    </row>
    <row r="103" spans="2:10" ht="16" hidden="1" thickBot="1" x14ac:dyDescent="0.25">
      <c r="B103" s="4">
        <v>41518</v>
      </c>
      <c r="C103" s="2">
        <v>199162</v>
      </c>
      <c r="E103" s="2">
        <v>0</v>
      </c>
      <c r="F103" s="2">
        <v>11354590</v>
      </c>
    </row>
    <row r="104" spans="2:10" ht="16" hidden="1" thickBot="1" x14ac:dyDescent="0.25">
      <c r="B104" s="4">
        <v>41548</v>
      </c>
      <c r="C104" s="2">
        <v>145057</v>
      </c>
      <c r="E104" s="2">
        <v>21</v>
      </c>
      <c r="F104" s="2">
        <v>17731500</v>
      </c>
    </row>
    <row r="105" spans="2:10" ht="16" hidden="1" thickBot="1" x14ac:dyDescent="0.25">
      <c r="B105" s="4">
        <v>41579</v>
      </c>
      <c r="C105" s="2">
        <v>165413</v>
      </c>
      <c r="E105" s="2">
        <v>0</v>
      </c>
      <c r="F105" s="2">
        <v>14918710</v>
      </c>
    </row>
    <row r="106" spans="2:10" ht="16" hidden="1" thickBot="1" x14ac:dyDescent="0.25">
      <c r="B106" s="4">
        <v>41609</v>
      </c>
      <c r="C106" s="2">
        <v>195212</v>
      </c>
      <c r="E106" s="2">
        <v>548.80999999999995</v>
      </c>
      <c r="F106" s="2">
        <v>15975270</v>
      </c>
    </row>
    <row r="107" spans="2:10" ht="16" hidden="1" thickBot="1" x14ac:dyDescent="0.25">
      <c r="B107" s="4">
        <v>41640</v>
      </c>
      <c r="C107" s="2">
        <v>271236</v>
      </c>
      <c r="E107" s="2">
        <v>321.98</v>
      </c>
      <c r="F107" s="2">
        <v>10016800</v>
      </c>
    </row>
    <row r="108" spans="2:10" ht="16" hidden="1" thickBot="1" x14ac:dyDescent="0.25">
      <c r="B108" s="4">
        <v>41671</v>
      </c>
      <c r="C108" s="2">
        <v>269509</v>
      </c>
      <c r="E108" s="2">
        <v>216</v>
      </c>
      <c r="F108" s="2">
        <v>8048140</v>
      </c>
    </row>
    <row r="109" spans="2:10" ht="16" hidden="1" thickBot="1" x14ac:dyDescent="0.25">
      <c r="B109" s="4">
        <v>41699</v>
      </c>
      <c r="C109" s="2">
        <v>217060</v>
      </c>
      <c r="E109" s="2">
        <v>0</v>
      </c>
      <c r="F109" s="2">
        <v>12118330</v>
      </c>
    </row>
    <row r="110" spans="2:10" ht="16" hidden="1" thickBot="1" x14ac:dyDescent="0.25">
      <c r="B110" s="4">
        <v>41730</v>
      </c>
      <c r="C110" s="2">
        <v>134450</v>
      </c>
      <c r="E110" s="2">
        <v>0</v>
      </c>
      <c r="F110" s="2">
        <v>16471460</v>
      </c>
    </row>
    <row r="111" spans="2:10" ht="16" hidden="1" thickBot="1" x14ac:dyDescent="0.25">
      <c r="B111" s="4">
        <v>41760</v>
      </c>
      <c r="C111" s="2">
        <v>128807</v>
      </c>
      <c r="E111" s="2">
        <v>0</v>
      </c>
      <c r="F111" s="2">
        <v>17189980</v>
      </c>
    </row>
    <row r="112" spans="2:10" ht="16" hidden="1" thickBot="1" x14ac:dyDescent="0.25">
      <c r="B112" s="4">
        <v>41791</v>
      </c>
      <c r="C112" s="2">
        <v>155569</v>
      </c>
      <c r="E112" s="2">
        <v>0</v>
      </c>
      <c r="F112" s="2">
        <v>17589500</v>
      </c>
    </row>
    <row r="113" spans="2:10" ht="16" thickBot="1" x14ac:dyDescent="0.25">
      <c r="B113" s="7" t="s">
        <v>8</v>
      </c>
      <c r="C113" s="1">
        <f>SUM(C101:C112)</f>
        <v>2347710</v>
      </c>
      <c r="D113" s="109">
        <f>$D$181</f>
        <v>61959.980631111095</v>
      </c>
      <c r="E113" s="1">
        <f t="shared" ref="E113" si="15">SUM(E101:E112)</f>
        <v>1875.79</v>
      </c>
      <c r="F113" s="8">
        <f t="shared" ref="F113" si="16">SUM(F101:F112)</f>
        <v>164449000</v>
      </c>
    </row>
    <row r="114" spans="2:10" ht="16" thickBot="1" x14ac:dyDescent="0.25">
      <c r="B114" s="7" t="s">
        <v>22</v>
      </c>
      <c r="C114" s="1">
        <f>C113*J192</f>
        <v>124820.04507032348</v>
      </c>
      <c r="D114" s="109">
        <f>$D$182</f>
        <v>3294.2090696600762</v>
      </c>
      <c r="E114" s="1">
        <f>E113*H192</f>
        <v>3796.3009774422667</v>
      </c>
      <c r="F114" s="8">
        <f>F113*E192</f>
        <v>103753.18892523623</v>
      </c>
      <c r="H114" s="4" t="str">
        <f>B100</f>
        <v>FY14</v>
      </c>
      <c r="I114" s="15">
        <f>SUM(C114:F114)</f>
        <v>235663.74404266206</v>
      </c>
      <c r="J114" s="15"/>
    </row>
    <row r="115" spans="2:10" x14ac:dyDescent="0.2">
      <c r="B115" s="13"/>
      <c r="C115" s="10"/>
      <c r="D115" s="10"/>
      <c r="E115" s="10"/>
      <c r="F115" s="10"/>
    </row>
    <row r="116" spans="2:10" ht="16" thickBot="1" x14ac:dyDescent="0.25">
      <c r="B116" s="4" t="s">
        <v>13</v>
      </c>
      <c r="C116" s="2" t="s">
        <v>14</v>
      </c>
      <c r="E116" s="2" t="s">
        <v>2</v>
      </c>
      <c r="F116" s="2" t="s">
        <v>7</v>
      </c>
    </row>
    <row r="117" spans="2:10" ht="16" hidden="1" thickBot="1" x14ac:dyDescent="0.25">
      <c r="B117" s="4">
        <v>41821</v>
      </c>
      <c r="C117" s="2">
        <v>89473</v>
      </c>
      <c r="E117" s="2">
        <v>0</v>
      </c>
      <c r="F117" s="2">
        <v>23914510</v>
      </c>
    </row>
    <row r="118" spans="2:10" ht="16" hidden="1" thickBot="1" x14ac:dyDescent="0.25">
      <c r="B118" s="4">
        <v>41852</v>
      </c>
      <c r="C118" s="2">
        <v>73454</v>
      </c>
      <c r="E118" s="2">
        <v>0</v>
      </c>
      <c r="F118" s="2">
        <v>25045350</v>
      </c>
    </row>
    <row r="119" spans="2:10" ht="16" hidden="1" thickBot="1" x14ac:dyDescent="0.25">
      <c r="B119" s="4">
        <v>41883</v>
      </c>
      <c r="C119" s="2">
        <v>85962</v>
      </c>
      <c r="E119" s="2">
        <v>0</v>
      </c>
      <c r="F119" s="2">
        <v>26123350</v>
      </c>
    </row>
    <row r="120" spans="2:10" ht="16" hidden="1" thickBot="1" x14ac:dyDescent="0.25">
      <c r="B120" s="4">
        <v>41913</v>
      </c>
      <c r="C120" s="2">
        <v>103267</v>
      </c>
      <c r="E120" s="2">
        <v>0</v>
      </c>
      <c r="F120" s="2">
        <v>20599760</v>
      </c>
    </row>
    <row r="121" spans="2:10" ht="16" hidden="1" thickBot="1" x14ac:dyDescent="0.25">
      <c r="B121" s="4">
        <v>41944</v>
      </c>
      <c r="C121" s="2">
        <v>160202</v>
      </c>
      <c r="E121" s="2">
        <v>0</v>
      </c>
      <c r="F121" s="2">
        <v>17213630</v>
      </c>
    </row>
    <row r="122" spans="2:10" ht="16" hidden="1" thickBot="1" x14ac:dyDescent="0.25">
      <c r="B122" s="4">
        <v>41974</v>
      </c>
      <c r="C122" s="2">
        <v>158859</v>
      </c>
      <c r="E122" s="2">
        <v>0</v>
      </c>
      <c r="F122" s="2">
        <v>20871450</v>
      </c>
    </row>
    <row r="123" spans="2:10" ht="16" hidden="1" thickBot="1" x14ac:dyDescent="0.25">
      <c r="B123" s="4">
        <v>42005</v>
      </c>
      <c r="C123" s="2">
        <v>192669.91</v>
      </c>
      <c r="E123" s="2">
        <v>0</v>
      </c>
      <c r="F123" s="2">
        <v>17349930</v>
      </c>
    </row>
    <row r="124" spans="2:10" ht="16" hidden="1" thickBot="1" x14ac:dyDescent="0.25">
      <c r="B124" s="4">
        <v>42036</v>
      </c>
      <c r="C124" s="2">
        <v>228366</v>
      </c>
      <c r="E124" s="2">
        <v>0</v>
      </c>
      <c r="F124" s="2">
        <v>14349360</v>
      </c>
    </row>
    <row r="125" spans="2:10" ht="16" hidden="1" thickBot="1" x14ac:dyDescent="0.25">
      <c r="B125" s="4">
        <v>42064</v>
      </c>
      <c r="C125" s="2">
        <v>151077</v>
      </c>
      <c r="E125" s="2">
        <v>0</v>
      </c>
      <c r="F125" s="2">
        <v>17479560</v>
      </c>
    </row>
    <row r="126" spans="2:10" ht="16" hidden="1" thickBot="1" x14ac:dyDescent="0.25">
      <c r="B126" s="4">
        <v>42095</v>
      </c>
      <c r="C126" s="2">
        <v>97782</v>
      </c>
      <c r="E126" s="2">
        <v>0</v>
      </c>
      <c r="F126" s="2">
        <v>21271140</v>
      </c>
    </row>
    <row r="127" spans="2:10" ht="16" hidden="1" thickBot="1" x14ac:dyDescent="0.25">
      <c r="B127" s="4">
        <v>42125</v>
      </c>
      <c r="C127" s="2">
        <v>88892</v>
      </c>
      <c r="E127" s="2">
        <v>47.79</v>
      </c>
      <c r="F127" s="2">
        <v>24657400</v>
      </c>
    </row>
    <row r="128" spans="2:10" ht="16" hidden="1" thickBot="1" x14ac:dyDescent="0.25">
      <c r="B128" s="4">
        <v>42156</v>
      </c>
      <c r="C128" s="2">
        <v>185202</v>
      </c>
      <c r="E128" s="2">
        <v>0</v>
      </c>
      <c r="F128" s="2">
        <v>14788090</v>
      </c>
    </row>
    <row r="129" spans="2:10" ht="16" thickBot="1" x14ac:dyDescent="0.25">
      <c r="B129" s="7" t="s">
        <v>8</v>
      </c>
      <c r="C129" s="1">
        <f>SUM(C117:C128)</f>
        <v>1615205.9100000001</v>
      </c>
      <c r="D129" s="109">
        <f>$D$181</f>
        <v>61959.980631111095</v>
      </c>
      <c r="E129" s="1">
        <f t="shared" ref="E129" si="17">SUM(E117:E128)</f>
        <v>47.79</v>
      </c>
      <c r="F129" s="8">
        <f t="shared" ref="F129" si="18">SUM(F117:F128)</f>
        <v>243663530</v>
      </c>
    </row>
    <row r="130" spans="2:10" ht="16" thickBot="1" x14ac:dyDescent="0.25">
      <c r="B130" s="7" t="s">
        <v>22</v>
      </c>
      <c r="C130" s="1">
        <f>C129*J193</f>
        <v>85875.203702353727</v>
      </c>
      <c r="D130" s="109">
        <f>$D$182</f>
        <v>3294.2090696600762</v>
      </c>
      <c r="E130" s="1">
        <f>E129*H193</f>
        <v>93.959459462734017</v>
      </c>
      <c r="F130" s="8">
        <f>F129*E193</f>
        <v>153815.41232658972</v>
      </c>
      <c r="H130" s="4" t="str">
        <f>B116</f>
        <v>FY15</v>
      </c>
      <c r="I130" s="15">
        <f>SUM(C130:F130)</f>
        <v>243078.78455806625</v>
      </c>
      <c r="J130" s="15"/>
    </row>
    <row r="132" spans="2:10" ht="16" thickBot="1" x14ac:dyDescent="0.25">
      <c r="B132" s="4" t="s">
        <v>15</v>
      </c>
      <c r="C132" s="2" t="s">
        <v>14</v>
      </c>
      <c r="E132" s="2" t="s">
        <v>2</v>
      </c>
      <c r="F132" s="2" t="s">
        <v>7</v>
      </c>
    </row>
    <row r="133" spans="2:10" ht="16" hidden="1" thickBot="1" x14ac:dyDescent="0.25">
      <c r="B133" s="4">
        <v>42186</v>
      </c>
      <c r="C133" s="2">
        <v>180275</v>
      </c>
      <c r="E133" s="2">
        <v>0</v>
      </c>
      <c r="F133" s="2">
        <v>16889110</v>
      </c>
    </row>
    <row r="134" spans="2:10" ht="16" hidden="1" thickBot="1" x14ac:dyDescent="0.25">
      <c r="B134" s="4">
        <v>42217</v>
      </c>
      <c r="C134" s="2">
        <v>166824</v>
      </c>
      <c r="E134" s="2">
        <v>0</v>
      </c>
      <c r="F134" s="2">
        <v>16852020</v>
      </c>
    </row>
    <row r="135" spans="2:10" ht="16" hidden="1" thickBot="1" x14ac:dyDescent="0.25">
      <c r="B135" s="4">
        <v>42248</v>
      </c>
      <c r="C135" s="2">
        <v>159422.54999999999</v>
      </c>
      <c r="E135" s="2">
        <v>0</v>
      </c>
      <c r="F135" s="2">
        <v>18108540</v>
      </c>
    </row>
    <row r="136" spans="2:10" ht="16" hidden="1" thickBot="1" x14ac:dyDescent="0.25">
      <c r="B136" s="4">
        <v>42278</v>
      </c>
      <c r="C136" s="2">
        <v>163555.81</v>
      </c>
      <c r="E136" s="2">
        <v>0</v>
      </c>
      <c r="F136" s="2">
        <v>13282300</v>
      </c>
    </row>
    <row r="137" spans="2:10" ht="16" hidden="1" thickBot="1" x14ac:dyDescent="0.25">
      <c r="B137" s="4">
        <v>42309</v>
      </c>
      <c r="C137" s="2">
        <v>166258</v>
      </c>
      <c r="E137" s="2">
        <v>0</v>
      </c>
      <c r="F137" s="2">
        <v>13549690</v>
      </c>
    </row>
    <row r="138" spans="2:10" ht="16" hidden="1" thickBot="1" x14ac:dyDescent="0.25">
      <c r="B138" s="4">
        <v>42339</v>
      </c>
      <c r="C138" s="2">
        <v>191119.76</v>
      </c>
      <c r="E138" s="2">
        <v>51.77</v>
      </c>
      <c r="F138" s="2">
        <v>9500710</v>
      </c>
    </row>
    <row r="139" spans="2:10" ht="16" hidden="1" thickBot="1" x14ac:dyDescent="0.25">
      <c r="B139" s="4">
        <v>42370</v>
      </c>
      <c r="C139" s="2">
        <v>247710</v>
      </c>
      <c r="E139" s="2">
        <v>0</v>
      </c>
      <c r="F139" s="2">
        <v>8599650</v>
      </c>
    </row>
    <row r="140" spans="2:10" ht="16" hidden="1" thickBot="1" x14ac:dyDescent="0.25">
      <c r="B140" s="4">
        <v>42401</v>
      </c>
      <c r="C140" s="2">
        <v>216226.14</v>
      </c>
      <c r="E140" s="2">
        <v>0</v>
      </c>
      <c r="F140" s="2">
        <v>8596220</v>
      </c>
    </row>
    <row r="141" spans="2:10" ht="16" hidden="1" thickBot="1" x14ac:dyDescent="0.25">
      <c r="B141" s="4">
        <v>42430</v>
      </c>
      <c r="C141" s="2">
        <v>152800</v>
      </c>
      <c r="E141" s="2">
        <v>0</v>
      </c>
      <c r="F141" s="2">
        <v>15110770</v>
      </c>
    </row>
    <row r="142" spans="2:10" ht="16" hidden="1" thickBot="1" x14ac:dyDescent="0.25">
      <c r="B142" s="4">
        <v>42461</v>
      </c>
      <c r="C142" s="2">
        <v>144945</v>
      </c>
      <c r="E142" s="2">
        <v>0</v>
      </c>
      <c r="F142" s="2">
        <v>14327130</v>
      </c>
    </row>
    <row r="143" spans="2:10" ht="16" hidden="1" thickBot="1" x14ac:dyDescent="0.25">
      <c r="B143" s="4">
        <v>42491</v>
      </c>
      <c r="C143" s="2">
        <v>159431.82</v>
      </c>
      <c r="E143" s="2">
        <v>0</v>
      </c>
      <c r="F143" s="2">
        <v>14567070</v>
      </c>
    </row>
    <row r="144" spans="2:10" ht="16" hidden="1" thickBot="1" x14ac:dyDescent="0.25">
      <c r="B144" s="4">
        <v>42522</v>
      </c>
      <c r="C144" s="2">
        <v>283019.05</v>
      </c>
      <c r="E144" s="2">
        <v>0</v>
      </c>
      <c r="F144" s="2">
        <v>5521110</v>
      </c>
    </row>
    <row r="145" spans="2:10" ht="16" thickBot="1" x14ac:dyDescent="0.25">
      <c r="B145" s="7" t="s">
        <v>8</v>
      </c>
      <c r="C145" s="1">
        <f>SUM(C133:C144)</f>
        <v>2231587.1300000004</v>
      </c>
      <c r="D145" s="109">
        <f>$D$181</f>
        <v>61959.980631111095</v>
      </c>
      <c r="E145" s="1">
        <f t="shared" ref="E145" si="19">SUM(E133:E144)</f>
        <v>51.77</v>
      </c>
      <c r="F145" s="8">
        <f t="shared" ref="F145" si="20">SUM(F133:F144)</f>
        <v>154904320</v>
      </c>
    </row>
    <row r="146" spans="2:10" ht="16" thickBot="1" x14ac:dyDescent="0.25">
      <c r="B146" s="7" t="s">
        <v>22</v>
      </c>
      <c r="C146" s="1">
        <f>C145*J194</f>
        <v>118646.17271509423</v>
      </c>
      <c r="D146" s="109">
        <f>$D$182</f>
        <v>3294.2090696600762</v>
      </c>
      <c r="E146" s="1">
        <f>E145*H194</f>
        <v>98.730816705450735</v>
      </c>
      <c r="F146" s="8">
        <f>F145*E194</f>
        <v>87985.115196405444</v>
      </c>
      <c r="H146" s="4" t="str">
        <f>B132</f>
        <v>FY16</v>
      </c>
      <c r="I146" s="15">
        <f>SUM(C146:F146)</f>
        <v>210024.22779786523</v>
      </c>
      <c r="J146" s="15"/>
    </row>
    <row r="148" spans="2:10" ht="16" thickBot="1" x14ac:dyDescent="0.25">
      <c r="B148" s="4" t="s">
        <v>16</v>
      </c>
      <c r="C148" s="2" t="s">
        <v>14</v>
      </c>
      <c r="E148" s="2" t="s">
        <v>2</v>
      </c>
      <c r="F148" s="2" t="s">
        <v>7</v>
      </c>
    </row>
    <row r="149" spans="2:10" ht="16" hidden="1" thickBot="1" x14ac:dyDescent="0.25">
      <c r="B149" s="4">
        <v>42552</v>
      </c>
      <c r="C149" s="2">
        <v>311130</v>
      </c>
      <c r="E149" s="2">
        <v>0</v>
      </c>
      <c r="F149" s="2">
        <v>7147580</v>
      </c>
    </row>
    <row r="150" spans="2:10" ht="16" hidden="1" thickBot="1" x14ac:dyDescent="0.25">
      <c r="B150" s="4">
        <v>42583</v>
      </c>
      <c r="C150" s="2">
        <v>303577</v>
      </c>
      <c r="E150" s="2">
        <v>0</v>
      </c>
      <c r="F150" s="2">
        <v>8923480</v>
      </c>
    </row>
    <row r="151" spans="2:10" ht="16" hidden="1" thickBot="1" x14ac:dyDescent="0.25">
      <c r="B151" s="4">
        <v>42614</v>
      </c>
      <c r="C151" s="2">
        <v>250401.31</v>
      </c>
      <c r="E151" s="2">
        <v>0</v>
      </c>
      <c r="F151" s="2">
        <v>8641460</v>
      </c>
    </row>
    <row r="152" spans="2:10" ht="16" hidden="1" thickBot="1" x14ac:dyDescent="0.25">
      <c r="B152" s="4">
        <v>42644</v>
      </c>
      <c r="C152" s="2">
        <v>195332.43</v>
      </c>
      <c r="E152" s="2">
        <v>0</v>
      </c>
      <c r="F152" s="2">
        <v>8936500</v>
      </c>
    </row>
    <row r="153" spans="2:10" ht="16" hidden="1" thickBot="1" x14ac:dyDescent="0.25">
      <c r="B153" s="4">
        <v>42675</v>
      </c>
      <c r="C153" s="2">
        <v>158884</v>
      </c>
      <c r="E153" s="2">
        <v>0</v>
      </c>
      <c r="F153" s="2">
        <v>16828820</v>
      </c>
    </row>
    <row r="154" spans="2:10" ht="16" hidden="1" thickBot="1" x14ac:dyDescent="0.25">
      <c r="B154" s="4">
        <v>42705</v>
      </c>
      <c r="C154" s="2">
        <v>281381.76000000001</v>
      </c>
      <c r="E154" s="2">
        <v>0</v>
      </c>
      <c r="F154" s="2">
        <v>2317510</v>
      </c>
    </row>
    <row r="155" spans="2:10" ht="16" hidden="1" thickBot="1" x14ac:dyDescent="0.25">
      <c r="B155" s="4">
        <v>42736</v>
      </c>
      <c r="C155" s="2">
        <v>271678.93</v>
      </c>
      <c r="E155" s="2">
        <v>0</v>
      </c>
      <c r="F155" s="2">
        <v>2561410</v>
      </c>
    </row>
    <row r="156" spans="2:10" ht="16" hidden="1" thickBot="1" x14ac:dyDescent="0.25">
      <c r="B156" s="4">
        <v>42767</v>
      </c>
      <c r="C156" s="2">
        <v>243432</v>
      </c>
      <c r="E156" s="2">
        <v>0</v>
      </c>
      <c r="F156" s="2">
        <v>3202270</v>
      </c>
    </row>
    <row r="157" spans="2:10" ht="16" hidden="1" thickBot="1" x14ac:dyDescent="0.25">
      <c r="B157" s="4">
        <v>42795</v>
      </c>
      <c r="C157" s="2">
        <v>234047</v>
      </c>
      <c r="E157" s="2">
        <v>0</v>
      </c>
      <c r="F157" s="2">
        <v>6115410</v>
      </c>
    </row>
    <row r="158" spans="2:10" ht="16" hidden="1" thickBot="1" x14ac:dyDescent="0.25">
      <c r="B158" s="4">
        <v>42826</v>
      </c>
      <c r="C158" s="2">
        <v>164805</v>
      </c>
      <c r="E158" s="2">
        <v>0</v>
      </c>
      <c r="F158" s="2">
        <v>8502350</v>
      </c>
    </row>
    <row r="159" spans="2:10" ht="16" hidden="1" thickBot="1" x14ac:dyDescent="0.25">
      <c r="B159" s="4">
        <v>42856</v>
      </c>
      <c r="C159" s="2">
        <v>189619</v>
      </c>
      <c r="E159" s="2">
        <v>0</v>
      </c>
      <c r="F159" s="2">
        <v>10327640</v>
      </c>
    </row>
    <row r="160" spans="2:10" ht="16" hidden="1" thickBot="1" x14ac:dyDescent="0.25">
      <c r="B160" s="4">
        <v>42887</v>
      </c>
      <c r="C160" s="2">
        <v>257714</v>
      </c>
      <c r="E160" s="2">
        <v>0</v>
      </c>
      <c r="F160" s="2">
        <v>3153820</v>
      </c>
    </row>
    <row r="161" spans="2:10" ht="16" thickBot="1" x14ac:dyDescent="0.25">
      <c r="B161" s="7" t="s">
        <v>8</v>
      </c>
      <c r="C161" s="1">
        <f>SUM(C149:C160)</f>
        <v>2862002.4299999997</v>
      </c>
      <c r="D161" s="109">
        <f>$D$181</f>
        <v>61959.980631111095</v>
      </c>
      <c r="E161" s="1">
        <f t="shared" ref="E161" si="21">SUM(E149:E160)</f>
        <v>0</v>
      </c>
      <c r="F161" s="8">
        <f t="shared" ref="F161" si="22">SUM(F149:F160)</f>
        <v>86658250</v>
      </c>
    </row>
    <row r="162" spans="2:10" ht="16" thickBot="1" x14ac:dyDescent="0.25">
      <c r="B162" s="7" t="s">
        <v>22</v>
      </c>
      <c r="C162" s="1">
        <f>C161*J195</f>
        <v>152163.28775869904</v>
      </c>
      <c r="D162" s="109">
        <f>$D$182</f>
        <v>3294.2090696600762</v>
      </c>
      <c r="E162" s="1">
        <f>E161*H195</f>
        <v>0</v>
      </c>
      <c r="F162" s="8">
        <f>F161*E195</f>
        <v>49213.723161147558</v>
      </c>
      <c r="H162" s="4" t="str">
        <f>B148</f>
        <v>FY17</v>
      </c>
      <c r="I162" s="15">
        <f>SUM(C162:F162)</f>
        <v>204671.21998950667</v>
      </c>
      <c r="J162" s="15"/>
    </row>
    <row r="164" spans="2:10" ht="16" thickBot="1" x14ac:dyDescent="0.25">
      <c r="B164" s="4" t="s">
        <v>17</v>
      </c>
      <c r="C164" s="2" t="s">
        <v>14</v>
      </c>
      <c r="E164" s="2" t="s">
        <v>2</v>
      </c>
      <c r="F164" s="2" t="s">
        <v>7</v>
      </c>
    </row>
    <row r="165" spans="2:10" ht="16" hidden="1" thickBot="1" x14ac:dyDescent="0.25">
      <c r="B165" s="4">
        <v>42917</v>
      </c>
      <c r="C165" s="2">
        <v>256372</v>
      </c>
      <c r="E165" s="2">
        <v>0</v>
      </c>
      <c r="F165" s="5">
        <v>4505190</v>
      </c>
    </row>
    <row r="166" spans="2:10" ht="16" hidden="1" thickBot="1" x14ac:dyDescent="0.25">
      <c r="B166" s="4">
        <v>42948</v>
      </c>
      <c r="C166" s="2">
        <v>208589</v>
      </c>
      <c r="E166" s="2">
        <v>0</v>
      </c>
      <c r="F166" s="2">
        <v>5051020</v>
      </c>
    </row>
    <row r="167" spans="2:10" ht="16" hidden="1" thickBot="1" x14ac:dyDescent="0.25">
      <c r="B167" s="4">
        <v>42979</v>
      </c>
      <c r="C167" s="2">
        <v>299180</v>
      </c>
      <c r="E167" s="2">
        <v>0</v>
      </c>
      <c r="F167" s="2">
        <v>3673740</v>
      </c>
    </row>
    <row r="168" spans="2:10" ht="16" hidden="1" thickBot="1" x14ac:dyDescent="0.25">
      <c r="B168" s="4">
        <v>43374</v>
      </c>
      <c r="C168" s="2">
        <v>159130</v>
      </c>
      <c r="E168" s="2">
        <v>0</v>
      </c>
      <c r="F168" s="2">
        <v>5103740</v>
      </c>
    </row>
    <row r="169" spans="2:10" ht="16" hidden="1" thickBot="1" x14ac:dyDescent="0.25">
      <c r="B169" s="4">
        <v>43040</v>
      </c>
      <c r="C169" s="2">
        <v>201762</v>
      </c>
      <c r="E169" s="2">
        <v>0</v>
      </c>
      <c r="F169" s="2">
        <v>15488650</v>
      </c>
    </row>
    <row r="170" spans="2:10" ht="16" hidden="1" thickBot="1" x14ac:dyDescent="0.25">
      <c r="B170" s="4">
        <v>43070</v>
      </c>
      <c r="C170" s="2">
        <v>237941</v>
      </c>
      <c r="E170" s="2">
        <v>0</v>
      </c>
      <c r="F170" s="2">
        <v>10190330</v>
      </c>
    </row>
    <row r="171" spans="2:10" ht="16" hidden="1" thickBot="1" x14ac:dyDescent="0.25">
      <c r="B171" s="4">
        <v>43101</v>
      </c>
      <c r="C171" s="2">
        <v>258778</v>
      </c>
      <c r="E171" s="2">
        <v>0</v>
      </c>
      <c r="F171" s="2">
        <v>7434420</v>
      </c>
    </row>
    <row r="172" spans="2:10" ht="16" hidden="1" thickBot="1" x14ac:dyDescent="0.25">
      <c r="B172" s="4">
        <v>43132</v>
      </c>
      <c r="C172" s="2">
        <v>256356</v>
      </c>
      <c r="E172" s="2">
        <v>0</v>
      </c>
      <c r="F172" s="2">
        <v>2360830</v>
      </c>
    </row>
    <row r="173" spans="2:10" ht="16" hidden="1" thickBot="1" x14ac:dyDescent="0.25">
      <c r="B173" s="4">
        <v>43160</v>
      </c>
      <c r="C173" s="2">
        <v>276150</v>
      </c>
      <c r="E173" s="2">
        <v>0</v>
      </c>
      <c r="F173" s="2">
        <v>9324610</v>
      </c>
    </row>
    <row r="174" spans="2:10" ht="16" hidden="1" thickBot="1" x14ac:dyDescent="0.25">
      <c r="B174" s="4">
        <v>43191</v>
      </c>
      <c r="C174" s="2">
        <v>179895</v>
      </c>
      <c r="E174" s="2">
        <v>0</v>
      </c>
      <c r="F174" s="2">
        <v>6355460</v>
      </c>
    </row>
    <row r="175" spans="2:10" ht="16" hidden="1" thickBot="1" x14ac:dyDescent="0.25">
      <c r="B175" s="4">
        <v>43221</v>
      </c>
      <c r="C175" s="2">
        <v>189712</v>
      </c>
      <c r="E175" s="2">
        <v>0</v>
      </c>
      <c r="F175" s="2">
        <v>5547080</v>
      </c>
    </row>
    <row r="176" spans="2:10" ht="16" hidden="1" thickBot="1" x14ac:dyDescent="0.25">
      <c r="B176" s="4">
        <v>43253</v>
      </c>
      <c r="C176" s="2">
        <v>299270</v>
      </c>
      <c r="E176" s="2">
        <v>0</v>
      </c>
      <c r="F176" s="5">
        <v>4505190</v>
      </c>
    </row>
    <row r="177" spans="2:17" ht="16" thickBot="1" x14ac:dyDescent="0.25">
      <c r="B177" s="7" t="s">
        <v>8</v>
      </c>
      <c r="C177" s="1">
        <f>SUM(C165:C176)</f>
        <v>2823135</v>
      </c>
      <c r="D177" s="109">
        <f>$D$181</f>
        <v>61959.980631111095</v>
      </c>
      <c r="E177" s="1">
        <f t="shared" ref="E177:F177" si="23">SUM(E165:E176)</f>
        <v>0</v>
      </c>
      <c r="F177" s="8">
        <f t="shared" si="23"/>
        <v>79540260</v>
      </c>
    </row>
    <row r="178" spans="2:17" ht="16" thickBot="1" x14ac:dyDescent="0.25">
      <c r="B178" s="7" t="s">
        <v>22</v>
      </c>
      <c r="C178" s="1">
        <f>C177*J196</f>
        <v>150096.83391032441</v>
      </c>
      <c r="D178" s="109">
        <f>$D$182</f>
        <v>3294.2090696600762</v>
      </c>
      <c r="E178" s="1">
        <f>E177*H196</f>
        <v>0</v>
      </c>
      <c r="F178" s="8">
        <f>F177*E196</f>
        <v>45161.344555066673</v>
      </c>
      <c r="H178" s="4" t="str">
        <f>B164</f>
        <v>FY18</v>
      </c>
      <c r="I178" s="15">
        <f>SUM(C178:F178)</f>
        <v>198552.38753505115</v>
      </c>
      <c r="J178" s="15"/>
    </row>
    <row r="180" spans="2:17" ht="16" thickBot="1" x14ac:dyDescent="0.25">
      <c r="B180" s="4" t="s">
        <v>24</v>
      </c>
      <c r="C180" s="2" t="s">
        <v>195</v>
      </c>
      <c r="D180" s="2" t="s">
        <v>196</v>
      </c>
      <c r="E180" s="2" t="s">
        <v>25</v>
      </c>
      <c r="F180" s="2" t="s">
        <v>26</v>
      </c>
      <c r="G180" s="2" t="s">
        <v>155</v>
      </c>
    </row>
    <row r="181" spans="2:17" ht="16" thickBot="1" x14ac:dyDescent="0.25">
      <c r="B181" s="7" t="s">
        <v>8</v>
      </c>
      <c r="C181" s="1">
        <v>3001306.6783838384</v>
      </c>
      <c r="D181" s="1">
        <v>61959.980631111095</v>
      </c>
      <c r="E181" s="1">
        <v>0</v>
      </c>
      <c r="F181" s="8">
        <f>77477900+F234</f>
        <v>78424615</v>
      </c>
      <c r="G181" s="8">
        <f>C234</f>
        <v>15295141</v>
      </c>
    </row>
    <row r="182" spans="2:17" ht="16" thickBot="1" x14ac:dyDescent="0.25">
      <c r="B182" s="7" t="s">
        <v>22</v>
      </c>
      <c r="C182" s="1">
        <f>C181*J197</f>
        <v>159569.63801565507</v>
      </c>
      <c r="D182" s="1">
        <f>D181*J197</f>
        <v>3294.2090696600762</v>
      </c>
      <c r="E182" s="1">
        <f>E181*H197</f>
        <v>0</v>
      </c>
      <c r="F182" s="8">
        <f>F181*E197</f>
        <v>44527.903977349961</v>
      </c>
      <c r="G182" s="8">
        <f>-1*(G181*E197)</f>
        <v>-8684.2704904324801</v>
      </c>
      <c r="H182" s="4" t="str">
        <f>B180</f>
        <v>FY19</v>
      </c>
      <c r="I182" s="15">
        <f>SUM(C182:G182)</f>
        <v>198707.48057223263</v>
      </c>
      <c r="J182" s="15"/>
    </row>
    <row r="183" spans="2:17" x14ac:dyDescent="0.2">
      <c r="E183" s="6" t="s">
        <v>200</v>
      </c>
      <c r="F183" s="6">
        <f>(F181-G181)*E197</f>
        <v>35843.633486917483</v>
      </c>
    </row>
    <row r="185" spans="2:17" x14ac:dyDescent="0.2">
      <c r="B185" s="36" t="s">
        <v>98</v>
      </c>
      <c r="C185" s="78"/>
      <c r="D185" s="78"/>
      <c r="E185" s="81" t="s">
        <v>125</v>
      </c>
      <c r="F185" s="83" t="s">
        <v>144</v>
      </c>
      <c r="G185" s="22"/>
      <c r="H185" s="81" t="s">
        <v>137</v>
      </c>
      <c r="I185" s="36" t="s">
        <v>101</v>
      </c>
    </row>
    <row r="186" spans="2:17" ht="18" x14ac:dyDescent="0.2">
      <c r="B186" s="42" t="s">
        <v>88</v>
      </c>
      <c r="C186" s="79">
        <f>('7. Emissions'!Q33+'7. Emissions'!Q34)/2</f>
        <v>8.4437386569872954E-4</v>
      </c>
      <c r="D186" s="79"/>
      <c r="E186" s="82">
        <f>0.7071056361/1000</f>
        <v>7.0710563610000001E-4</v>
      </c>
      <c r="F186" s="80" t="s">
        <v>88</v>
      </c>
      <c r="G186" s="79">
        <v>2.0793850283080002</v>
      </c>
      <c r="H186" s="43">
        <v>2.1879748780299995</v>
      </c>
      <c r="I186" s="80" t="s">
        <v>88</v>
      </c>
      <c r="J186" s="43">
        <v>5.3183314000000002E-2</v>
      </c>
      <c r="N186" s="69"/>
      <c r="O186" s="69"/>
      <c r="P186" s="69"/>
    </row>
    <row r="187" spans="2:17" ht="18" x14ac:dyDescent="0.2">
      <c r="B187" s="42" t="s">
        <v>84</v>
      </c>
      <c r="C187" s="79">
        <f>('7. Emissions'!Q34+'7. Emissions'!Q35)/2</f>
        <v>8.4187840290381134E-4</v>
      </c>
      <c r="D187" s="79"/>
      <c r="E187" s="82">
        <f>0.6929806073/1000</f>
        <v>6.9298060729999994E-4</v>
      </c>
      <c r="F187" s="80" t="s">
        <v>84</v>
      </c>
      <c r="G187" s="79">
        <v>2.0957259715559999</v>
      </c>
      <c r="H187" s="43">
        <v>2.1705926597660001</v>
      </c>
      <c r="I187" s="80" t="s">
        <v>84</v>
      </c>
      <c r="J187" s="43">
        <v>5.3183314000000002E-2</v>
      </c>
      <c r="N187" s="70"/>
      <c r="O187" s="69"/>
      <c r="P187" s="69"/>
      <c r="Q187" s="69"/>
    </row>
    <row r="188" spans="2:17" ht="18" x14ac:dyDescent="0.2">
      <c r="B188" s="42" t="s">
        <v>85</v>
      </c>
      <c r="C188" s="79">
        <f>('7. Emissions'!Q35+'7. Emissions'!Q36)/2</f>
        <v>8.4596188747731397E-4</v>
      </c>
      <c r="D188" s="79"/>
      <c r="E188" s="82">
        <f>0.6851686682/1000</f>
        <v>6.8516866819999999E-4</v>
      </c>
      <c r="F188" s="80" t="s">
        <v>85</v>
      </c>
      <c r="G188" s="79">
        <v>2.0192465569359999</v>
      </c>
      <c r="H188" s="43">
        <v>2.1477013227910002</v>
      </c>
      <c r="I188" s="80" t="s">
        <v>85</v>
      </c>
      <c r="J188" s="43">
        <v>5.3183314000000002E-2</v>
      </c>
      <c r="N188" s="70"/>
      <c r="O188" s="69"/>
      <c r="P188" s="69"/>
      <c r="Q188" s="69"/>
    </row>
    <row r="189" spans="2:17" ht="18" x14ac:dyDescent="0.2">
      <c r="B189" s="42" t="s">
        <v>86</v>
      </c>
      <c r="C189" s="79">
        <f>('7. Emissions'!Q36+'7. Emissions'!Q37)/2</f>
        <v>8.3734119782214161E-4</v>
      </c>
      <c r="D189" s="79"/>
      <c r="E189" s="82">
        <f>0.6851686682/1000</f>
        <v>6.8516866819999999E-4</v>
      </c>
      <c r="F189" s="80" t="s">
        <v>86</v>
      </c>
      <c r="G189" s="79">
        <v>2.0995261909160003</v>
      </c>
      <c r="H189" s="43">
        <v>2.0990691049600003</v>
      </c>
      <c r="I189" s="80" t="s">
        <v>86</v>
      </c>
      <c r="J189" s="43">
        <v>5.3183314000000002E-2</v>
      </c>
      <c r="N189" s="70"/>
      <c r="O189" s="69"/>
      <c r="P189" s="69"/>
      <c r="Q189" s="69"/>
    </row>
    <row r="190" spans="2:17" ht="18" x14ac:dyDescent="0.2">
      <c r="B190" s="42" t="s">
        <v>87</v>
      </c>
      <c r="C190" s="79">
        <f>('7. Emissions'!Q37+'7. Emissions'!Q38)/2</f>
        <v>7.8085299455535394E-4</v>
      </c>
      <c r="D190" s="79"/>
      <c r="E190" s="82">
        <f>0.62854130195/1000</f>
        <v>6.2854130194999998E-4</v>
      </c>
      <c r="F190" s="80" t="s">
        <v>87</v>
      </c>
      <c r="G190" s="79">
        <v>2.0220223857842616</v>
      </c>
      <c r="H190" s="43">
        <v>2.023176249319</v>
      </c>
      <c r="I190" s="80" t="s">
        <v>87</v>
      </c>
      <c r="J190" s="43">
        <v>5.3166722069729007E-2</v>
      </c>
      <c r="N190" s="70"/>
      <c r="O190" s="69"/>
      <c r="P190" s="69"/>
      <c r="Q190" s="69"/>
    </row>
    <row r="191" spans="2:17" ht="18" x14ac:dyDescent="0.2">
      <c r="B191" s="42" t="s">
        <v>89</v>
      </c>
      <c r="C191" s="79">
        <f>('7. Emissions'!Q38+'7. Emissions'!Q39)/2</f>
        <v>7.4001814882032667E-4</v>
      </c>
      <c r="D191" s="79"/>
      <c r="E191" s="82">
        <f>0.62854130195/1000</f>
        <v>6.2854130194999998E-4</v>
      </c>
      <c r="F191" s="80" t="s">
        <v>89</v>
      </c>
      <c r="G191" s="79">
        <v>2.0156620336787432</v>
      </c>
      <c r="H191" s="43">
        <v>2.0168122677100002</v>
      </c>
      <c r="I191" s="80" t="s">
        <v>89</v>
      </c>
      <c r="J191" s="43">
        <v>5.3166722069729007E-2</v>
      </c>
      <c r="N191" s="70"/>
      <c r="O191" s="69"/>
      <c r="P191" s="69"/>
      <c r="Q191" s="69"/>
    </row>
    <row r="192" spans="2:17" ht="18" x14ac:dyDescent="0.2">
      <c r="B192" s="42" t="s">
        <v>90</v>
      </c>
      <c r="C192" s="79">
        <f>('7. Emissions'!Q39+'7. Emissions'!Q40)/2</f>
        <v>7.3865698729582579E-4</v>
      </c>
      <c r="D192" s="79"/>
      <c r="E192" s="82">
        <f>0.63091407625/1000</f>
        <v>6.3091407624999991E-4</v>
      </c>
      <c r="F192" s="80" t="s">
        <v>90</v>
      </c>
      <c r="G192" s="79">
        <v>2.0226869001833454</v>
      </c>
      <c r="H192" s="43">
        <v>2.0238411429009999</v>
      </c>
      <c r="I192" s="80" t="s">
        <v>90</v>
      </c>
      <c r="J192" s="43">
        <v>5.3166722069729007E-2</v>
      </c>
      <c r="N192" s="70"/>
      <c r="O192" s="69"/>
      <c r="P192" s="69"/>
      <c r="Q192" s="69"/>
    </row>
    <row r="193" spans="1:18" ht="18" x14ac:dyDescent="0.2">
      <c r="B193" s="42" t="s">
        <v>91</v>
      </c>
      <c r="C193" s="79">
        <f>('7. Emissions'!Q40+'7. Emissions'!Q41)/2</f>
        <v>7.0893829401088931E-4</v>
      </c>
      <c r="D193" s="79"/>
      <c r="E193" s="82">
        <f>0.63126152825/1000</f>
        <v>6.3126152824999999E-4</v>
      </c>
      <c r="F193" s="80" t="s">
        <v>91</v>
      </c>
      <c r="G193" s="79">
        <v>1.9881321514309762</v>
      </c>
      <c r="H193" s="43">
        <v>1.966090384238</v>
      </c>
      <c r="I193" s="80" t="s">
        <v>91</v>
      </c>
      <c r="J193" s="43">
        <v>5.3166722069729007E-2</v>
      </c>
      <c r="N193" s="70"/>
      <c r="O193" s="69"/>
      <c r="P193" s="69"/>
      <c r="Q193" s="69"/>
    </row>
    <row r="194" spans="1:18" ht="18" x14ac:dyDescent="0.2">
      <c r="B194" s="42" t="s">
        <v>92</v>
      </c>
      <c r="C194" s="79">
        <f>('7. Emissions'!Q41+'7. Emissions'!Q42)/2</f>
        <v>6.8534482758620687E-4</v>
      </c>
      <c r="D194" s="79"/>
      <c r="E194" s="82">
        <f>0.56799652325/1000</f>
        <v>5.6799652325000005E-4</v>
      </c>
      <c r="F194" s="80" t="s">
        <v>92</v>
      </c>
      <c r="G194" s="79">
        <v>1.9881321514309762</v>
      </c>
      <c r="H194" s="43">
        <v>1.9071048233619998</v>
      </c>
      <c r="I194" s="80" t="s">
        <v>92</v>
      </c>
      <c r="J194" s="43">
        <v>5.3166722069729007E-2</v>
      </c>
      <c r="N194" s="70"/>
      <c r="O194" s="69"/>
      <c r="P194" s="69"/>
      <c r="Q194" s="69"/>
    </row>
    <row r="195" spans="1:18" ht="18" x14ac:dyDescent="0.2">
      <c r="B195" s="42" t="s">
        <v>93</v>
      </c>
      <c r="C195" s="79">
        <f>('7. Emissions'!Q42+'7. Emissions'!Q43)/2</f>
        <v>6.7627041742286751E-4</v>
      </c>
      <c r="D195" s="79"/>
      <c r="E195" s="82">
        <f>0.56790580425/1000</f>
        <v>5.6790580424999999E-4</v>
      </c>
      <c r="F195" s="80" t="s">
        <v>93</v>
      </c>
      <c r="G195" s="79">
        <v>1.9881321514309762</v>
      </c>
      <c r="H195" s="43">
        <v>1.849069110251</v>
      </c>
      <c r="I195" s="80" t="s">
        <v>93</v>
      </c>
      <c r="J195" s="43">
        <v>5.3166722069729007E-2</v>
      </c>
      <c r="N195" s="70"/>
      <c r="O195" s="69"/>
      <c r="P195" s="69"/>
      <c r="Q195" s="69"/>
    </row>
    <row r="196" spans="1:18" ht="18" x14ac:dyDescent="0.2">
      <c r="B196" s="42" t="s">
        <v>94</v>
      </c>
      <c r="C196" s="79">
        <f>('7. Emissions'!Q43+'7. Emissions'!Q44)/2</f>
        <v>6.4246823956442829E-4</v>
      </c>
      <c r="D196" s="79"/>
      <c r="E196" s="82">
        <f>0.5677796949/1000</f>
        <v>5.6777969489999998E-4</v>
      </c>
      <c r="F196" s="80" t="s">
        <v>94</v>
      </c>
      <c r="G196" s="79">
        <v>1.9881321514309762</v>
      </c>
      <c r="H196" s="43">
        <v>1.8301671350050002</v>
      </c>
      <c r="I196" s="80" t="s">
        <v>94</v>
      </c>
      <c r="J196" s="43">
        <v>5.3166722069729007E-2</v>
      </c>
      <c r="N196" s="70"/>
      <c r="O196" s="69"/>
      <c r="P196" s="69"/>
      <c r="Q196" s="69"/>
    </row>
    <row r="197" spans="1:18" ht="18" x14ac:dyDescent="0.2">
      <c r="B197" s="42" t="s">
        <v>95</v>
      </c>
      <c r="C197" s="79">
        <f>('7. Emissions'!Q44+'7. Emissions'!Q45)/2</f>
        <v>6.1751361161524498E-4</v>
      </c>
      <c r="D197" s="79"/>
      <c r="E197" s="82">
        <f>0.5677796949/1000</f>
        <v>5.6777969489999998E-4</v>
      </c>
      <c r="F197" s="80" t="s">
        <v>95</v>
      </c>
      <c r="G197" s="79">
        <v>1.9881321514309762</v>
      </c>
      <c r="H197" s="43">
        <v>1.8301671350050002</v>
      </c>
      <c r="I197" s="80" t="s">
        <v>95</v>
      </c>
      <c r="J197" s="43">
        <v>5.3166722069729007E-2</v>
      </c>
      <c r="N197" s="70"/>
      <c r="O197" s="69"/>
      <c r="P197"/>
    </row>
    <row r="198" spans="1:18" s="39" customFormat="1" ht="34" customHeight="1" x14ac:dyDescent="0.2">
      <c r="B198" s="115" t="s">
        <v>99</v>
      </c>
      <c r="C198" s="115"/>
      <c r="D198" s="93"/>
      <c r="E198" s="67"/>
      <c r="F198" s="116" t="s">
        <v>100</v>
      </c>
      <c r="G198" s="116"/>
      <c r="H198" s="37"/>
      <c r="I198" s="116" t="s">
        <v>100</v>
      </c>
      <c r="J198" s="116"/>
      <c r="K198" s="37"/>
      <c r="L198" s="37"/>
      <c r="N198" s="37"/>
      <c r="O198" s="37"/>
      <c r="P198" s="37"/>
      <c r="R198" s="40"/>
    </row>
    <row r="199" spans="1:18" s="39" customFormat="1" x14ac:dyDescent="0.2">
      <c r="B199" s="37"/>
      <c r="C199" s="37">
        <f>C197/C186</f>
        <v>0.73132724341751743</v>
      </c>
      <c r="D199" s="37"/>
      <c r="E199" s="77">
        <f>E197/E186</f>
        <v>0.80296304528352491</v>
      </c>
      <c r="F199" s="38"/>
      <c r="G199" s="37">
        <f>G197/G186</f>
        <v>0.95611544969558782</v>
      </c>
      <c r="H199" s="77">
        <f>H197/H186</f>
        <v>0.83646624711378725</v>
      </c>
      <c r="I199" s="37"/>
      <c r="J199" s="37"/>
      <c r="K199" s="37"/>
      <c r="L199" s="37"/>
      <c r="N199" s="37"/>
      <c r="O199" s="37"/>
      <c r="P199" s="37"/>
      <c r="R199" s="40"/>
    </row>
    <row r="200" spans="1:18" s="39" customFormat="1" x14ac:dyDescent="0.2">
      <c r="B200" s="37"/>
      <c r="C200" s="37"/>
      <c r="D200" s="37"/>
      <c r="E200" s="38"/>
      <c r="F200" s="38"/>
      <c r="H200" s="37"/>
      <c r="I200" s="37"/>
      <c r="J200" s="37"/>
      <c r="K200" s="37"/>
      <c r="L200" s="37"/>
      <c r="N200" s="37"/>
      <c r="O200" s="37"/>
      <c r="P200" s="37"/>
      <c r="R200" s="40"/>
    </row>
    <row r="201" spans="1:18" s="39" customFormat="1" x14ac:dyDescent="0.2">
      <c r="B201" s="37"/>
      <c r="C201" s="37"/>
      <c r="D201" s="37"/>
      <c r="E201" s="38"/>
      <c r="F201" s="38"/>
      <c r="H201" s="37"/>
      <c r="I201" s="37"/>
      <c r="J201" s="37"/>
      <c r="K201" s="37"/>
      <c r="L201" s="37"/>
      <c r="N201" s="37"/>
      <c r="O201" s="37"/>
      <c r="P201" s="37"/>
      <c r="R201" s="40"/>
    </row>
    <row r="202" spans="1:18" s="39" customFormat="1" x14ac:dyDescent="0.2">
      <c r="B202" s="37" t="s">
        <v>134</v>
      </c>
      <c r="C202" s="37"/>
      <c r="D202" s="37"/>
      <c r="E202" s="38"/>
      <c r="F202" s="38"/>
      <c r="H202" s="37"/>
      <c r="I202" s="37"/>
      <c r="K202" s="37" t="s">
        <v>138</v>
      </c>
      <c r="L202" s="37"/>
      <c r="M202" s="38"/>
      <c r="N202" s="38"/>
      <c r="P202" s="37"/>
      <c r="R202" s="40"/>
    </row>
    <row r="203" spans="1:18" s="39" customFormat="1" x14ac:dyDescent="0.2">
      <c r="B203" s="37" t="s">
        <v>126</v>
      </c>
      <c r="C203" s="37" t="s">
        <v>130</v>
      </c>
      <c r="D203" s="37"/>
      <c r="E203" s="38" t="s">
        <v>131</v>
      </c>
      <c r="F203" s="38" t="s">
        <v>127</v>
      </c>
      <c r="G203" s="39" t="s">
        <v>135</v>
      </c>
      <c r="H203" s="37" t="s">
        <v>136</v>
      </c>
      <c r="I203" s="37"/>
      <c r="K203" s="37" t="s">
        <v>139</v>
      </c>
      <c r="L203" s="37" t="s">
        <v>130</v>
      </c>
      <c r="M203" s="38" t="s">
        <v>131</v>
      </c>
      <c r="N203" s="38" t="s">
        <v>127</v>
      </c>
      <c r="O203" s="72" t="s">
        <v>135</v>
      </c>
      <c r="P203" s="73" t="s">
        <v>136</v>
      </c>
      <c r="R203" s="40"/>
    </row>
    <row r="204" spans="1:18" s="39" customFormat="1" x14ac:dyDescent="0.2">
      <c r="B204" s="37" t="s">
        <v>128</v>
      </c>
      <c r="C204" s="37" t="s">
        <v>129</v>
      </c>
      <c r="D204" s="37"/>
      <c r="E204" s="37" t="s">
        <v>132</v>
      </c>
      <c r="F204" s="38" t="s">
        <v>133</v>
      </c>
      <c r="H204" s="37"/>
      <c r="I204" s="37"/>
      <c r="K204" s="37" t="s">
        <v>140</v>
      </c>
      <c r="L204" s="37" t="s">
        <v>141</v>
      </c>
      <c r="M204" s="37" t="s">
        <v>142</v>
      </c>
      <c r="N204" s="38" t="s">
        <v>143</v>
      </c>
      <c r="P204" s="37"/>
      <c r="R204" s="40"/>
    </row>
    <row r="205" spans="1:18" s="39" customFormat="1" x14ac:dyDescent="0.2">
      <c r="A205" s="39">
        <v>2008</v>
      </c>
      <c r="B205" s="37">
        <v>0.70375600000000005</v>
      </c>
      <c r="C205" s="37">
        <v>8.3327000000000007E-6</v>
      </c>
      <c r="D205" s="37"/>
      <c r="E205" s="68">
        <v>1.17597E-5</v>
      </c>
      <c r="F205" s="68">
        <v>0.70710563609999999</v>
      </c>
      <c r="G205" s="39">
        <v>28</v>
      </c>
      <c r="H205" s="37">
        <v>265</v>
      </c>
      <c r="I205" s="37"/>
      <c r="J205" s="39">
        <v>2008</v>
      </c>
      <c r="K205" s="71">
        <v>2171.50945</v>
      </c>
      <c r="L205" s="71">
        <v>0.24303215</v>
      </c>
      <c r="M205" s="71">
        <v>3.6454821999999998E-2</v>
      </c>
      <c r="N205" s="68">
        <f t="shared" ref="N205:N215" si="24">(K205+(L205*O205)+(M205*P205))/1000</f>
        <v>2.1879748780299995</v>
      </c>
      <c r="O205" s="39">
        <v>28</v>
      </c>
      <c r="P205" s="37">
        <v>265</v>
      </c>
      <c r="R205" s="40"/>
    </row>
    <row r="206" spans="1:18" s="39" customFormat="1" x14ac:dyDescent="0.2">
      <c r="A206" s="39">
        <v>2009</v>
      </c>
      <c r="B206" s="37">
        <v>0.68972940699999996</v>
      </c>
      <c r="C206" s="37">
        <v>8.2185999999999995E-6</v>
      </c>
      <c r="D206" s="37"/>
      <c r="E206" s="68">
        <v>1.14003E-5</v>
      </c>
      <c r="F206" s="68">
        <v>0.69298060729999988</v>
      </c>
      <c r="G206" s="39">
        <v>28</v>
      </c>
      <c r="H206" s="37">
        <v>265</v>
      </c>
      <c r="I206" s="37"/>
      <c r="J206" s="39">
        <v>2009</v>
      </c>
      <c r="K206" s="71">
        <v>2154.2580400000002</v>
      </c>
      <c r="L206" s="71">
        <v>0.241101397</v>
      </c>
      <c r="M206" s="71">
        <v>3.6165210000000003E-2</v>
      </c>
      <c r="N206" s="68">
        <f t="shared" si="24"/>
        <v>2.1705926597660001</v>
      </c>
      <c r="O206" s="39">
        <v>28</v>
      </c>
      <c r="P206" s="37">
        <v>265</v>
      </c>
      <c r="R206" s="40"/>
    </row>
    <row r="207" spans="1:18" s="39" customFormat="1" x14ac:dyDescent="0.2">
      <c r="A207" s="39">
        <v>2010</v>
      </c>
      <c r="B207" s="37">
        <v>0.68196252099999999</v>
      </c>
      <c r="C207" s="37">
        <v>8.2554000000000006E-6</v>
      </c>
      <c r="D207" s="37"/>
      <c r="E207" s="68">
        <v>1.12264E-5</v>
      </c>
      <c r="F207" s="68">
        <v>0.68516866819999989</v>
      </c>
      <c r="G207" s="39">
        <v>28</v>
      </c>
      <c r="H207" s="37">
        <v>265</v>
      </c>
      <c r="I207" s="37"/>
      <c r="J207" s="39">
        <v>2010</v>
      </c>
      <c r="K207" s="71">
        <v>2131.5389700000001</v>
      </c>
      <c r="L207" s="71">
        <v>0.23855871200000001</v>
      </c>
      <c r="M207" s="71">
        <v>3.5783807000000001E-2</v>
      </c>
      <c r="N207" s="68">
        <f t="shared" si="24"/>
        <v>2.1477013227910002</v>
      </c>
      <c r="O207" s="39">
        <v>28</v>
      </c>
      <c r="P207" s="37">
        <v>265</v>
      </c>
      <c r="R207" s="40"/>
    </row>
    <row r="208" spans="1:18" s="39" customFormat="1" x14ac:dyDescent="0.2">
      <c r="A208" s="39">
        <v>2011</v>
      </c>
      <c r="B208" s="37">
        <v>0.68196252099999999</v>
      </c>
      <c r="C208" s="37">
        <v>8.2554000000000006E-6</v>
      </c>
      <c r="D208" s="37"/>
      <c r="E208" s="68">
        <v>1.12264E-5</v>
      </c>
      <c r="F208" s="68">
        <v>0.68516866819999989</v>
      </c>
      <c r="G208" s="39">
        <v>28</v>
      </c>
      <c r="H208" s="37">
        <v>265</v>
      </c>
      <c r="I208" s="37"/>
      <c r="J208" s="39">
        <v>2011</v>
      </c>
      <c r="K208" s="71">
        <v>2083.2727300000001</v>
      </c>
      <c r="L208" s="71">
        <v>0.23315682500000001</v>
      </c>
      <c r="M208" s="71">
        <v>3.4973523999999999E-2</v>
      </c>
      <c r="N208" s="68">
        <f t="shared" si="24"/>
        <v>2.0990691049600003</v>
      </c>
      <c r="O208" s="39">
        <v>28</v>
      </c>
      <c r="P208" s="37">
        <v>265</v>
      </c>
      <c r="R208" s="40"/>
    </row>
    <row r="209" spans="1:18" s="39" customFormat="1" x14ac:dyDescent="0.2">
      <c r="A209" s="39">
        <v>2012</v>
      </c>
      <c r="B209" s="37">
        <v>0.62571965699999998</v>
      </c>
      <c r="C209" s="37">
        <v>7.7603999999999994E-6</v>
      </c>
      <c r="D209" s="37"/>
      <c r="E209" s="68">
        <v>9.8277499999999992E-6</v>
      </c>
      <c r="F209" s="68">
        <v>0.62854130195000002</v>
      </c>
      <c r="G209" s="39">
        <v>28</v>
      </c>
      <c r="H209" s="37">
        <v>265</v>
      </c>
      <c r="I209" s="37"/>
      <c r="J209" s="39">
        <v>2012</v>
      </c>
      <c r="K209" s="71">
        <v>2007.951</v>
      </c>
      <c r="L209" s="71">
        <v>0.22472692799999999</v>
      </c>
      <c r="M209" s="71">
        <v>3.3709039000000003E-2</v>
      </c>
      <c r="N209" s="68">
        <f t="shared" si="24"/>
        <v>2.023176249319</v>
      </c>
      <c r="O209" s="39">
        <v>28</v>
      </c>
      <c r="P209" s="37">
        <v>265</v>
      </c>
      <c r="R209" s="40"/>
    </row>
    <row r="210" spans="1:18" s="39" customFormat="1" x14ac:dyDescent="0.2">
      <c r="A210" s="39">
        <v>2013</v>
      </c>
      <c r="B210" s="37">
        <v>0.62571965699999998</v>
      </c>
      <c r="C210" s="37">
        <v>7.7603999999999994E-6</v>
      </c>
      <c r="D210" s="37"/>
      <c r="E210" s="68">
        <v>9.8277499999999992E-6</v>
      </c>
      <c r="F210" s="68">
        <v>0.62854130195000002</v>
      </c>
      <c r="G210" s="39">
        <v>28</v>
      </c>
      <c r="H210" s="37">
        <v>265</v>
      </c>
      <c r="I210" s="37"/>
      <c r="J210" s="39">
        <v>2013</v>
      </c>
      <c r="K210" s="71">
        <v>2001.63491</v>
      </c>
      <c r="L210" s="71">
        <v>0.22402004</v>
      </c>
      <c r="M210" s="71">
        <v>3.3603005999999998E-2</v>
      </c>
      <c r="N210" s="68">
        <f t="shared" si="24"/>
        <v>2.0168122677100002</v>
      </c>
      <c r="O210" s="39">
        <v>28</v>
      </c>
      <c r="P210" s="37">
        <v>265</v>
      </c>
      <c r="R210" s="40"/>
    </row>
    <row r="211" spans="1:18" s="39" customFormat="1" x14ac:dyDescent="0.2">
      <c r="A211" s="39">
        <v>29014</v>
      </c>
      <c r="B211" s="37">
        <v>0.62635793500000003</v>
      </c>
      <c r="C211" s="37">
        <v>6.8128999999999998E-5</v>
      </c>
      <c r="D211" s="37"/>
      <c r="E211" s="68">
        <v>9.9944500000000005E-6</v>
      </c>
      <c r="F211" s="68">
        <v>0.63091407625000007</v>
      </c>
      <c r="G211" s="39">
        <v>28</v>
      </c>
      <c r="H211" s="37">
        <v>265</v>
      </c>
      <c r="I211" s="37"/>
      <c r="J211" s="39">
        <v>29014</v>
      </c>
      <c r="K211" s="71">
        <v>2008.6108899999999</v>
      </c>
      <c r="L211" s="71">
        <v>0.224800782</v>
      </c>
      <c r="M211" s="71">
        <v>3.3720117000000001E-2</v>
      </c>
      <c r="N211" s="68">
        <f t="shared" si="24"/>
        <v>2.0238411429009999</v>
      </c>
      <c r="O211" s="39">
        <v>28</v>
      </c>
      <c r="P211" s="37">
        <v>265</v>
      </c>
      <c r="R211" s="40"/>
    </row>
    <row r="212" spans="1:18" s="39" customFormat="1" x14ac:dyDescent="0.2">
      <c r="A212" s="39">
        <v>2015</v>
      </c>
      <c r="B212" s="37">
        <v>0.626705387</v>
      </c>
      <c r="C212" s="37">
        <v>6.8128999999999998E-5</v>
      </c>
      <c r="D212" s="37"/>
      <c r="E212" s="68">
        <v>9.9944500000000005E-6</v>
      </c>
      <c r="F212" s="68">
        <v>0.63126152825000004</v>
      </c>
      <c r="G212" s="39">
        <v>28</v>
      </c>
      <c r="H212" s="37">
        <v>265</v>
      </c>
      <c r="I212" s="37"/>
      <c r="J212" s="39">
        <v>2015</v>
      </c>
      <c r="K212" s="71">
        <v>1951.2947300000001</v>
      </c>
      <c r="L212" s="71">
        <v>0.218386041</v>
      </c>
      <c r="M212" s="71">
        <v>3.2757906000000003E-2</v>
      </c>
      <c r="N212" s="68">
        <f t="shared" si="24"/>
        <v>1.966090384238</v>
      </c>
      <c r="O212" s="39">
        <v>28</v>
      </c>
      <c r="P212" s="37">
        <v>265</v>
      </c>
      <c r="R212" s="40"/>
    </row>
    <row r="213" spans="1:18" s="39" customFormat="1" x14ac:dyDescent="0.2">
      <c r="A213" s="39">
        <v>2016</v>
      </c>
      <c r="B213" s="37">
        <v>0.564341023</v>
      </c>
      <c r="C213" s="37">
        <v>4.8987999999999999E-5</v>
      </c>
      <c r="D213" s="37"/>
      <c r="E213" s="68">
        <v>8.61825E-6</v>
      </c>
      <c r="F213" s="68">
        <v>0.56799652324999994</v>
      </c>
      <c r="G213" s="39">
        <v>28</v>
      </c>
      <c r="H213" s="37">
        <v>265</v>
      </c>
      <c r="I213" s="37"/>
      <c r="J213" s="39">
        <v>2016</v>
      </c>
      <c r="K213" s="71">
        <v>1892.75306</v>
      </c>
      <c r="L213" s="71">
        <v>0.211834144</v>
      </c>
      <c r="M213" s="71">
        <v>3.1775122000000003E-2</v>
      </c>
      <c r="N213" s="68">
        <f t="shared" si="24"/>
        <v>1.9071048233619998</v>
      </c>
      <c r="O213" s="39">
        <v>28</v>
      </c>
      <c r="P213" s="37">
        <v>265</v>
      </c>
      <c r="R213" s="40"/>
    </row>
    <row r="214" spans="1:18" s="39" customFormat="1" x14ac:dyDescent="0.2">
      <c r="A214" s="39">
        <v>2017</v>
      </c>
      <c r="B214" s="37">
        <v>0.56425030399999998</v>
      </c>
      <c r="C214" s="37">
        <v>4.8987999999999999E-5</v>
      </c>
      <c r="D214" s="37"/>
      <c r="E214" s="68">
        <v>8.61825E-6</v>
      </c>
      <c r="F214" s="68">
        <v>0.56790580424999992</v>
      </c>
      <c r="G214" s="39">
        <v>28</v>
      </c>
      <c r="H214" s="37">
        <v>265</v>
      </c>
      <c r="I214" s="37"/>
      <c r="J214" s="39">
        <v>2017</v>
      </c>
      <c r="K214" s="71">
        <v>1835.15409</v>
      </c>
      <c r="L214" s="71">
        <v>0.20538775200000001</v>
      </c>
      <c r="M214" s="71">
        <v>3.0808163E-2</v>
      </c>
      <c r="N214" s="68">
        <f t="shared" si="24"/>
        <v>1.849069110251</v>
      </c>
      <c r="O214" s="39">
        <v>28</v>
      </c>
      <c r="P214" s="37">
        <v>265</v>
      </c>
      <c r="R214" s="40"/>
    </row>
    <row r="215" spans="1:18" s="39" customFormat="1" x14ac:dyDescent="0.2">
      <c r="A215" s="39">
        <v>2018</v>
      </c>
      <c r="B215" s="37">
        <v>0.56425030399999998</v>
      </c>
      <c r="C215" s="37">
        <v>5.3069999999999998E-5</v>
      </c>
      <c r="D215" s="37"/>
      <c r="E215" s="68">
        <v>7.7110600000000003E-6</v>
      </c>
      <c r="F215" s="68">
        <v>0.56777969490000002</v>
      </c>
      <c r="G215" s="39">
        <v>28</v>
      </c>
      <c r="H215" s="37">
        <v>265</v>
      </c>
      <c r="I215" s="37"/>
      <c r="J215" s="39">
        <v>2018</v>
      </c>
      <c r="K215" s="71">
        <v>1816.39436</v>
      </c>
      <c r="L215" s="71">
        <v>0.20328819000000001</v>
      </c>
      <c r="M215" s="71">
        <v>3.0493229E-2</v>
      </c>
      <c r="N215" s="68">
        <f t="shared" si="24"/>
        <v>1.8301671350050002</v>
      </c>
      <c r="O215" s="39">
        <v>28</v>
      </c>
      <c r="P215" s="37">
        <v>265</v>
      </c>
      <c r="R215" s="40"/>
    </row>
    <row r="216" spans="1:18" s="39" customFormat="1" x14ac:dyDescent="0.2">
      <c r="A216" s="39">
        <v>2019</v>
      </c>
      <c r="B216" s="37">
        <v>0.56425030399999998</v>
      </c>
      <c r="C216" s="37">
        <v>5.3069999999999998E-5</v>
      </c>
      <c r="D216" s="37"/>
      <c r="E216" s="68">
        <v>7.7110600000000003E-6</v>
      </c>
      <c r="F216" s="68">
        <v>0.56777969490000002</v>
      </c>
      <c r="G216" s="39">
        <v>28</v>
      </c>
      <c r="H216" s="37">
        <v>265</v>
      </c>
      <c r="I216" s="37"/>
      <c r="J216" s="39">
        <v>2019</v>
      </c>
      <c r="K216" s="37"/>
      <c r="L216" s="37"/>
      <c r="M216" s="68"/>
      <c r="N216" s="68">
        <f t="shared" ref="N216" si="25">(K216+(L216*O216)+(M216*P216))</f>
        <v>0</v>
      </c>
      <c r="O216" s="39">
        <v>28</v>
      </c>
      <c r="P216" s="37">
        <v>265</v>
      </c>
      <c r="R216" s="40"/>
    </row>
    <row r="217" spans="1:18" s="39" customFormat="1" x14ac:dyDescent="0.2">
      <c r="A217" s="39">
        <v>2020</v>
      </c>
      <c r="B217" s="37">
        <v>0.56425030399999998</v>
      </c>
      <c r="C217" s="37"/>
      <c r="D217" s="37"/>
      <c r="E217" s="38"/>
      <c r="F217" s="38"/>
      <c r="H217" s="37"/>
      <c r="I217" s="37"/>
      <c r="J217" s="39">
        <v>2020</v>
      </c>
      <c r="K217" s="37"/>
      <c r="L217" s="37"/>
      <c r="M217" s="38"/>
      <c r="N217" s="38"/>
      <c r="P217" s="37"/>
      <c r="R217" s="40"/>
    </row>
    <row r="218" spans="1:18" s="39" customFormat="1" x14ac:dyDescent="0.2">
      <c r="B218" s="37"/>
      <c r="C218" s="37"/>
      <c r="D218" s="37"/>
      <c r="E218" s="38"/>
      <c r="F218" s="38"/>
      <c r="H218" s="37"/>
      <c r="I218" s="37"/>
      <c r="K218" s="37"/>
      <c r="L218" s="37"/>
      <c r="M218" s="38"/>
      <c r="N218" s="38"/>
      <c r="P218" s="37"/>
      <c r="R218" s="40"/>
    </row>
    <row r="219" spans="1:18" s="39" customFormat="1" x14ac:dyDescent="0.2">
      <c r="B219" s="37"/>
      <c r="C219" s="37"/>
      <c r="D219" s="37"/>
      <c r="E219" s="94" t="s">
        <v>198</v>
      </c>
      <c r="F219" s="95"/>
      <c r="H219" s="37"/>
      <c r="I219" s="37"/>
      <c r="J219" s="37"/>
      <c r="K219" s="37"/>
      <c r="L219" s="37"/>
      <c r="N219" s="37"/>
      <c r="O219" s="37"/>
      <c r="P219" s="37"/>
      <c r="R219" s="40"/>
    </row>
    <row r="220" spans="1:18" s="39" customFormat="1" x14ac:dyDescent="0.2">
      <c r="B220" s="37"/>
      <c r="C220" s="37"/>
      <c r="D220" s="37"/>
      <c r="E220" s="94" t="s">
        <v>197</v>
      </c>
      <c r="F220" s="95"/>
      <c r="H220" s="37"/>
      <c r="I220" s="37"/>
      <c r="J220" s="37"/>
      <c r="K220" s="37"/>
      <c r="L220" s="37"/>
      <c r="N220" s="37"/>
      <c r="O220" s="37"/>
      <c r="P220" s="37"/>
      <c r="R220" s="40"/>
    </row>
    <row r="221" spans="1:18" s="39" customFormat="1" ht="16" thickBot="1" x14ac:dyDescent="0.25">
      <c r="B221" s="37"/>
      <c r="C221" s="37"/>
      <c r="D221" s="37"/>
      <c r="E221" s="96" t="s">
        <v>152</v>
      </c>
      <c r="F221" s="96" t="s">
        <v>151</v>
      </c>
      <c r="H221" s="37"/>
      <c r="I221" s="37"/>
      <c r="J221" s="37"/>
      <c r="K221" s="37"/>
      <c r="L221" s="37"/>
      <c r="N221" s="37"/>
      <c r="O221" s="37"/>
      <c r="P221" s="37"/>
      <c r="R221" s="40"/>
    </row>
    <row r="222" spans="1:18" s="39" customFormat="1" x14ac:dyDescent="0.2">
      <c r="B222" s="94" t="s">
        <v>154</v>
      </c>
      <c r="C222" s="95"/>
      <c r="D222" s="95"/>
      <c r="E222" s="101">
        <v>43282</v>
      </c>
      <c r="F222" s="107">
        <v>111624</v>
      </c>
      <c r="H222" s="37"/>
      <c r="I222" s="37"/>
      <c r="J222" s="37"/>
      <c r="K222" s="37"/>
      <c r="L222" s="37"/>
      <c r="N222" s="37"/>
      <c r="O222" s="37"/>
      <c r="P222" s="37"/>
      <c r="R222" s="40"/>
    </row>
    <row r="223" spans="1:18" s="39" customFormat="1" x14ac:dyDescent="0.2">
      <c r="B223" s="94" t="s">
        <v>153</v>
      </c>
      <c r="C223" s="95"/>
      <c r="D223" s="95"/>
      <c r="E223" s="98">
        <v>43313</v>
      </c>
      <c r="F223" s="108">
        <v>106671</v>
      </c>
      <c r="H223" s="37"/>
      <c r="I223" s="37"/>
      <c r="J223" s="37"/>
      <c r="K223" s="37"/>
      <c r="L223" s="37"/>
      <c r="N223" s="37"/>
      <c r="O223" s="37"/>
      <c r="P223" s="37"/>
      <c r="R223" s="40"/>
    </row>
    <row r="224" spans="1:18" s="39" customFormat="1" ht="16" thickBot="1" x14ac:dyDescent="0.25">
      <c r="B224" s="96" t="s">
        <v>152</v>
      </c>
      <c r="C224" s="96" t="s">
        <v>151</v>
      </c>
      <c r="D224" s="97"/>
      <c r="E224" s="101">
        <v>43344</v>
      </c>
      <c r="F224" s="102">
        <v>112917</v>
      </c>
      <c r="H224" s="37"/>
      <c r="I224" s="37"/>
      <c r="J224" s="37"/>
      <c r="K224" s="37"/>
      <c r="L224" s="37"/>
      <c r="N224" s="37"/>
      <c r="O224" s="37"/>
      <c r="P224" s="37"/>
      <c r="R224" s="40"/>
    </row>
    <row r="225" spans="2:18" s="39" customFormat="1" x14ac:dyDescent="0.2">
      <c r="B225" s="98">
        <v>43374</v>
      </c>
      <c r="C225" s="99">
        <v>2292464</v>
      </c>
      <c r="D225" s="100"/>
      <c r="E225" s="98">
        <v>43374</v>
      </c>
      <c r="F225" s="102">
        <v>78766</v>
      </c>
      <c r="H225" s="37"/>
      <c r="I225" s="37"/>
      <c r="J225" s="37"/>
      <c r="K225" s="37"/>
      <c r="L225" s="37"/>
      <c r="N225" s="37"/>
      <c r="O225" s="37"/>
      <c r="P225" s="37"/>
      <c r="R225" s="40"/>
    </row>
    <row r="226" spans="2:18" s="39" customFormat="1" x14ac:dyDescent="0.2">
      <c r="B226" s="101">
        <v>43405</v>
      </c>
      <c r="C226" s="102">
        <v>1690469</v>
      </c>
      <c r="D226" s="100"/>
      <c r="E226" s="101">
        <v>43405</v>
      </c>
      <c r="F226" s="102">
        <v>65629</v>
      </c>
      <c r="H226" s="37"/>
      <c r="I226" s="37"/>
      <c r="J226" s="37"/>
      <c r="K226" s="37"/>
      <c r="L226" s="37"/>
      <c r="N226" s="37"/>
      <c r="O226" s="37"/>
      <c r="P226" s="37"/>
      <c r="R226" s="40"/>
    </row>
    <row r="227" spans="2:18" s="39" customFormat="1" x14ac:dyDescent="0.2">
      <c r="B227" s="101">
        <v>43435</v>
      </c>
      <c r="C227" s="102">
        <v>1613929</v>
      </c>
      <c r="D227" s="100"/>
      <c r="E227" s="101">
        <v>43435</v>
      </c>
      <c r="F227" s="102">
        <v>59715</v>
      </c>
      <c r="H227" s="37"/>
      <c r="I227" s="37"/>
      <c r="J227" s="37"/>
      <c r="K227" s="37"/>
      <c r="L227" s="37"/>
      <c r="N227" s="37"/>
      <c r="O227" s="37"/>
      <c r="P227" s="37"/>
      <c r="R227" s="40"/>
    </row>
    <row r="228" spans="2:18" s="39" customFormat="1" x14ac:dyDescent="0.2">
      <c r="B228" s="101">
        <v>43466</v>
      </c>
      <c r="C228" s="102">
        <v>1557748</v>
      </c>
      <c r="D228" s="100"/>
      <c r="E228" s="101">
        <v>43466</v>
      </c>
      <c r="F228" s="102">
        <v>54320</v>
      </c>
      <c r="H228" s="37"/>
      <c r="I228" s="37"/>
      <c r="J228" s="37"/>
      <c r="K228" s="37"/>
      <c r="L228" s="37"/>
      <c r="N228" s="37"/>
      <c r="O228" s="37"/>
      <c r="P228" s="37"/>
      <c r="R228" s="40"/>
    </row>
    <row r="229" spans="2:18" s="39" customFormat="1" x14ac:dyDescent="0.2">
      <c r="B229" s="101">
        <v>43497</v>
      </c>
      <c r="C229" s="102">
        <v>1553351</v>
      </c>
      <c r="D229" s="100"/>
      <c r="E229" s="101">
        <v>43497</v>
      </c>
      <c r="F229" s="102">
        <v>57092</v>
      </c>
      <c r="H229" s="37"/>
      <c r="I229" s="37"/>
      <c r="J229" s="37"/>
      <c r="K229" s="37"/>
      <c r="L229" s="37"/>
      <c r="N229" s="37"/>
      <c r="O229" s="37"/>
      <c r="P229" s="37"/>
      <c r="R229" s="40"/>
    </row>
    <row r="230" spans="2:18" s="39" customFormat="1" x14ac:dyDescent="0.2">
      <c r="B230" s="101">
        <v>43525</v>
      </c>
      <c r="C230" s="102">
        <v>1486525</v>
      </c>
      <c r="D230" s="100"/>
      <c r="E230" s="101">
        <v>43525</v>
      </c>
      <c r="F230" s="102">
        <v>54791</v>
      </c>
      <c r="H230" s="37"/>
      <c r="I230" s="37"/>
      <c r="J230" s="37"/>
      <c r="K230" s="37"/>
      <c r="L230" s="37"/>
      <c r="N230" s="37"/>
      <c r="O230" s="37"/>
      <c r="P230" s="37"/>
      <c r="R230" s="40"/>
    </row>
    <row r="231" spans="2:18" s="39" customFormat="1" x14ac:dyDescent="0.2">
      <c r="B231" s="101">
        <v>43556</v>
      </c>
      <c r="C231" s="102">
        <v>1462983</v>
      </c>
      <c r="D231" s="100"/>
      <c r="E231" s="101">
        <v>43556</v>
      </c>
      <c r="F231" s="102">
        <v>76576</v>
      </c>
      <c r="H231" s="37"/>
      <c r="I231" s="37"/>
      <c r="J231" s="37"/>
      <c r="K231" s="37"/>
      <c r="L231" s="37"/>
      <c r="N231" s="37"/>
      <c r="O231" s="37"/>
      <c r="P231" s="37"/>
      <c r="R231" s="40"/>
    </row>
    <row r="232" spans="2:18" s="39" customFormat="1" x14ac:dyDescent="0.2">
      <c r="B232" s="101">
        <v>43586</v>
      </c>
      <c r="C232" s="102">
        <v>1696596</v>
      </c>
      <c r="D232" s="100"/>
      <c r="E232" s="101">
        <v>43586</v>
      </c>
      <c r="F232" s="102">
        <v>75644</v>
      </c>
      <c r="H232" s="37"/>
      <c r="I232" s="37"/>
      <c r="J232" s="37"/>
      <c r="K232" s="37"/>
      <c r="L232" s="37"/>
      <c r="N232" s="37"/>
      <c r="O232" s="37"/>
      <c r="P232" s="37"/>
      <c r="R232" s="40"/>
    </row>
    <row r="233" spans="2:18" s="39" customFormat="1" ht="16" thickBot="1" x14ac:dyDescent="0.25">
      <c r="B233" s="101">
        <v>43617</v>
      </c>
      <c r="C233" s="103">
        <v>1941076</v>
      </c>
      <c r="D233" s="100"/>
      <c r="E233" s="101">
        <v>43617</v>
      </c>
      <c r="F233" s="103">
        <v>92970</v>
      </c>
      <c r="H233" s="37"/>
      <c r="I233" s="37"/>
      <c r="J233" s="37"/>
      <c r="K233" s="37"/>
      <c r="L233" s="37"/>
      <c r="N233" s="37"/>
      <c r="O233" s="37"/>
      <c r="P233" s="37"/>
      <c r="R233" s="40"/>
    </row>
    <row r="234" spans="2:18" s="39" customFormat="1" x14ac:dyDescent="0.2">
      <c r="B234" s="104" t="s">
        <v>8</v>
      </c>
      <c r="C234" s="105">
        <v>15295141</v>
      </c>
      <c r="D234" s="106"/>
      <c r="E234" s="104" t="s">
        <v>8</v>
      </c>
      <c r="F234" s="105">
        <f>SUM(F222:F233)</f>
        <v>946715</v>
      </c>
      <c r="H234" s="37"/>
      <c r="I234" s="37"/>
      <c r="J234" s="37"/>
      <c r="K234" s="37"/>
      <c r="L234" s="37"/>
      <c r="N234" s="37"/>
      <c r="O234" s="37"/>
      <c r="P234" s="37"/>
      <c r="R234" s="40"/>
    </row>
    <row r="235" spans="2:18" s="39" customFormat="1" x14ac:dyDescent="0.2">
      <c r="B235" s="37"/>
      <c r="C235" s="37"/>
      <c r="D235" s="37"/>
      <c r="E235" s="38"/>
      <c r="F235" s="38"/>
      <c r="H235" s="37"/>
      <c r="I235" s="37"/>
      <c r="J235" s="37"/>
      <c r="K235" s="37"/>
      <c r="L235" s="37"/>
      <c r="N235" s="37"/>
      <c r="O235" s="37"/>
      <c r="P235" s="37"/>
      <c r="R235" s="40"/>
    </row>
    <row r="236" spans="2:18" s="39" customFormat="1" x14ac:dyDescent="0.2">
      <c r="B236" s="37"/>
      <c r="C236" s="37"/>
      <c r="D236" s="37"/>
      <c r="E236" s="38"/>
      <c r="F236" s="38"/>
      <c r="H236" s="37"/>
      <c r="I236" s="37"/>
      <c r="J236" s="37"/>
      <c r="K236" s="37"/>
      <c r="L236" s="37"/>
      <c r="N236" s="37"/>
      <c r="O236" s="37"/>
      <c r="P236" s="37"/>
      <c r="R236" s="40"/>
    </row>
    <row r="237" spans="2:18" s="39" customFormat="1" x14ac:dyDescent="0.2">
      <c r="B237" s="37"/>
      <c r="C237" s="37"/>
      <c r="D237" s="37"/>
      <c r="E237" s="38"/>
      <c r="F237" s="38"/>
      <c r="H237" s="37"/>
      <c r="I237" s="37"/>
      <c r="J237" s="37"/>
      <c r="K237" s="37"/>
      <c r="L237" s="37"/>
      <c r="N237" s="37"/>
      <c r="O237" s="37"/>
      <c r="P237" s="37"/>
      <c r="R237" s="40"/>
    </row>
    <row r="238" spans="2:18" s="39" customFormat="1" x14ac:dyDescent="0.2">
      <c r="B238" s="37"/>
      <c r="C238" s="37"/>
      <c r="D238" s="37"/>
      <c r="E238" s="38"/>
      <c r="F238" s="38"/>
      <c r="H238" s="37"/>
      <c r="I238" s="37"/>
      <c r="J238" s="37"/>
      <c r="K238" s="37"/>
      <c r="L238" s="37"/>
      <c r="N238" s="37"/>
      <c r="O238" s="37"/>
      <c r="P238" s="37"/>
      <c r="R238" s="40"/>
    </row>
    <row r="239" spans="2:18" s="39" customFormat="1" x14ac:dyDescent="0.2">
      <c r="B239" s="37"/>
      <c r="C239" s="37"/>
      <c r="D239" s="37"/>
      <c r="E239" s="38"/>
      <c r="F239" s="38"/>
      <c r="H239" s="37"/>
      <c r="I239" s="37"/>
      <c r="J239" s="37"/>
      <c r="K239" s="37"/>
      <c r="L239" s="37"/>
      <c r="N239" s="37"/>
      <c r="O239" s="37"/>
      <c r="P239" s="37"/>
      <c r="R239" s="40"/>
    </row>
    <row r="240" spans="2:18" s="39" customFormat="1" x14ac:dyDescent="0.2">
      <c r="B240" s="37"/>
      <c r="C240" s="37"/>
      <c r="D240" s="37"/>
      <c r="E240" s="38"/>
      <c r="F240" s="38"/>
      <c r="H240" s="37"/>
      <c r="I240" s="37"/>
      <c r="J240" s="37"/>
      <c r="K240" s="37"/>
      <c r="L240" s="37"/>
      <c r="N240" s="37"/>
      <c r="O240" s="37"/>
      <c r="P240" s="37"/>
      <c r="R240" s="40"/>
    </row>
    <row r="241" spans="2:18" s="39" customFormat="1" x14ac:dyDescent="0.2">
      <c r="B241" s="37"/>
      <c r="C241" s="37"/>
      <c r="D241" s="37"/>
      <c r="E241" s="38"/>
      <c r="F241" s="38"/>
      <c r="H241" s="37"/>
      <c r="I241" s="37"/>
      <c r="J241" s="37"/>
      <c r="K241" s="37"/>
      <c r="L241" s="37"/>
      <c r="N241" s="37"/>
      <c r="O241" s="37"/>
      <c r="P241" s="37"/>
      <c r="R241" s="40"/>
    </row>
    <row r="242" spans="2:18" s="39" customFormat="1" x14ac:dyDescent="0.2">
      <c r="B242" s="37"/>
      <c r="C242" s="37"/>
      <c r="D242" s="37"/>
      <c r="E242" s="38"/>
      <c r="F242" s="38"/>
      <c r="H242" s="37"/>
      <c r="I242" s="37"/>
      <c r="J242" s="37"/>
      <c r="K242" s="37"/>
      <c r="L242" s="37"/>
      <c r="N242" s="37"/>
      <c r="O242" s="37"/>
      <c r="P242" s="37"/>
      <c r="R242" s="40"/>
    </row>
    <row r="243" spans="2:18" s="39" customFormat="1" x14ac:dyDescent="0.2">
      <c r="B243" s="37"/>
      <c r="C243" s="37"/>
      <c r="D243" s="37"/>
      <c r="E243" s="38"/>
      <c r="F243" s="38"/>
      <c r="H243" s="37"/>
      <c r="I243" s="37"/>
      <c r="J243" s="37"/>
      <c r="K243" s="37"/>
      <c r="L243" s="37"/>
      <c r="N243" s="37"/>
      <c r="O243" s="37"/>
      <c r="P243" s="37"/>
      <c r="R243" s="40"/>
    </row>
    <row r="244" spans="2:18" s="39" customFormat="1" x14ac:dyDescent="0.2">
      <c r="B244" s="37"/>
      <c r="C244" s="37"/>
      <c r="D244" s="37"/>
      <c r="E244" s="38"/>
      <c r="F244" s="38"/>
      <c r="H244" s="37"/>
      <c r="I244" s="37"/>
      <c r="J244" s="37"/>
      <c r="K244" s="37"/>
      <c r="L244" s="37"/>
      <c r="N244" s="37"/>
      <c r="O244" s="37"/>
      <c r="P244" s="37"/>
      <c r="R244" s="40"/>
    </row>
    <row r="245" spans="2:18" s="39" customFormat="1" x14ac:dyDescent="0.2">
      <c r="B245" s="37"/>
      <c r="C245" s="37"/>
      <c r="D245" s="37"/>
      <c r="E245" s="38"/>
      <c r="F245" s="38"/>
      <c r="H245" s="37"/>
      <c r="I245" s="37"/>
      <c r="J245" s="37"/>
      <c r="K245" s="37"/>
      <c r="L245" s="37"/>
      <c r="N245" s="37"/>
      <c r="O245" s="37"/>
      <c r="P245" s="37"/>
      <c r="R245" s="40"/>
    </row>
    <row r="246" spans="2:18" s="39" customFormat="1" x14ac:dyDescent="0.2">
      <c r="B246" s="37"/>
      <c r="C246" s="37"/>
      <c r="D246" s="37"/>
      <c r="E246" s="38"/>
      <c r="F246" s="38"/>
      <c r="H246" s="37"/>
      <c r="I246" s="37"/>
      <c r="J246" s="37"/>
      <c r="K246" s="37"/>
      <c r="L246" s="37"/>
      <c r="N246" s="37"/>
      <c r="O246" s="37"/>
      <c r="P246" s="37"/>
      <c r="R246" s="40"/>
    </row>
    <row r="247" spans="2:18" s="39" customFormat="1" x14ac:dyDescent="0.2">
      <c r="B247" s="37"/>
      <c r="C247" s="37"/>
      <c r="D247" s="37"/>
      <c r="E247" s="38"/>
      <c r="F247" s="38"/>
      <c r="H247" s="37"/>
      <c r="I247" s="37"/>
      <c r="J247" s="37"/>
      <c r="K247" s="37"/>
      <c r="L247" s="37"/>
      <c r="N247" s="37"/>
      <c r="O247" s="37"/>
      <c r="P247" s="37"/>
      <c r="R247" s="40"/>
    </row>
    <row r="248" spans="2:18" s="39" customFormat="1" x14ac:dyDescent="0.2">
      <c r="B248" s="37"/>
      <c r="C248" s="37"/>
      <c r="D248" s="37"/>
      <c r="E248" s="38"/>
      <c r="F248" s="38"/>
      <c r="H248" s="37"/>
      <c r="I248" s="37"/>
      <c r="J248" s="37"/>
      <c r="K248" s="37"/>
      <c r="L248" s="37"/>
      <c r="N248" s="37"/>
      <c r="O248" s="37"/>
      <c r="P248" s="37"/>
      <c r="R248" s="40"/>
    </row>
    <row r="249" spans="2:18" s="39" customFormat="1" x14ac:dyDescent="0.2">
      <c r="B249" s="37"/>
      <c r="C249" s="37"/>
      <c r="D249" s="37"/>
      <c r="E249" s="38"/>
      <c r="F249" s="38"/>
      <c r="H249" s="37"/>
      <c r="I249" s="37"/>
      <c r="J249" s="37"/>
      <c r="K249" s="37"/>
      <c r="L249" s="37"/>
      <c r="N249" s="37"/>
      <c r="O249" s="37"/>
      <c r="P249" s="37"/>
      <c r="R249" s="40"/>
    </row>
    <row r="250" spans="2:18" s="39" customFormat="1" x14ac:dyDescent="0.2">
      <c r="B250" s="37"/>
      <c r="C250" s="37"/>
      <c r="D250" s="37"/>
      <c r="E250" s="38"/>
      <c r="F250" s="38"/>
      <c r="H250" s="37"/>
      <c r="I250" s="37"/>
      <c r="J250" s="37"/>
      <c r="K250" s="37"/>
      <c r="L250" s="37"/>
      <c r="N250" s="37"/>
      <c r="O250" s="37"/>
      <c r="P250" s="37"/>
      <c r="R250" s="40"/>
    </row>
    <row r="251" spans="2:18" s="39" customFormat="1" x14ac:dyDescent="0.2">
      <c r="B251" s="37"/>
      <c r="C251" s="37"/>
      <c r="D251" s="37"/>
      <c r="E251" s="38"/>
      <c r="F251" s="38"/>
      <c r="H251" s="37"/>
      <c r="I251" s="37"/>
      <c r="J251" s="37"/>
      <c r="K251" s="37"/>
      <c r="L251" s="37"/>
      <c r="N251" s="37"/>
      <c r="O251" s="37"/>
      <c r="P251" s="37"/>
      <c r="R251" s="40"/>
    </row>
    <row r="252" spans="2:18" s="39" customFormat="1" x14ac:dyDescent="0.2">
      <c r="B252" s="37"/>
      <c r="C252" s="37"/>
      <c r="D252" s="37"/>
      <c r="E252" s="38"/>
      <c r="F252" s="38"/>
      <c r="H252" s="37"/>
      <c r="I252" s="37"/>
      <c r="J252" s="37"/>
      <c r="K252" s="37"/>
      <c r="L252" s="37"/>
      <c r="N252" s="37"/>
      <c r="O252" s="37"/>
      <c r="P252" s="37"/>
      <c r="R252" s="40"/>
    </row>
    <row r="253" spans="2:18" s="39" customFormat="1" x14ac:dyDescent="0.2">
      <c r="B253" s="37"/>
      <c r="C253" s="37"/>
      <c r="D253" s="37"/>
      <c r="E253" s="38"/>
      <c r="F253" s="38"/>
      <c r="H253" s="37"/>
      <c r="I253" s="37"/>
      <c r="J253" s="37"/>
      <c r="K253" s="37"/>
      <c r="L253" s="37"/>
      <c r="N253" s="37"/>
      <c r="O253" s="37"/>
      <c r="P253" s="37"/>
      <c r="R253" s="40"/>
    </row>
    <row r="254" spans="2:18" s="39" customFormat="1" x14ac:dyDescent="0.2">
      <c r="B254" s="37"/>
      <c r="C254" s="37"/>
      <c r="D254" s="37"/>
      <c r="E254" s="38"/>
      <c r="F254" s="38"/>
      <c r="H254" s="37"/>
      <c r="I254" s="37"/>
      <c r="J254" s="37"/>
      <c r="K254" s="37"/>
      <c r="L254" s="37"/>
      <c r="N254" s="37"/>
      <c r="O254" s="37"/>
      <c r="P254" s="37"/>
      <c r="R254" s="40"/>
    </row>
    <row r="255" spans="2:18" s="39" customFormat="1" x14ac:dyDescent="0.2">
      <c r="B255" s="37"/>
      <c r="C255" s="37"/>
      <c r="D255" s="37"/>
      <c r="E255" s="38"/>
      <c r="F255" s="38"/>
      <c r="H255" s="37"/>
      <c r="I255" s="37"/>
      <c r="J255" s="37"/>
      <c r="K255" s="37"/>
      <c r="L255" s="37"/>
      <c r="N255" s="37"/>
      <c r="O255" s="37"/>
      <c r="P255" s="37"/>
      <c r="R255" s="40"/>
    </row>
    <row r="256" spans="2:18" s="39" customFormat="1" x14ac:dyDescent="0.2">
      <c r="B256" s="37"/>
      <c r="C256" s="37"/>
      <c r="D256" s="37"/>
      <c r="E256" s="38"/>
      <c r="F256" s="38"/>
      <c r="H256" s="37"/>
      <c r="I256" s="37"/>
      <c r="J256" s="37"/>
      <c r="K256" s="37"/>
      <c r="L256" s="37"/>
      <c r="N256" s="37"/>
      <c r="O256" s="37"/>
      <c r="P256" s="37"/>
      <c r="R256" s="40"/>
    </row>
    <row r="257" spans="2:18" s="39" customFormat="1" x14ac:dyDescent="0.2">
      <c r="B257" s="37"/>
      <c r="C257" s="37"/>
      <c r="D257" s="37"/>
      <c r="E257" s="38"/>
      <c r="F257" s="38"/>
      <c r="H257" s="37"/>
      <c r="I257" s="37"/>
      <c r="J257" s="37"/>
      <c r="K257" s="37"/>
      <c r="L257" s="37"/>
      <c r="N257" s="37"/>
      <c r="O257" s="37"/>
      <c r="P257" s="37"/>
      <c r="R257" s="40"/>
    </row>
    <row r="258" spans="2:18" s="39" customFormat="1" x14ac:dyDescent="0.2">
      <c r="B258" s="37"/>
      <c r="C258" s="37"/>
      <c r="D258" s="37"/>
      <c r="E258" s="38"/>
      <c r="F258" s="38"/>
      <c r="H258" s="37"/>
      <c r="I258" s="37"/>
      <c r="J258" s="37"/>
      <c r="K258" s="37"/>
      <c r="L258" s="37"/>
      <c r="N258" s="37"/>
      <c r="O258" s="37"/>
      <c r="P258" s="37"/>
      <c r="R258" s="40"/>
    </row>
    <row r="259" spans="2:18" s="39" customFormat="1" x14ac:dyDescent="0.2">
      <c r="B259" s="37"/>
      <c r="C259" s="37"/>
      <c r="D259" s="37"/>
      <c r="E259" s="38"/>
      <c r="F259" s="38"/>
      <c r="H259" s="37"/>
      <c r="I259" s="37"/>
      <c r="J259" s="37"/>
      <c r="K259" s="37"/>
      <c r="L259" s="37"/>
      <c r="N259" s="37"/>
      <c r="O259" s="37"/>
      <c r="P259" s="37"/>
      <c r="R259" s="40"/>
    </row>
    <row r="260" spans="2:18" s="39" customFormat="1" x14ac:dyDescent="0.2">
      <c r="B260" s="37"/>
      <c r="C260" s="37"/>
      <c r="D260" s="37"/>
      <c r="E260" s="38"/>
      <c r="F260" s="38"/>
      <c r="H260" s="37"/>
      <c r="I260" s="37"/>
      <c r="J260" s="37"/>
      <c r="K260" s="37"/>
      <c r="L260" s="37"/>
      <c r="N260" s="37"/>
      <c r="O260" s="37"/>
      <c r="P260" s="37"/>
      <c r="R260" s="40"/>
    </row>
    <row r="261" spans="2:18" s="39" customFormat="1" x14ac:dyDescent="0.2">
      <c r="B261" s="37"/>
      <c r="C261" s="37"/>
      <c r="D261" s="37"/>
      <c r="E261" s="38"/>
      <c r="F261" s="38"/>
      <c r="H261" s="37"/>
      <c r="I261" s="37"/>
      <c r="J261" s="37"/>
      <c r="K261" s="37"/>
      <c r="L261" s="37"/>
      <c r="N261" s="37"/>
      <c r="O261" s="37"/>
      <c r="P261" s="37"/>
      <c r="R261" s="40"/>
    </row>
    <row r="262" spans="2:18" s="39" customFormat="1" x14ac:dyDescent="0.2">
      <c r="B262" s="37"/>
      <c r="C262" s="37"/>
      <c r="D262" s="37"/>
      <c r="E262" s="38"/>
      <c r="F262" s="38"/>
      <c r="H262" s="37"/>
      <c r="I262" s="37"/>
      <c r="J262" s="37"/>
      <c r="K262" s="37"/>
      <c r="L262" s="37"/>
      <c r="N262" s="37"/>
      <c r="O262" s="37"/>
      <c r="P262" s="37"/>
      <c r="R262" s="40"/>
    </row>
    <row r="263" spans="2:18" s="39" customFormat="1" x14ac:dyDescent="0.2">
      <c r="B263" s="37"/>
      <c r="C263" s="37"/>
      <c r="D263" s="37"/>
      <c r="E263" s="38"/>
      <c r="F263" s="38"/>
      <c r="H263" s="37"/>
      <c r="I263" s="37"/>
      <c r="J263" s="37"/>
      <c r="K263" s="37"/>
      <c r="L263" s="37"/>
      <c r="N263" s="37"/>
      <c r="O263" s="37"/>
      <c r="P263" s="37"/>
      <c r="R263" s="40"/>
    </row>
    <row r="264" spans="2:18" s="39" customFormat="1" x14ac:dyDescent="0.2">
      <c r="B264" s="37"/>
      <c r="C264" s="37"/>
      <c r="D264" s="37"/>
      <c r="E264" s="38"/>
      <c r="F264" s="38"/>
      <c r="H264" s="37"/>
      <c r="I264" s="37"/>
      <c r="J264" s="37"/>
      <c r="K264" s="37"/>
      <c r="L264" s="37"/>
      <c r="N264" s="37"/>
      <c r="O264" s="37"/>
      <c r="P264" s="37"/>
      <c r="R264" s="40"/>
    </row>
    <row r="265" spans="2:18" s="39" customFormat="1" x14ac:dyDescent="0.2">
      <c r="B265" s="37"/>
      <c r="C265" s="37"/>
      <c r="D265" s="37"/>
      <c r="E265" s="38"/>
      <c r="F265" s="38"/>
      <c r="H265" s="37"/>
      <c r="I265" s="37"/>
      <c r="J265" s="37"/>
      <c r="K265" s="37"/>
      <c r="L265" s="37"/>
      <c r="N265" s="37"/>
      <c r="O265" s="37"/>
      <c r="P265" s="37"/>
      <c r="R265" s="40"/>
    </row>
    <row r="266" spans="2:18" s="39" customFormat="1" x14ac:dyDescent="0.2">
      <c r="B266" s="37"/>
      <c r="C266" s="37"/>
      <c r="D266" s="37"/>
      <c r="E266" s="38"/>
      <c r="F266" s="38"/>
      <c r="H266" s="37"/>
      <c r="I266" s="37"/>
      <c r="J266" s="37"/>
      <c r="K266" s="37"/>
      <c r="L266" s="37"/>
      <c r="N266" s="37"/>
      <c r="O266" s="37"/>
      <c r="P266" s="37"/>
      <c r="R266" s="40"/>
    </row>
    <row r="267" spans="2:18" s="39" customFormat="1" x14ac:dyDescent="0.2">
      <c r="B267" s="37"/>
      <c r="C267" s="37"/>
      <c r="D267" s="37"/>
      <c r="E267" s="38"/>
      <c r="F267" s="38"/>
      <c r="H267" s="37"/>
      <c r="I267" s="37"/>
      <c r="J267" s="37"/>
      <c r="K267" s="37"/>
      <c r="L267" s="37"/>
      <c r="N267" s="37"/>
      <c r="O267" s="37"/>
      <c r="P267" s="37"/>
      <c r="R267" s="40"/>
    </row>
    <row r="268" spans="2:18" s="39" customFormat="1" x14ac:dyDescent="0.2">
      <c r="B268" s="37"/>
      <c r="C268" s="37"/>
      <c r="D268" s="37"/>
      <c r="E268" s="38"/>
      <c r="F268" s="38"/>
      <c r="H268" s="37"/>
      <c r="I268" s="37"/>
      <c r="J268" s="37"/>
      <c r="K268" s="37"/>
      <c r="L268" s="37"/>
      <c r="N268" s="37"/>
      <c r="O268" s="37"/>
      <c r="P268" s="37"/>
      <c r="R268" s="40"/>
    </row>
  </sheetData>
  <sortState xmlns:xlrd2="http://schemas.microsoft.com/office/spreadsheetml/2017/richdata2" ref="N15:O180">
    <sortCondition ref="N15:N180"/>
  </sortState>
  <mergeCells count="4">
    <mergeCell ref="P3:P4"/>
    <mergeCell ref="B198:C198"/>
    <mergeCell ref="F198:G198"/>
    <mergeCell ref="I198:J198"/>
  </mergeCells>
  <phoneticPr fontId="13" type="noConversion"/>
  <conditionalFormatting sqref="P17:P52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AD71-7461-4C4C-A89A-6A407705459A}">
  <dimension ref="B2:AB19"/>
  <sheetViews>
    <sheetView showGridLines="0" tabSelected="1" topLeftCell="A5" zoomScale="130" zoomScaleNormal="130" workbookViewId="0">
      <selection activeCell="Z17" sqref="Z17"/>
    </sheetView>
  </sheetViews>
  <sheetFormatPr baseColWidth="10" defaultColWidth="8.83203125" defaultRowHeight="15" x14ac:dyDescent="0.2"/>
  <cols>
    <col min="2" max="5" width="11.6640625" customWidth="1"/>
    <col min="6" max="6" width="12.6640625" customWidth="1"/>
    <col min="7" max="7" width="11.33203125" customWidth="1"/>
    <col min="8" max="8" width="10.33203125" customWidth="1"/>
    <col min="9" max="9" width="15.6640625" customWidth="1"/>
    <col min="10" max="10" width="11.5" customWidth="1"/>
    <col min="11" max="11" width="10.6640625" customWidth="1"/>
    <col min="15" max="15" width="13.33203125" customWidth="1"/>
    <col min="16" max="16" width="12.6640625" customWidth="1"/>
    <col min="17" max="17" width="12.1640625" customWidth="1"/>
    <col min="18" max="18" width="12.5" customWidth="1"/>
    <col min="28" max="28" width="11.5" customWidth="1"/>
  </cols>
  <sheetData>
    <row r="2" spans="2:28" x14ac:dyDescent="0.2">
      <c r="B2" s="120" t="s">
        <v>191</v>
      </c>
      <c r="C2" s="121" t="s">
        <v>192</v>
      </c>
      <c r="D2" s="121"/>
      <c r="E2" s="121"/>
      <c r="F2" s="121"/>
      <c r="G2" s="121"/>
      <c r="H2" s="121"/>
      <c r="I2" s="91" t="s">
        <v>193</v>
      </c>
      <c r="J2" s="117" t="s">
        <v>194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9"/>
      <c r="AA2" s="122" t="s">
        <v>45</v>
      </c>
      <c r="AB2" s="122" t="s">
        <v>199</v>
      </c>
    </row>
    <row r="3" spans="2:28" ht="48" x14ac:dyDescent="0.2">
      <c r="B3" s="120"/>
      <c r="C3" s="88" t="s">
        <v>189</v>
      </c>
      <c r="D3" s="88" t="s">
        <v>25</v>
      </c>
      <c r="E3" s="88" t="s">
        <v>190</v>
      </c>
      <c r="F3" s="88" t="s">
        <v>186</v>
      </c>
      <c r="G3" s="88" t="s">
        <v>187</v>
      </c>
      <c r="H3" s="88" t="s">
        <v>188</v>
      </c>
      <c r="I3" s="87" t="s">
        <v>185</v>
      </c>
      <c r="J3" s="84" t="s">
        <v>168</v>
      </c>
      <c r="K3" s="84" t="s">
        <v>169</v>
      </c>
      <c r="L3" s="84" t="s">
        <v>170</v>
      </c>
      <c r="M3" s="84" t="s">
        <v>171</v>
      </c>
      <c r="N3" s="85" t="s">
        <v>172</v>
      </c>
      <c r="O3" s="85" t="s">
        <v>173</v>
      </c>
      <c r="P3" s="85" t="s">
        <v>174</v>
      </c>
      <c r="Q3" s="85" t="s">
        <v>175</v>
      </c>
      <c r="R3" s="85" t="s">
        <v>176</v>
      </c>
      <c r="S3" s="85" t="s">
        <v>177</v>
      </c>
      <c r="T3" s="85" t="s">
        <v>178</v>
      </c>
      <c r="U3" s="85" t="s">
        <v>179</v>
      </c>
      <c r="V3" s="85" t="s">
        <v>180</v>
      </c>
      <c r="W3" s="85" t="s">
        <v>181</v>
      </c>
      <c r="X3" s="85" t="s">
        <v>182</v>
      </c>
      <c r="Y3" s="85" t="s">
        <v>183</v>
      </c>
      <c r="Z3" s="85" t="s">
        <v>184</v>
      </c>
      <c r="AA3" s="123"/>
      <c r="AB3" s="123"/>
    </row>
    <row r="4" spans="2:28" x14ac:dyDescent="0.2">
      <c r="B4" s="90" t="s">
        <v>156</v>
      </c>
      <c r="C4" s="90">
        <f>'Data Numbers'!C18</f>
        <v>39559.663552504004</v>
      </c>
      <c r="D4" s="90">
        <f>'Data Numbers'!E18</f>
        <v>82011.862353198463</v>
      </c>
      <c r="E4" s="90">
        <f>$E$15</f>
        <v>3294.2090696600762</v>
      </c>
      <c r="F4" s="90">
        <v>946.15086190163458</v>
      </c>
      <c r="G4" s="90">
        <v>1029.59323627756</v>
      </c>
      <c r="H4" s="90">
        <v>0</v>
      </c>
      <c r="I4" s="90">
        <f>'Data Numbers'!F18</f>
        <v>181813.63653673776</v>
      </c>
      <c r="J4" s="90">
        <v>12102.042034075857</v>
      </c>
      <c r="K4" s="90">
        <v>34293.881712848757</v>
      </c>
      <c r="L4" s="90">
        <v>1685.5849713187133</v>
      </c>
      <c r="M4" s="90">
        <v>0</v>
      </c>
      <c r="N4" s="90">
        <v>0</v>
      </c>
      <c r="O4" s="90">
        <v>0</v>
      </c>
      <c r="P4" s="90">
        <v>-109.70999999999998</v>
      </c>
      <c r="Q4" s="90">
        <v>0</v>
      </c>
      <c r="R4" s="90">
        <v>0</v>
      </c>
      <c r="S4" s="90">
        <v>18022.200708187389</v>
      </c>
      <c r="T4" s="90">
        <v>-1076.74</v>
      </c>
      <c r="U4" s="90">
        <v>0</v>
      </c>
      <c r="V4" s="90">
        <f>SUM(C4:H4)</f>
        <v>126841.47907354175</v>
      </c>
      <c r="W4" s="90">
        <f>I4</f>
        <v>181813.63653673776</v>
      </c>
      <c r="X4" s="90">
        <f>SUM(J4:U4)</f>
        <v>64917.259426430719</v>
      </c>
      <c r="Y4" s="90">
        <v>43.393564879999992</v>
      </c>
      <c r="Z4" s="90">
        <v>-1076.74</v>
      </c>
      <c r="AA4" s="90">
        <f>SUM(V4:Z4)</f>
        <v>372539.02860159025</v>
      </c>
      <c r="AB4" s="111">
        <v>0</v>
      </c>
    </row>
    <row r="5" spans="2:28" x14ac:dyDescent="0.2">
      <c r="B5" s="89" t="s">
        <v>157</v>
      </c>
      <c r="C5" s="89">
        <f>'Data Numbers'!C34</f>
        <v>36930.280508344003</v>
      </c>
      <c r="D5" s="89">
        <f>'Data Numbers'!E34</f>
        <v>73777.359209116461</v>
      </c>
      <c r="E5" s="89">
        <f t="shared" ref="E5:E14" si="0">$E$15</f>
        <v>3294.2090696600762</v>
      </c>
      <c r="F5" s="89">
        <v>888.22615564425757</v>
      </c>
      <c r="G5" s="89">
        <v>371.72529750818001</v>
      </c>
      <c r="H5" s="89">
        <v>16.777290361413151</v>
      </c>
      <c r="I5" s="89">
        <f>'Data Numbers'!F34</f>
        <v>193713.77407530745</v>
      </c>
      <c r="J5" s="89">
        <v>12767.233546712972</v>
      </c>
      <c r="K5" s="89">
        <v>31984.851688387622</v>
      </c>
      <c r="L5" s="89">
        <v>8161.7630593635304</v>
      </c>
      <c r="M5" s="89">
        <v>14542.355241362127</v>
      </c>
      <c r="N5" s="89">
        <v>2553.1342473362179</v>
      </c>
      <c r="O5" s="89">
        <v>0</v>
      </c>
      <c r="P5" s="89">
        <v>-95.609999999999985</v>
      </c>
      <c r="Q5" s="89">
        <v>207.2381731376</v>
      </c>
      <c r="R5" s="89">
        <v>512.00722021196248</v>
      </c>
      <c r="S5" s="89">
        <v>19205.400676499623</v>
      </c>
      <c r="T5" s="89">
        <v>-261.60000000000002</v>
      </c>
      <c r="U5" s="89">
        <v>0</v>
      </c>
      <c r="V5" s="89">
        <f t="shared" ref="V5:V15" si="1">SUM(C5:H5)</f>
        <v>115278.57753063439</v>
      </c>
      <c r="W5" s="89">
        <f t="shared" ref="W5:W15" si="2">I5</f>
        <v>193713.77407530745</v>
      </c>
      <c r="X5" s="89">
        <f t="shared" ref="X5:X15" si="3">SUM(J5:U5)</f>
        <v>89576.773853011633</v>
      </c>
      <c r="Y5" s="89">
        <v>51.111689999999996</v>
      </c>
      <c r="Z5" s="89">
        <v>-261.60000000000002</v>
      </c>
      <c r="AA5" s="89">
        <f t="shared" ref="AA5:AA15" si="4">SUM(V5:Z5)</f>
        <v>398358.63714895345</v>
      </c>
      <c r="AB5" s="112">
        <f>(AA5/$AA$4)-1</f>
        <v>6.9307123724144937E-2</v>
      </c>
    </row>
    <row r="6" spans="2:28" x14ac:dyDescent="0.2">
      <c r="B6" s="89" t="s">
        <v>158</v>
      </c>
      <c r="C6" s="89">
        <f>'Data Numbers'!C50</f>
        <v>122676.78037089201</v>
      </c>
      <c r="D6" s="89">
        <f>'Data Numbers'!E50</f>
        <v>65597.134116939385</v>
      </c>
      <c r="E6" s="89">
        <f t="shared" si="0"/>
        <v>3294.2090696600762</v>
      </c>
      <c r="F6" s="89">
        <v>897.78221864305362</v>
      </c>
      <c r="G6" s="89">
        <v>1256.2349549318801</v>
      </c>
      <c r="H6" s="89">
        <v>19.293883915625123</v>
      </c>
      <c r="I6" s="89">
        <f>'Data Numbers'!F50</f>
        <v>90726.787343556731</v>
      </c>
      <c r="J6" s="89">
        <v>12644.263973794883</v>
      </c>
      <c r="K6" s="89">
        <v>33597.565810242617</v>
      </c>
      <c r="L6" s="89">
        <v>8184.3581061912209</v>
      </c>
      <c r="M6" s="89">
        <v>14978.749893839089</v>
      </c>
      <c r="N6" s="89">
        <v>2620.9843988922967</v>
      </c>
      <c r="O6" s="89">
        <v>0</v>
      </c>
      <c r="P6" s="89">
        <v>-95.609999999999985</v>
      </c>
      <c r="Q6" s="89">
        <v>279.81804042632001</v>
      </c>
      <c r="R6" s="89">
        <v>407.4067831363875</v>
      </c>
      <c r="S6" s="89">
        <v>5621.8775998341625</v>
      </c>
      <c r="T6" s="89">
        <v>-312</v>
      </c>
      <c r="U6" s="89">
        <v>0</v>
      </c>
      <c r="V6" s="89">
        <f t="shared" si="1"/>
        <v>193741.43461498205</v>
      </c>
      <c r="W6" s="89">
        <f t="shared" si="2"/>
        <v>90726.787343556731</v>
      </c>
      <c r="X6" s="89">
        <f t="shared" si="3"/>
        <v>77927.414606356979</v>
      </c>
      <c r="Y6" s="89">
        <v>46.182471999999997</v>
      </c>
      <c r="Z6" s="89">
        <v>-312</v>
      </c>
      <c r="AA6" s="89">
        <f t="shared" si="4"/>
        <v>362129.81903689576</v>
      </c>
      <c r="AB6" s="112">
        <f t="shared" ref="AB6:AB15" si="5">(AA6/$AA$4)-1</f>
        <v>-2.7941259211867853E-2</v>
      </c>
    </row>
    <row r="7" spans="2:28" x14ac:dyDescent="0.2">
      <c r="B7" s="89" t="s">
        <v>159</v>
      </c>
      <c r="C7" s="89">
        <f>'Data Numbers'!C66</f>
        <v>136399.08586585801</v>
      </c>
      <c r="D7" s="89">
        <f>'Data Numbers'!E66</f>
        <v>50391.617328587992</v>
      </c>
      <c r="E7" s="89">
        <f t="shared" si="0"/>
        <v>3294.2090696600762</v>
      </c>
      <c r="F7" s="89">
        <v>942.24861222085474</v>
      </c>
      <c r="G7" s="89">
        <v>6138.3599922655012</v>
      </c>
      <c r="H7" s="89">
        <v>12.35989564418993</v>
      </c>
      <c r="I7" s="89">
        <f>'Data Numbers'!F66</f>
        <v>73417.408277928218</v>
      </c>
      <c r="J7" s="89">
        <v>12094.056527077935</v>
      </c>
      <c r="K7" s="89">
        <v>23888.107588138635</v>
      </c>
      <c r="L7" s="89">
        <v>8021.985924435724</v>
      </c>
      <c r="M7" s="89">
        <v>14567.96698189599</v>
      </c>
      <c r="N7" s="89">
        <v>2596.2070654060194</v>
      </c>
      <c r="O7" s="89">
        <v>0</v>
      </c>
      <c r="P7" s="89">
        <v>-38.79</v>
      </c>
      <c r="Q7" s="89">
        <v>202.15804386096002</v>
      </c>
      <c r="R7" s="89">
        <v>315.0488092026963</v>
      </c>
      <c r="S7" s="89">
        <v>4549.3034099468341</v>
      </c>
      <c r="T7" s="89">
        <v>-311</v>
      </c>
      <c r="U7" s="89">
        <v>0</v>
      </c>
      <c r="V7" s="89">
        <f t="shared" si="1"/>
        <v>197177.88076423662</v>
      </c>
      <c r="W7" s="89">
        <f t="shared" si="2"/>
        <v>73417.408277928218</v>
      </c>
      <c r="X7" s="89">
        <f t="shared" si="3"/>
        <v>65885.044349964781</v>
      </c>
      <c r="Y7" s="89">
        <v>48.933003999999997</v>
      </c>
      <c r="Z7" s="89">
        <v>-311</v>
      </c>
      <c r="AA7" s="89">
        <f t="shared" si="4"/>
        <v>336218.26639612956</v>
      </c>
      <c r="AB7" s="112">
        <f t="shared" si="5"/>
        <v>-9.7495186858136518E-2</v>
      </c>
    </row>
    <row r="8" spans="2:28" x14ac:dyDescent="0.2">
      <c r="B8" s="90" t="s">
        <v>160</v>
      </c>
      <c r="C8" s="90">
        <f>'Data Numbers'!C82</f>
        <v>177957.47227619207</v>
      </c>
      <c r="D8" s="90">
        <f>'Data Numbers'!E82</f>
        <v>1472.771150691766</v>
      </c>
      <c r="E8" s="90">
        <f t="shared" si="0"/>
        <v>3294.2090696600762</v>
      </c>
      <c r="F8" s="90">
        <v>872.64898074254154</v>
      </c>
      <c r="G8" s="90">
        <v>727.37614324906303</v>
      </c>
      <c r="H8" s="90">
        <v>1.1151465804645595</v>
      </c>
      <c r="I8" s="90">
        <f>'Data Numbers'!F82</f>
        <v>46376.878480654821</v>
      </c>
      <c r="J8" s="90">
        <v>11793.960766959985</v>
      </c>
      <c r="K8" s="90">
        <v>24695.771076435089</v>
      </c>
      <c r="L8" s="90">
        <v>8043.4869257247883</v>
      </c>
      <c r="M8" s="90">
        <v>13985.226620400996</v>
      </c>
      <c r="N8" s="90">
        <v>2687.9741317208727</v>
      </c>
      <c r="O8" s="90">
        <v>0</v>
      </c>
      <c r="P8" s="90">
        <v>-33.299999999999997</v>
      </c>
      <c r="Q8" s="90">
        <v>175.46395375352401</v>
      </c>
      <c r="R8" s="90">
        <v>186.298152353213</v>
      </c>
      <c r="S8" s="90">
        <v>4698.1257113827542</v>
      </c>
      <c r="T8" s="90">
        <v>-93.000000000000014</v>
      </c>
      <c r="U8" s="90">
        <v>0</v>
      </c>
      <c r="V8" s="90">
        <f t="shared" si="1"/>
        <v>184325.592767116</v>
      </c>
      <c r="W8" s="90">
        <f t="shared" si="2"/>
        <v>46376.878480654821</v>
      </c>
      <c r="X8" s="90">
        <f t="shared" si="3"/>
        <v>66140.00733873123</v>
      </c>
      <c r="Y8" s="90">
        <v>46.272265999999995</v>
      </c>
      <c r="Z8" s="90">
        <v>-93.000000000000014</v>
      </c>
      <c r="AA8" s="90">
        <f t="shared" si="4"/>
        <v>296795.75085250201</v>
      </c>
      <c r="AB8" s="111">
        <f t="shared" si="5"/>
        <v>-0.20331635596250897</v>
      </c>
    </row>
    <row r="9" spans="2:28" x14ac:dyDescent="0.2">
      <c r="B9" s="90" t="s">
        <v>161</v>
      </c>
      <c r="C9" s="90">
        <f>'Data Numbers'!C98</f>
        <v>145475.21026096906</v>
      </c>
      <c r="D9" s="90">
        <f>'Data Numbers'!E98</f>
        <v>3644.6822895921273</v>
      </c>
      <c r="E9" s="90">
        <f t="shared" si="0"/>
        <v>3294.2090696600762</v>
      </c>
      <c r="F9" s="90">
        <v>592.95077339067166</v>
      </c>
      <c r="G9" s="90">
        <v>1997.7468961588602</v>
      </c>
      <c r="H9" s="90">
        <v>6.3062068626748422</v>
      </c>
      <c r="I9" s="90">
        <f>'Data Numbers'!F98</f>
        <v>70341.459376869141</v>
      </c>
      <c r="J9" s="90">
        <v>7222.8112203577539</v>
      </c>
      <c r="K9" s="90">
        <v>19527.293856734879</v>
      </c>
      <c r="L9" s="90">
        <v>6587.7025711393908</v>
      </c>
      <c r="M9" s="90">
        <v>13332.901438216648</v>
      </c>
      <c r="N9" s="90">
        <v>5300.3859308041065</v>
      </c>
      <c r="O9" s="90">
        <v>0</v>
      </c>
      <c r="P9" s="90">
        <v>-110.4627</v>
      </c>
      <c r="Q9" s="90">
        <v>163.897752343344</v>
      </c>
      <c r="R9" s="90">
        <v>114.725037883479</v>
      </c>
      <c r="S9" s="90">
        <v>7125.8141923567482</v>
      </c>
      <c r="T9" s="90">
        <v>-504.00000000000006</v>
      </c>
      <c r="U9" s="90">
        <v>0</v>
      </c>
      <c r="V9" s="90">
        <f t="shared" si="1"/>
        <v>155011.10549663351</v>
      </c>
      <c r="W9" s="90">
        <f t="shared" si="2"/>
        <v>70341.459376869141</v>
      </c>
      <c r="X9" s="90">
        <f t="shared" si="3"/>
        <v>58761.069299836352</v>
      </c>
      <c r="Y9" s="90">
        <v>1120.31414324</v>
      </c>
      <c r="Z9" s="90">
        <v>-504.00000000000006</v>
      </c>
      <c r="AA9" s="90">
        <f t="shared" si="4"/>
        <v>284729.94831657899</v>
      </c>
      <c r="AB9" s="111">
        <f t="shared" si="5"/>
        <v>-0.23570437871871452</v>
      </c>
    </row>
    <row r="10" spans="2:28" x14ac:dyDescent="0.2">
      <c r="B10" s="90" t="s">
        <v>162</v>
      </c>
      <c r="C10" s="90">
        <f>'Data Numbers'!C114</f>
        <v>124820.04507032348</v>
      </c>
      <c r="D10" s="90">
        <f>'Data Numbers'!E114</f>
        <v>3796.3009774422667</v>
      </c>
      <c r="E10" s="90">
        <f t="shared" si="0"/>
        <v>3294.2090696600762</v>
      </c>
      <c r="F10" s="90">
        <v>714.22423561454525</v>
      </c>
      <c r="G10" s="90">
        <v>2512.0807276103001</v>
      </c>
      <c r="H10" s="90">
        <v>6.2654596159145965</v>
      </c>
      <c r="I10" s="90">
        <f>'Data Numbers'!F114</f>
        <v>103753.18892523623</v>
      </c>
      <c r="J10" s="90">
        <v>7176.6060388650812</v>
      </c>
      <c r="K10" s="90">
        <v>20041.849286435641</v>
      </c>
      <c r="L10" s="90">
        <v>6749.6842882542342</v>
      </c>
      <c r="M10" s="90">
        <v>12817.533312176405</v>
      </c>
      <c r="N10" s="90">
        <v>6165.3399630090325</v>
      </c>
      <c r="O10" s="90">
        <v>0</v>
      </c>
      <c r="P10" s="90">
        <v>-109.10999999999999</v>
      </c>
      <c r="Q10" s="90">
        <v>165.69979382964888</v>
      </c>
      <c r="R10" s="90">
        <v>226.65748326768926</v>
      </c>
      <c r="S10" s="90">
        <v>10481.5977846102</v>
      </c>
      <c r="T10" s="90">
        <v>-485.1</v>
      </c>
      <c r="U10" s="90">
        <v>0</v>
      </c>
      <c r="V10" s="90">
        <f t="shared" si="1"/>
        <v>135143.1255402666</v>
      </c>
      <c r="W10" s="90">
        <f t="shared" si="2"/>
        <v>103753.18892523623</v>
      </c>
      <c r="X10" s="90">
        <f t="shared" si="3"/>
        <v>63230.757950447944</v>
      </c>
      <c r="Y10" s="90">
        <v>2903.0384325999994</v>
      </c>
      <c r="Z10" s="90">
        <v>-485.1</v>
      </c>
      <c r="AA10" s="90">
        <f t="shared" si="4"/>
        <v>304545.01084855077</v>
      </c>
      <c r="AB10" s="111">
        <f t="shared" si="5"/>
        <v>-0.18251515286403808</v>
      </c>
    </row>
    <row r="11" spans="2:28" x14ac:dyDescent="0.2">
      <c r="B11" s="90" t="s">
        <v>163</v>
      </c>
      <c r="C11" s="90">
        <f>'Data Numbers'!C130</f>
        <v>85875.203702353727</v>
      </c>
      <c r="D11" s="90">
        <f>'Data Numbers'!E130</f>
        <v>93.959459462734017</v>
      </c>
      <c r="E11" s="90">
        <f t="shared" si="0"/>
        <v>3294.2090696600762</v>
      </c>
      <c r="F11" s="90">
        <v>425.28780036072902</v>
      </c>
      <c r="G11" s="90">
        <v>1204.8547328125001</v>
      </c>
      <c r="H11" s="90">
        <v>6.0035503193361865</v>
      </c>
      <c r="I11" s="90">
        <f>'Data Numbers'!F130</f>
        <v>153815.41232658972</v>
      </c>
      <c r="J11" s="90">
        <v>9758.5674150250179</v>
      </c>
      <c r="K11" s="90">
        <v>22239.926106351231</v>
      </c>
      <c r="L11" s="90">
        <v>6467.533389129022</v>
      </c>
      <c r="M11" s="90">
        <v>12275.777357623614</v>
      </c>
      <c r="N11" s="90">
        <v>5907.615877009519</v>
      </c>
      <c r="O11" s="90">
        <v>0</v>
      </c>
      <c r="P11" s="90">
        <v>-104.54897413733491</v>
      </c>
      <c r="Q11" s="90">
        <v>158.77319640415809</v>
      </c>
      <c r="R11" s="90">
        <v>287.09401093151513</v>
      </c>
      <c r="S11" s="90">
        <v>15530.548171398432</v>
      </c>
      <c r="T11" s="90">
        <v>-325.37526485028707</v>
      </c>
      <c r="U11" s="90">
        <v>0</v>
      </c>
      <c r="V11" s="90">
        <f t="shared" si="1"/>
        <v>90899.5183149691</v>
      </c>
      <c r="W11" s="90">
        <f t="shared" si="2"/>
        <v>153815.41232658972</v>
      </c>
      <c r="X11" s="90">
        <f t="shared" si="3"/>
        <v>72195.911284884889</v>
      </c>
      <c r="Y11" s="90">
        <v>19.658883979999995</v>
      </c>
      <c r="Z11" s="90">
        <v>-325.37526485028707</v>
      </c>
      <c r="AA11" s="90">
        <f t="shared" si="4"/>
        <v>316605.12554557348</v>
      </c>
      <c r="AB11" s="111">
        <f t="shared" si="5"/>
        <v>-0.15014239787433115</v>
      </c>
    </row>
    <row r="12" spans="2:28" x14ac:dyDescent="0.2">
      <c r="B12" s="90" t="s">
        <v>164</v>
      </c>
      <c r="C12" s="90">
        <f>'Data Numbers'!C146</f>
        <v>118646.17271509423</v>
      </c>
      <c r="D12" s="90">
        <f>'Data Numbers'!E146</f>
        <v>98.730816705450735</v>
      </c>
      <c r="E12" s="90">
        <f t="shared" si="0"/>
        <v>3294.2090696600762</v>
      </c>
      <c r="F12" s="90">
        <v>462.7914111632947</v>
      </c>
      <c r="G12" s="90">
        <v>1810.3143642122002</v>
      </c>
      <c r="H12" s="90">
        <v>6.0035503193361865</v>
      </c>
      <c r="I12" s="90">
        <f>'Data Numbers'!F146</f>
        <v>87985.115196405444</v>
      </c>
      <c r="J12" s="90">
        <v>9901.5923290621104</v>
      </c>
      <c r="K12" s="90">
        <v>22957.343077523845</v>
      </c>
      <c r="L12" s="90">
        <v>6467.533389129022</v>
      </c>
      <c r="M12" s="90">
        <v>12275.777357623614</v>
      </c>
      <c r="N12" s="90">
        <v>5907.615877009519</v>
      </c>
      <c r="O12" s="90">
        <v>0</v>
      </c>
      <c r="P12" s="90">
        <v>-104.54897413733491</v>
      </c>
      <c r="Q12" s="90">
        <v>158.77319640415809</v>
      </c>
      <c r="R12" s="90">
        <v>276.05503755541713</v>
      </c>
      <c r="S12" s="90">
        <v>8898.2195753251854</v>
      </c>
      <c r="T12" s="90">
        <v>-325.37526485028707</v>
      </c>
      <c r="U12" s="90">
        <v>0</v>
      </c>
      <c r="V12" s="90">
        <f t="shared" si="1"/>
        <v>124318.22192715461</v>
      </c>
      <c r="W12" s="90">
        <f t="shared" si="2"/>
        <v>87985.115196405444</v>
      </c>
      <c r="X12" s="90">
        <f t="shared" si="3"/>
        <v>66412.985600645246</v>
      </c>
      <c r="Y12" s="90">
        <v>16.198081439999999</v>
      </c>
      <c r="Z12" s="90">
        <v>-325.37526485028707</v>
      </c>
      <c r="AA12" s="90">
        <f t="shared" si="4"/>
        <v>278407.14554079506</v>
      </c>
      <c r="AB12" s="111">
        <f t="shared" si="5"/>
        <v>-0.25267656764484669</v>
      </c>
    </row>
    <row r="13" spans="2:28" x14ac:dyDescent="0.2">
      <c r="B13" s="90" t="s">
        <v>165</v>
      </c>
      <c r="C13" s="90">
        <f>'Data Numbers'!C162</f>
        <v>152163.28775869904</v>
      </c>
      <c r="D13" s="90">
        <f>'Data Numbers'!E162</f>
        <v>0</v>
      </c>
      <c r="E13" s="90">
        <f t="shared" si="0"/>
        <v>3294.2090696600762</v>
      </c>
      <c r="F13" s="90">
        <v>1035.7336928487316</v>
      </c>
      <c r="G13" s="90">
        <v>1761.2322403708711</v>
      </c>
      <c r="H13" s="90">
        <v>5.8407791420829263</v>
      </c>
      <c r="I13" s="90">
        <f>'Data Numbers'!F162</f>
        <v>49213.723161147558</v>
      </c>
      <c r="J13" s="90">
        <v>9294.7877220855171</v>
      </c>
      <c r="K13" s="90">
        <v>24266.875387515411</v>
      </c>
      <c r="L13" s="90">
        <v>6292.1824771390457</v>
      </c>
      <c r="M13" s="90">
        <v>12269.881420961197</v>
      </c>
      <c r="N13" s="90">
        <v>5747.4457210330111</v>
      </c>
      <c r="O13" s="90">
        <v>0</v>
      </c>
      <c r="P13" s="90">
        <v>-101.71439148277719</v>
      </c>
      <c r="Q13" s="90">
        <v>154.46846025299578</v>
      </c>
      <c r="R13" s="90">
        <v>268.57049906410703</v>
      </c>
      <c r="S13" s="90">
        <v>4977.9382299565541</v>
      </c>
      <c r="T13" s="90">
        <v>-316.55353236006465</v>
      </c>
      <c r="U13" s="90">
        <v>0</v>
      </c>
      <c r="V13" s="90">
        <f t="shared" si="1"/>
        <v>158260.30354072081</v>
      </c>
      <c r="W13" s="90">
        <f t="shared" si="2"/>
        <v>49213.723161147558</v>
      </c>
      <c r="X13" s="90">
        <f t="shared" si="3"/>
        <v>62853.881994165</v>
      </c>
      <c r="Y13" s="90">
        <v>14.856464559999999</v>
      </c>
      <c r="Z13" s="90">
        <v>-316.55353236006465</v>
      </c>
      <c r="AA13" s="90">
        <f t="shared" si="4"/>
        <v>270026.21162823332</v>
      </c>
      <c r="AB13" s="111">
        <f t="shared" si="5"/>
        <v>-0.2751733619915262</v>
      </c>
    </row>
    <row r="14" spans="2:28" x14ac:dyDescent="0.2">
      <c r="B14" s="90" t="s">
        <v>166</v>
      </c>
      <c r="C14" s="90">
        <f>'Data Numbers'!C178</f>
        <v>150096.83391032441</v>
      </c>
      <c r="D14" s="90">
        <f>'Data Numbers'!E178</f>
        <v>0</v>
      </c>
      <c r="E14" s="90">
        <f t="shared" si="0"/>
        <v>3294.2090696600762</v>
      </c>
      <c r="F14" s="90">
        <v>1035.2644796194691</v>
      </c>
      <c r="G14" s="90">
        <v>1731.5842193916476</v>
      </c>
      <c r="H14" s="90">
        <v>5.7424573316083345</v>
      </c>
      <c r="I14" s="90">
        <f>'Data Numbers'!F178</f>
        <v>45161.344555066673</v>
      </c>
      <c r="J14" s="90">
        <v>9418.4933857914784</v>
      </c>
      <c r="K14" s="90">
        <v>24682.370529208274</v>
      </c>
      <c r="L14" s="90">
        <v>6186.2618871048562</v>
      </c>
      <c r="M14" s="90">
        <v>12063.334156243496</v>
      </c>
      <c r="N14" s="90">
        <v>5650.6950555567464</v>
      </c>
      <c r="O14" s="90">
        <v>0</v>
      </c>
      <c r="P14" s="90">
        <v>-100.00216390514935</v>
      </c>
      <c r="Q14" s="90">
        <v>151.86818753186688</v>
      </c>
      <c r="R14" s="90">
        <v>264.04946906696347</v>
      </c>
      <c r="S14" s="90">
        <v>4569.0571996859408</v>
      </c>
      <c r="T14" s="90">
        <v>-311.22477130667733</v>
      </c>
      <c r="U14" s="90">
        <v>0</v>
      </c>
      <c r="V14" s="90">
        <f t="shared" si="1"/>
        <v>156163.63413632722</v>
      </c>
      <c r="W14" s="90">
        <f t="shared" si="2"/>
        <v>45161.344555066673</v>
      </c>
      <c r="X14" s="90">
        <f t="shared" si="3"/>
        <v>62574.902934977799</v>
      </c>
      <c r="Y14" s="90">
        <v>8.2031072399999996</v>
      </c>
      <c r="Z14" s="90">
        <v>-311.22477130667733</v>
      </c>
      <c r="AA14" s="90">
        <f t="shared" si="4"/>
        <v>263596.85996230505</v>
      </c>
      <c r="AB14" s="111">
        <f t="shared" si="5"/>
        <v>-0.29243155824028511</v>
      </c>
    </row>
    <row r="15" spans="2:28" x14ac:dyDescent="0.2">
      <c r="B15" s="90" t="s">
        <v>167</v>
      </c>
      <c r="C15" s="90">
        <f>'Data Numbers'!C182</f>
        <v>159569.63801565507</v>
      </c>
      <c r="D15" s="90">
        <f>'Data Numbers'!E182</f>
        <v>0</v>
      </c>
      <c r="E15" s="90">
        <f>'Data Numbers'!D182</f>
        <v>3294.2090696600762</v>
      </c>
      <c r="F15" s="110">
        <v>1167.9329040034713</v>
      </c>
      <c r="G15" s="90">
        <v>1731.5269542213523</v>
      </c>
      <c r="H15" s="90">
        <v>5.7422674229724588</v>
      </c>
      <c r="I15" s="90">
        <f>'Data Numbers'!F183</f>
        <v>35843.633486917483</v>
      </c>
      <c r="J15" s="90">
        <v>10206.080438317107</v>
      </c>
      <c r="K15" s="90">
        <v>23980.758737959939</v>
      </c>
      <c r="L15" s="90">
        <v>6186.0573014217061</v>
      </c>
      <c r="M15" s="90">
        <v>12062.935210077867</v>
      </c>
      <c r="N15" s="90">
        <v>5650.5081815883759</v>
      </c>
      <c r="O15" s="90">
        <v>0</v>
      </c>
      <c r="P15" s="90">
        <v>-142.2276</v>
      </c>
      <c r="Q15" s="90">
        <v>151.86316510354717</v>
      </c>
      <c r="R15" s="90">
        <v>264.04073669481363</v>
      </c>
      <c r="S15" s="90">
        <v>4504.970838646339</v>
      </c>
      <c r="T15" s="90">
        <v>-1.2081930000000001</v>
      </c>
      <c r="U15" s="90">
        <v>0</v>
      </c>
      <c r="V15" s="90">
        <f t="shared" si="1"/>
        <v>165769.04921096296</v>
      </c>
      <c r="W15" s="90">
        <f t="shared" si="2"/>
        <v>35843.633486917483</v>
      </c>
      <c r="X15" s="90">
        <f t="shared" si="3"/>
        <v>62863.778816809696</v>
      </c>
      <c r="Y15" s="90">
        <v>4.7118219999999988</v>
      </c>
      <c r="Z15" s="127">
        <v>0</v>
      </c>
      <c r="AA15" s="90">
        <f t="shared" si="4"/>
        <v>264481.17333669012</v>
      </c>
      <c r="AB15" s="111">
        <f t="shared" si="5"/>
        <v>-0.2900578113131389</v>
      </c>
    </row>
    <row r="16" spans="2:28" x14ac:dyDescent="0.2">
      <c r="E16" s="126"/>
    </row>
    <row r="19" spans="3:4" x14ac:dyDescent="0.2">
      <c r="C19" s="92"/>
      <c r="D19" s="86"/>
    </row>
  </sheetData>
  <mergeCells count="5">
    <mergeCell ref="J2:Z2"/>
    <mergeCell ref="B2:B3"/>
    <mergeCell ref="C2:H2"/>
    <mergeCell ref="AA2:AA3"/>
    <mergeCell ref="AB2:AB3"/>
  </mergeCells>
  <phoneticPr fontId="1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E15E-EEAD-D640-90C3-809DF97EDFB5}">
  <dimension ref="A2:L34"/>
  <sheetViews>
    <sheetView workbookViewId="0"/>
  </sheetViews>
  <sheetFormatPr baseColWidth="10" defaultColWidth="10.83203125" defaultRowHeight="15" x14ac:dyDescent="0.2"/>
  <cols>
    <col min="2" max="2" width="18.33203125" customWidth="1"/>
    <col min="3" max="3" width="24.83203125" customWidth="1"/>
    <col min="4" max="4" width="19.33203125" customWidth="1"/>
    <col min="5" max="5" width="18.1640625" style="75" customWidth="1"/>
    <col min="6" max="6" width="20.6640625" customWidth="1"/>
    <col min="7" max="7" width="21.1640625" customWidth="1"/>
  </cols>
  <sheetData>
    <row r="2" spans="1:12" ht="19" x14ac:dyDescent="0.2">
      <c r="A2" s="39"/>
      <c r="B2" s="76" t="s">
        <v>149</v>
      </c>
      <c r="C2" s="37"/>
      <c r="D2" s="38"/>
      <c r="E2" s="5"/>
      <c r="F2" s="39"/>
      <c r="G2" s="37"/>
    </row>
    <row r="3" spans="1:12" x14ac:dyDescent="0.2">
      <c r="A3" s="39"/>
      <c r="B3" s="37" t="s">
        <v>139</v>
      </c>
      <c r="C3" s="37" t="s">
        <v>130</v>
      </c>
      <c r="D3" s="38" t="s">
        <v>131</v>
      </c>
      <c r="E3" s="5" t="s">
        <v>127</v>
      </c>
      <c r="F3" s="72" t="s">
        <v>135</v>
      </c>
      <c r="G3" s="73" t="s">
        <v>136</v>
      </c>
    </row>
    <row r="4" spans="1:12" ht="18" x14ac:dyDescent="0.2">
      <c r="A4" s="39"/>
      <c r="B4" s="37" t="s">
        <v>145</v>
      </c>
      <c r="C4" s="37" t="s">
        <v>146</v>
      </c>
      <c r="D4" s="37" t="s">
        <v>147</v>
      </c>
      <c r="E4" s="5" t="s">
        <v>148</v>
      </c>
      <c r="F4" s="39"/>
      <c r="G4" s="37"/>
      <c r="I4" s="70"/>
      <c r="J4" s="69"/>
      <c r="K4" s="69"/>
      <c r="L4" s="69"/>
    </row>
    <row r="5" spans="1:12" ht="18" x14ac:dyDescent="0.2">
      <c r="A5" s="39">
        <v>2008</v>
      </c>
      <c r="B5" s="71">
        <v>8.6745266670000003</v>
      </c>
      <c r="C5" s="71">
        <v>6.1560599999999999E-4</v>
      </c>
      <c r="D5" s="71">
        <v>6.5125999999999997E-4</v>
      </c>
      <c r="E5" s="74">
        <f t="shared" ref="E5:E16" si="0">(B5+(C5*F5)+(D5*G5))/1000</f>
        <v>8.8643475350000007E-3</v>
      </c>
      <c r="F5" s="39">
        <v>28</v>
      </c>
      <c r="G5" s="37">
        <v>265</v>
      </c>
      <c r="I5" s="70"/>
      <c r="J5" s="69"/>
      <c r="K5" s="69"/>
      <c r="L5" s="69"/>
    </row>
    <row r="6" spans="1:12" ht="18" x14ac:dyDescent="0.2">
      <c r="A6" s="39">
        <v>2009</v>
      </c>
      <c r="B6" s="71">
        <v>8.6456455559999998</v>
      </c>
      <c r="C6" s="71">
        <v>5.6708799999999999E-4</v>
      </c>
      <c r="D6" s="71">
        <v>5.8738699999999998E-4</v>
      </c>
      <c r="E6" s="74">
        <f t="shared" si="0"/>
        <v>8.8171815749999993E-3</v>
      </c>
      <c r="F6" s="39">
        <v>28</v>
      </c>
      <c r="G6" s="37">
        <v>265</v>
      </c>
      <c r="I6" s="70"/>
      <c r="J6" s="69"/>
      <c r="K6" s="69"/>
      <c r="L6" s="69"/>
    </row>
    <row r="7" spans="1:12" ht="18" x14ac:dyDescent="0.2">
      <c r="A7" s="39">
        <v>2010</v>
      </c>
      <c r="B7" s="71">
        <v>8.6082699999999992</v>
      </c>
      <c r="C7" s="71">
        <v>5.2293299999999995E-4</v>
      </c>
      <c r="D7" s="71">
        <v>5.2070700000000003E-4</v>
      </c>
      <c r="E7" s="74">
        <f t="shared" si="0"/>
        <v>8.7608994789999985E-3</v>
      </c>
      <c r="F7" s="39">
        <v>28</v>
      </c>
      <c r="G7" s="37">
        <v>265</v>
      </c>
      <c r="I7" s="70"/>
      <c r="J7" s="69"/>
      <c r="K7" s="69"/>
      <c r="L7" s="69"/>
    </row>
    <row r="8" spans="1:12" ht="18" x14ac:dyDescent="0.2">
      <c r="A8" s="39">
        <v>2011</v>
      </c>
      <c r="B8" s="71">
        <v>8.6014744440000008</v>
      </c>
      <c r="C8" s="71">
        <v>5.0161200000000002E-4</v>
      </c>
      <c r="D8" s="71">
        <v>4.6859400000000002E-4</v>
      </c>
      <c r="E8" s="74">
        <f t="shared" si="0"/>
        <v>8.7396969900000003E-3</v>
      </c>
      <c r="F8" s="39">
        <v>28</v>
      </c>
      <c r="G8" s="37">
        <v>265</v>
      </c>
      <c r="I8" s="70"/>
      <c r="J8" s="69"/>
      <c r="K8" s="69"/>
      <c r="L8" s="69"/>
    </row>
    <row r="9" spans="1:12" ht="18" x14ac:dyDescent="0.2">
      <c r="A9" s="39">
        <v>2012</v>
      </c>
      <c r="B9" s="71">
        <v>8.5997755560000009</v>
      </c>
      <c r="C9" s="71">
        <v>4.7995299999999998E-4</v>
      </c>
      <c r="D9" s="71">
        <v>4.12948E-4</v>
      </c>
      <c r="E9" s="74">
        <f t="shared" si="0"/>
        <v>8.722645460000001E-3</v>
      </c>
      <c r="F9" s="39">
        <v>28</v>
      </c>
      <c r="G9" s="37">
        <v>265</v>
      </c>
      <c r="I9" s="70"/>
      <c r="J9" s="69"/>
      <c r="K9" s="69"/>
      <c r="L9" s="69"/>
    </row>
    <row r="10" spans="1:12" ht="18" x14ac:dyDescent="0.2">
      <c r="A10" s="39">
        <v>2013</v>
      </c>
      <c r="B10" s="71">
        <v>8.5963777780000008</v>
      </c>
      <c r="C10" s="71">
        <v>5.0477300000000003E-4</v>
      </c>
      <c r="D10" s="71">
        <v>4.3462600000000002E-4</v>
      </c>
      <c r="E10" s="74">
        <f t="shared" si="0"/>
        <v>8.7256873119999998E-3</v>
      </c>
      <c r="F10" s="39">
        <v>28</v>
      </c>
      <c r="G10" s="37">
        <v>265</v>
      </c>
      <c r="I10" s="70"/>
      <c r="J10" s="69"/>
      <c r="K10" s="69"/>
      <c r="L10" s="69"/>
    </row>
    <row r="11" spans="1:12" ht="18" x14ac:dyDescent="0.2">
      <c r="A11" s="39">
        <v>29014</v>
      </c>
      <c r="B11" s="71">
        <v>8.5946788890000008</v>
      </c>
      <c r="C11" s="71">
        <v>4.7728199999999999E-4</v>
      </c>
      <c r="D11" s="71">
        <v>4.7393899999999999E-4</v>
      </c>
      <c r="E11" s="74">
        <f t="shared" si="0"/>
        <v>8.7336366200000005E-3</v>
      </c>
      <c r="F11" s="39">
        <v>28</v>
      </c>
      <c r="G11" s="37">
        <v>265</v>
      </c>
      <c r="I11" s="70"/>
      <c r="J11" s="69"/>
      <c r="K11" s="69"/>
      <c r="L11" s="69"/>
    </row>
    <row r="12" spans="1:12" ht="18" x14ac:dyDescent="0.2">
      <c r="A12" s="39">
        <v>2015</v>
      </c>
      <c r="B12" s="71">
        <v>8.5912811110000007</v>
      </c>
      <c r="C12" s="71">
        <v>4.5798600000000002E-4</v>
      </c>
      <c r="D12" s="71">
        <v>3.26103E-4</v>
      </c>
      <c r="E12" s="74">
        <f t="shared" si="0"/>
        <v>8.6905220139999999E-3</v>
      </c>
      <c r="F12" s="39">
        <v>28</v>
      </c>
      <c r="G12" s="37">
        <v>265</v>
      </c>
      <c r="I12" s="70"/>
      <c r="J12" s="69"/>
      <c r="K12" s="69"/>
      <c r="L12" s="69"/>
    </row>
    <row r="13" spans="1:12" ht="18" x14ac:dyDescent="0.2">
      <c r="A13" s="39">
        <v>2016</v>
      </c>
      <c r="B13" s="71">
        <v>8.5878833330000006</v>
      </c>
      <c r="C13" s="71">
        <v>4.63339E-4</v>
      </c>
      <c r="D13" s="71">
        <v>3.0073300000000002E-4</v>
      </c>
      <c r="E13" s="74">
        <f t="shared" si="0"/>
        <v>8.6805510700000022E-3</v>
      </c>
      <c r="F13" s="39">
        <v>28</v>
      </c>
      <c r="G13" s="37">
        <v>265</v>
      </c>
      <c r="I13" s="70"/>
      <c r="J13" s="69"/>
      <c r="K13" s="69"/>
      <c r="L13" s="69"/>
    </row>
    <row r="14" spans="1:12" ht="18" x14ac:dyDescent="0.2">
      <c r="A14" s="39">
        <v>2017</v>
      </c>
      <c r="B14" s="71">
        <v>8.5844855560000006</v>
      </c>
      <c r="C14" s="71">
        <v>4.63339E-4</v>
      </c>
      <c r="D14" s="71">
        <v>3.0073300000000002E-4</v>
      </c>
      <c r="E14" s="74">
        <f t="shared" si="0"/>
        <v>8.6771532930000009E-3</v>
      </c>
      <c r="F14" s="39">
        <v>28</v>
      </c>
      <c r="G14" s="37">
        <v>265</v>
      </c>
      <c r="I14" s="70"/>
      <c r="J14" s="69"/>
      <c r="K14" s="69"/>
      <c r="L14" s="69"/>
    </row>
    <row r="15" spans="1:12" ht="18" x14ac:dyDescent="0.2">
      <c r="A15" s="39">
        <v>2018</v>
      </c>
      <c r="B15" s="71">
        <v>8.5861844440000006</v>
      </c>
      <c r="C15" s="71">
        <v>4.63339E-4</v>
      </c>
      <c r="D15" s="71">
        <v>3.0073300000000002E-4</v>
      </c>
      <c r="E15" s="74">
        <f t="shared" si="0"/>
        <v>8.6788521810000022E-3</v>
      </c>
      <c r="F15" s="39">
        <v>28</v>
      </c>
      <c r="G15" s="37">
        <v>265</v>
      </c>
      <c r="I15" s="70"/>
      <c r="J15" s="69"/>
      <c r="K15" s="69"/>
    </row>
    <row r="16" spans="1:12" ht="18" x14ac:dyDescent="0.2">
      <c r="A16" s="39">
        <v>2019</v>
      </c>
      <c r="B16" s="71">
        <v>8.5861844440000006</v>
      </c>
      <c r="C16" s="71">
        <v>4.63339E-4</v>
      </c>
      <c r="D16" s="71">
        <v>3.0073300000000002E-4</v>
      </c>
      <c r="E16" s="74">
        <f t="shared" si="0"/>
        <v>8.6788521810000022E-3</v>
      </c>
      <c r="F16" s="39">
        <v>28</v>
      </c>
      <c r="G16" s="37">
        <v>265</v>
      </c>
      <c r="I16" s="70"/>
      <c r="J16" s="69"/>
    </row>
    <row r="17" spans="1:7" x14ac:dyDescent="0.2">
      <c r="A17" s="39">
        <v>2020</v>
      </c>
      <c r="B17" s="37"/>
      <c r="C17" s="37"/>
      <c r="D17" s="38"/>
      <c r="E17" s="5"/>
      <c r="F17" s="39"/>
      <c r="G17" s="37"/>
    </row>
    <row r="19" spans="1:7" ht="19" x14ac:dyDescent="0.2">
      <c r="A19" s="39"/>
      <c r="B19" s="76" t="s">
        <v>150</v>
      </c>
      <c r="C19" s="37"/>
      <c r="D19" s="38"/>
      <c r="E19" s="5"/>
      <c r="F19" s="39"/>
      <c r="G19" s="37"/>
    </row>
    <row r="20" spans="1:7" x14ac:dyDescent="0.2">
      <c r="A20" s="39"/>
      <c r="B20" s="37" t="s">
        <v>139</v>
      </c>
      <c r="C20" s="37" t="s">
        <v>130</v>
      </c>
      <c r="D20" s="38" t="s">
        <v>131</v>
      </c>
      <c r="E20" s="5" t="s">
        <v>127</v>
      </c>
      <c r="F20" s="72" t="s">
        <v>135</v>
      </c>
      <c r="G20" s="73" t="s">
        <v>136</v>
      </c>
    </row>
    <row r="21" spans="1:7" x14ac:dyDescent="0.2">
      <c r="A21" s="39"/>
      <c r="B21" s="37" t="s">
        <v>145</v>
      </c>
      <c r="C21" s="37" t="s">
        <v>146</v>
      </c>
      <c r="D21" s="37" t="s">
        <v>147</v>
      </c>
      <c r="E21" s="5" t="s">
        <v>148</v>
      </c>
      <c r="F21" s="39"/>
      <c r="G21" s="37"/>
    </row>
    <row r="22" spans="1:7" ht="16" x14ac:dyDescent="0.2">
      <c r="A22" s="39">
        <v>2008</v>
      </c>
      <c r="B22" s="71">
        <v>10.17784603</v>
      </c>
      <c r="C22" s="71">
        <v>2.9183000000000002E-5</v>
      </c>
      <c r="D22" s="71">
        <v>3.0000000000000001E-5</v>
      </c>
      <c r="E22" s="74">
        <f t="shared" ref="E22:E33" si="1">(B22+(C22*F22)+(D22*G22))/1000</f>
        <v>1.0186613153999997E-2</v>
      </c>
      <c r="F22" s="39">
        <v>28</v>
      </c>
      <c r="G22" s="37">
        <v>265</v>
      </c>
    </row>
    <row r="23" spans="1:7" ht="16" x14ac:dyDescent="0.2">
      <c r="A23" s="39">
        <v>2009</v>
      </c>
      <c r="B23" s="71">
        <v>10.1796069</v>
      </c>
      <c r="C23" s="71">
        <v>2.9524000000000001E-5</v>
      </c>
      <c r="D23" s="71">
        <v>3.0300000000000001E-5</v>
      </c>
      <c r="E23" s="74">
        <f t="shared" si="1"/>
        <v>1.0188463072E-2</v>
      </c>
      <c r="F23" s="39">
        <v>28</v>
      </c>
      <c r="G23" s="37">
        <v>265</v>
      </c>
    </row>
    <row r="24" spans="1:7" ht="16" x14ac:dyDescent="0.2">
      <c r="A24" s="39">
        <v>2010</v>
      </c>
      <c r="B24" s="71">
        <v>10.174324289999999</v>
      </c>
      <c r="C24" s="71">
        <v>2.9989E-5</v>
      </c>
      <c r="D24" s="71">
        <v>3.0899999999999999E-5</v>
      </c>
      <c r="E24" s="74">
        <f t="shared" si="1"/>
        <v>1.0183352481999999E-2</v>
      </c>
      <c r="F24" s="39">
        <v>28</v>
      </c>
      <c r="G24" s="37">
        <v>265</v>
      </c>
    </row>
    <row r="25" spans="1:7" ht="16" x14ac:dyDescent="0.2">
      <c r="A25" s="39">
        <v>2011</v>
      </c>
      <c r="B25" s="71">
        <v>10.17080254</v>
      </c>
      <c r="C25" s="71">
        <v>2.9910999999999999E-5</v>
      </c>
      <c r="D25" s="71">
        <v>3.0599999999999998E-5</v>
      </c>
      <c r="E25" s="74">
        <f t="shared" si="1"/>
        <v>1.0179749048E-2</v>
      </c>
      <c r="F25" s="39">
        <v>28</v>
      </c>
      <c r="G25" s="37">
        <v>265</v>
      </c>
    </row>
    <row r="26" spans="1:7" ht="16" x14ac:dyDescent="0.2">
      <c r="A26" s="39">
        <v>2012</v>
      </c>
      <c r="B26" s="71">
        <v>10.16728079</v>
      </c>
      <c r="C26" s="71">
        <v>3.0227E-5</v>
      </c>
      <c r="D26" s="71">
        <v>3.1000000000000001E-5</v>
      </c>
      <c r="E26" s="74">
        <f t="shared" si="1"/>
        <v>1.0176342146E-2</v>
      </c>
      <c r="F26" s="39">
        <v>28</v>
      </c>
      <c r="G26" s="37">
        <v>265</v>
      </c>
    </row>
    <row r="27" spans="1:7" ht="16" x14ac:dyDescent="0.2">
      <c r="A27" s="39">
        <v>2013</v>
      </c>
      <c r="B27" s="71">
        <v>10.16728079</v>
      </c>
      <c r="C27" s="71">
        <v>2.9501000000000001E-5</v>
      </c>
      <c r="D27" s="71">
        <v>3.0199999999999999E-5</v>
      </c>
      <c r="E27" s="74">
        <f t="shared" si="1"/>
        <v>1.0176109818E-2</v>
      </c>
      <c r="F27" s="39">
        <v>28</v>
      </c>
      <c r="G27" s="37">
        <v>265</v>
      </c>
    </row>
    <row r="28" spans="1:7" ht="16" x14ac:dyDescent="0.2">
      <c r="A28" s="39">
        <v>29014</v>
      </c>
      <c r="B28" s="71">
        <v>10.165519919999999</v>
      </c>
      <c r="C28" s="71">
        <v>3.0178000000000001E-5</v>
      </c>
      <c r="D28" s="71">
        <v>3.0800000000000003E-5</v>
      </c>
      <c r="E28" s="74">
        <f t="shared" si="1"/>
        <v>1.0174526904E-2</v>
      </c>
      <c r="F28" s="39">
        <v>28</v>
      </c>
      <c r="G28" s="37">
        <v>265</v>
      </c>
    </row>
    <row r="29" spans="1:7" ht="16" x14ac:dyDescent="0.2">
      <c r="A29" s="39">
        <v>2015</v>
      </c>
      <c r="B29" s="71">
        <v>10.165519919999999</v>
      </c>
      <c r="C29" s="71">
        <v>2.9496999999999999E-5</v>
      </c>
      <c r="D29" s="71">
        <v>3.0700000000000001E-5</v>
      </c>
      <c r="E29" s="74">
        <f t="shared" si="1"/>
        <v>1.0174481336E-2</v>
      </c>
      <c r="F29" s="39">
        <v>28</v>
      </c>
      <c r="G29" s="37">
        <v>265</v>
      </c>
    </row>
    <row r="30" spans="1:7" ht="16" x14ac:dyDescent="0.2">
      <c r="A30" s="39">
        <v>2016</v>
      </c>
      <c r="B30" s="71">
        <v>10.165519919999999</v>
      </c>
      <c r="C30" s="71">
        <v>2.9564999999999999E-5</v>
      </c>
      <c r="D30" s="71">
        <v>3.0800000000000003E-5</v>
      </c>
      <c r="E30" s="74">
        <f t="shared" si="1"/>
        <v>1.0174509739999999E-2</v>
      </c>
      <c r="F30" s="39">
        <v>28</v>
      </c>
      <c r="G30" s="37">
        <v>265</v>
      </c>
    </row>
    <row r="31" spans="1:7" ht="16" x14ac:dyDescent="0.2">
      <c r="A31" s="39">
        <v>2017</v>
      </c>
      <c r="B31" s="71">
        <v>10.163759049999999</v>
      </c>
      <c r="C31" s="71">
        <v>2.9564999999999999E-5</v>
      </c>
      <c r="D31" s="71">
        <v>3.0800000000000003E-5</v>
      </c>
      <c r="E31" s="74">
        <f t="shared" si="1"/>
        <v>1.017274887E-2</v>
      </c>
      <c r="F31" s="39">
        <v>28</v>
      </c>
      <c r="G31" s="37">
        <v>265</v>
      </c>
    </row>
    <row r="32" spans="1:7" ht="16" x14ac:dyDescent="0.2">
      <c r="A32" s="39">
        <v>2018</v>
      </c>
      <c r="B32" s="71">
        <v>10.163759049999999</v>
      </c>
      <c r="C32" s="71">
        <v>2.9564999999999999E-5</v>
      </c>
      <c r="D32" s="71">
        <v>3.0800000000000003E-5</v>
      </c>
      <c r="E32" s="74">
        <f t="shared" si="1"/>
        <v>1.017274887E-2</v>
      </c>
      <c r="F32" s="39">
        <v>28</v>
      </c>
      <c r="G32" s="37">
        <v>265</v>
      </c>
    </row>
    <row r="33" spans="1:7" ht="16" x14ac:dyDescent="0.2">
      <c r="A33" s="39">
        <v>2019</v>
      </c>
      <c r="B33" s="71">
        <v>10.163759049999999</v>
      </c>
      <c r="C33" s="71">
        <v>2.9564999999999999E-5</v>
      </c>
      <c r="D33" s="71">
        <v>3.0800000000000003E-5</v>
      </c>
      <c r="E33" s="74">
        <f t="shared" si="1"/>
        <v>1.017274887E-2</v>
      </c>
      <c r="F33" s="39">
        <v>28</v>
      </c>
      <c r="G33" s="37">
        <v>265</v>
      </c>
    </row>
    <row r="34" spans="1:7" ht="18" x14ac:dyDescent="0.2">
      <c r="C34" s="69"/>
      <c r="D34" s="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9BA7-B3D5-47B8-B57C-40A4D4718D60}">
  <sheetPr>
    <pageSetUpPr fitToPage="1"/>
  </sheetPr>
  <dimension ref="A1:AD45"/>
  <sheetViews>
    <sheetView workbookViewId="0">
      <selection sqref="A1:AD1"/>
    </sheetView>
  </sheetViews>
  <sheetFormatPr baseColWidth="10" defaultColWidth="8.6640625" defaultRowHeight="15" x14ac:dyDescent="0.2"/>
  <cols>
    <col min="1" max="1" width="92.6640625" style="27" customWidth="1"/>
    <col min="2" max="30" width="13.1640625" style="27" bestFit="1" customWidth="1"/>
    <col min="31" max="16384" width="8.6640625" style="27"/>
  </cols>
  <sheetData>
    <row r="1" spans="1:30" ht="20.25" customHeight="1" x14ac:dyDescent="0.2">
      <c r="A1" s="124" t="s">
        <v>83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1:30" ht="20.25" customHeight="1" x14ac:dyDescent="0.2">
      <c r="A2" s="124" t="s">
        <v>82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28" x14ac:dyDescent="0.2">
      <c r="A3" s="35" t="s">
        <v>81</v>
      </c>
      <c r="B3" s="35" t="s">
        <v>80</v>
      </c>
      <c r="C3" s="35" t="s">
        <v>79</v>
      </c>
      <c r="D3" s="35" t="s">
        <v>78</v>
      </c>
      <c r="E3" s="35" t="s">
        <v>77</v>
      </c>
      <c r="F3" s="35" t="s">
        <v>76</v>
      </c>
      <c r="G3" s="35" t="s">
        <v>75</v>
      </c>
      <c r="H3" s="35" t="s">
        <v>74</v>
      </c>
      <c r="I3" s="35" t="s">
        <v>73</v>
      </c>
      <c r="J3" s="35" t="s">
        <v>72</v>
      </c>
      <c r="K3" s="35" t="s">
        <v>71</v>
      </c>
      <c r="L3" s="35" t="s">
        <v>70</v>
      </c>
      <c r="M3" s="35" t="s">
        <v>69</v>
      </c>
      <c r="N3" s="35" t="s">
        <v>68</v>
      </c>
      <c r="O3" s="35" t="s">
        <v>67</v>
      </c>
      <c r="P3" s="35" t="s">
        <v>66</v>
      </c>
      <c r="Q3" s="35" t="s">
        <v>65</v>
      </c>
      <c r="R3" s="35" t="s">
        <v>64</v>
      </c>
      <c r="S3" s="35" t="s">
        <v>63</v>
      </c>
      <c r="T3" s="35" t="s">
        <v>62</v>
      </c>
      <c r="U3" s="35" t="s">
        <v>61</v>
      </c>
      <c r="V3" s="35" t="s">
        <v>60</v>
      </c>
      <c r="W3" s="35" t="s">
        <v>59</v>
      </c>
      <c r="X3" s="35" t="s">
        <v>58</v>
      </c>
      <c r="Y3" s="35" t="s">
        <v>57</v>
      </c>
      <c r="Z3" s="35" t="s">
        <v>56</v>
      </c>
      <c r="AA3" s="35" t="s">
        <v>55</v>
      </c>
      <c r="AB3" s="35" t="s">
        <v>54</v>
      </c>
      <c r="AC3" s="35" t="s">
        <v>53</v>
      </c>
      <c r="AD3" s="35" t="s">
        <v>52</v>
      </c>
    </row>
    <row r="4" spans="1:30" hidden="1" x14ac:dyDescent="0.2">
      <c r="A4" s="34" t="s">
        <v>51</v>
      </c>
      <c r="B4" s="33" t="s">
        <v>43</v>
      </c>
      <c r="C4" s="33" t="s">
        <v>43</v>
      </c>
      <c r="D4" s="33" t="s">
        <v>43</v>
      </c>
      <c r="E4" s="33" t="s">
        <v>43</v>
      </c>
      <c r="F4" s="33" t="s">
        <v>43</v>
      </c>
      <c r="G4" s="33" t="s">
        <v>43</v>
      </c>
      <c r="H4" s="33" t="s">
        <v>43</v>
      </c>
      <c r="I4" s="33" t="s">
        <v>43</v>
      </c>
      <c r="J4" s="33" t="s">
        <v>43</v>
      </c>
      <c r="K4" s="33" t="s">
        <v>43</v>
      </c>
      <c r="L4" s="33" t="s">
        <v>43</v>
      </c>
      <c r="M4" s="33" t="s">
        <v>43</v>
      </c>
      <c r="N4" s="33" t="s">
        <v>43</v>
      </c>
      <c r="O4" s="33" t="s">
        <v>43</v>
      </c>
      <c r="P4" s="33" t="s">
        <v>43</v>
      </c>
      <c r="Q4" s="33" t="s">
        <v>43</v>
      </c>
      <c r="R4" s="33" t="s">
        <v>43</v>
      </c>
      <c r="S4" s="33" t="s">
        <v>43</v>
      </c>
      <c r="T4" s="33" t="s">
        <v>43</v>
      </c>
      <c r="U4" s="33" t="s">
        <v>43</v>
      </c>
      <c r="V4" s="33" t="s">
        <v>43</v>
      </c>
      <c r="W4" s="33" t="s">
        <v>43</v>
      </c>
      <c r="X4" s="33" t="s">
        <v>43</v>
      </c>
      <c r="Y4" s="33" t="s">
        <v>43</v>
      </c>
      <c r="Z4" s="33" t="s">
        <v>43</v>
      </c>
      <c r="AA4" s="33" t="s">
        <v>43</v>
      </c>
      <c r="AB4" s="33" t="s">
        <v>43</v>
      </c>
      <c r="AC4" s="33" t="s">
        <v>43</v>
      </c>
      <c r="AD4" s="33" t="s">
        <v>43</v>
      </c>
    </row>
    <row r="5" spans="1:30" hidden="1" x14ac:dyDescent="0.2">
      <c r="A5" s="30" t="s">
        <v>25</v>
      </c>
      <c r="B5" s="29">
        <v>2213291</v>
      </c>
      <c r="C5" s="29">
        <v>2247165</v>
      </c>
      <c r="D5" s="29">
        <v>2204132</v>
      </c>
      <c r="E5" s="29">
        <v>2172699</v>
      </c>
      <c r="F5" s="29">
        <v>2085965</v>
      </c>
      <c r="G5" s="29">
        <v>1209189</v>
      </c>
      <c r="H5" s="29">
        <v>1485827</v>
      </c>
      <c r="I5" s="29">
        <v>1462973</v>
      </c>
      <c r="J5" s="29">
        <v>1426879</v>
      </c>
      <c r="K5" s="29">
        <v>1318060</v>
      </c>
      <c r="L5" s="29">
        <v>1258662</v>
      </c>
      <c r="M5" s="29">
        <v>1191814</v>
      </c>
      <c r="N5" s="29">
        <v>1193241</v>
      </c>
      <c r="O5" s="29">
        <v>1250636</v>
      </c>
      <c r="P5" s="29">
        <v>1150521</v>
      </c>
      <c r="Q5" s="29">
        <v>1157246</v>
      </c>
      <c r="R5" s="29">
        <v>1037604</v>
      </c>
      <c r="S5" s="29">
        <v>1022707</v>
      </c>
      <c r="T5" s="29">
        <v>760201</v>
      </c>
      <c r="U5" s="29">
        <v>664657</v>
      </c>
      <c r="V5" s="29">
        <v>643700</v>
      </c>
      <c r="W5" s="29">
        <v>649158</v>
      </c>
      <c r="X5" s="29">
        <v>360893</v>
      </c>
      <c r="Y5" s="29">
        <v>314944</v>
      </c>
      <c r="Z5" s="29">
        <v>328298</v>
      </c>
      <c r="AA5" s="29">
        <v>207974</v>
      </c>
      <c r="AB5" s="29">
        <v>114236</v>
      </c>
      <c r="AC5" s="29">
        <v>91350</v>
      </c>
      <c r="AD5" s="29">
        <v>86259</v>
      </c>
    </row>
    <row r="6" spans="1:30" hidden="1" x14ac:dyDescent="0.2">
      <c r="A6" s="30" t="s">
        <v>48</v>
      </c>
      <c r="B6" s="29">
        <v>0</v>
      </c>
      <c r="C6" s="29">
        <v>1</v>
      </c>
      <c r="D6" s="29">
        <v>1</v>
      </c>
      <c r="E6" s="29">
        <v>0</v>
      </c>
      <c r="F6" s="29">
        <v>0</v>
      </c>
      <c r="G6" s="29">
        <v>0</v>
      </c>
      <c r="H6" s="29">
        <v>1</v>
      </c>
      <c r="I6" s="29">
        <v>1</v>
      </c>
      <c r="J6" s="29">
        <v>1</v>
      </c>
      <c r="K6" s="29">
        <v>2</v>
      </c>
      <c r="L6" s="29">
        <v>2</v>
      </c>
      <c r="M6" s="29">
        <v>1</v>
      </c>
      <c r="N6" s="29">
        <v>6</v>
      </c>
      <c r="O6" s="29">
        <v>3</v>
      </c>
      <c r="P6" s="29">
        <v>6</v>
      </c>
      <c r="Q6" s="29">
        <v>7</v>
      </c>
      <c r="R6" s="29">
        <v>7</v>
      </c>
      <c r="S6" s="29">
        <v>10</v>
      </c>
      <c r="T6" s="29">
        <v>6</v>
      </c>
      <c r="U6" s="29">
        <v>12</v>
      </c>
      <c r="V6" s="29">
        <v>19</v>
      </c>
      <c r="W6" s="29">
        <v>29</v>
      </c>
      <c r="X6" s="29">
        <v>56</v>
      </c>
      <c r="Y6" s="29">
        <v>48</v>
      </c>
      <c r="Z6" s="29">
        <v>51</v>
      </c>
      <c r="AA6" s="29">
        <v>62</v>
      </c>
      <c r="AB6" s="29">
        <v>69</v>
      </c>
      <c r="AC6" s="29">
        <v>64</v>
      </c>
      <c r="AD6" s="29">
        <v>106</v>
      </c>
    </row>
    <row r="7" spans="1:30" hidden="1" x14ac:dyDescent="0.2">
      <c r="A7" s="30" t="s">
        <v>47</v>
      </c>
      <c r="B7" s="29">
        <v>2229</v>
      </c>
      <c r="C7" s="29">
        <v>3200</v>
      </c>
      <c r="D7" s="29">
        <v>2554</v>
      </c>
      <c r="E7" s="29">
        <v>1909</v>
      </c>
      <c r="F7" s="29">
        <v>10913</v>
      </c>
      <c r="G7" s="29">
        <v>7496</v>
      </c>
      <c r="H7" s="29">
        <v>10567</v>
      </c>
      <c r="I7" s="29">
        <v>10677</v>
      </c>
      <c r="J7" s="29">
        <v>9960</v>
      </c>
      <c r="K7" s="29">
        <v>10939</v>
      </c>
      <c r="L7" s="29">
        <v>10655</v>
      </c>
      <c r="M7" s="29">
        <v>2007</v>
      </c>
      <c r="N7" s="29">
        <v>2016</v>
      </c>
      <c r="O7" s="29">
        <v>2102</v>
      </c>
      <c r="P7" s="29">
        <v>2254</v>
      </c>
      <c r="Q7" s="29">
        <v>2276</v>
      </c>
      <c r="R7" s="29">
        <v>2076</v>
      </c>
      <c r="S7" s="29">
        <v>2217</v>
      </c>
      <c r="T7" s="29">
        <v>2586</v>
      </c>
      <c r="U7" s="29">
        <v>2588</v>
      </c>
      <c r="V7" s="29">
        <v>2584</v>
      </c>
      <c r="W7" s="29">
        <v>2487</v>
      </c>
      <c r="X7" s="29">
        <v>2536</v>
      </c>
      <c r="Y7" s="29">
        <v>2325</v>
      </c>
      <c r="Z7" s="29">
        <v>2186</v>
      </c>
      <c r="AA7" s="29">
        <v>2107</v>
      </c>
      <c r="AB7" s="29">
        <v>2328</v>
      </c>
      <c r="AC7" s="29">
        <v>2233</v>
      </c>
      <c r="AD7" s="29">
        <v>2110</v>
      </c>
    </row>
    <row r="8" spans="1:30" hidden="1" x14ac:dyDescent="0.2">
      <c r="A8" s="30" t="s">
        <v>46</v>
      </c>
      <c r="B8" s="29">
        <v>4263</v>
      </c>
      <c r="C8" s="29">
        <v>4942</v>
      </c>
      <c r="D8" s="29">
        <v>3837</v>
      </c>
      <c r="E8" s="29">
        <v>3977</v>
      </c>
      <c r="F8" s="29">
        <v>3474</v>
      </c>
      <c r="G8" s="29">
        <v>16106</v>
      </c>
      <c r="H8" s="29">
        <v>21562</v>
      </c>
      <c r="I8" s="29">
        <v>18307</v>
      </c>
      <c r="J8" s="29">
        <v>19669</v>
      </c>
      <c r="K8" s="29">
        <v>18266</v>
      </c>
      <c r="L8" s="29">
        <v>985</v>
      </c>
      <c r="M8" s="29">
        <v>10676</v>
      </c>
      <c r="N8" s="29">
        <v>12556</v>
      </c>
      <c r="O8" s="29">
        <v>4631</v>
      </c>
      <c r="P8" s="29">
        <v>4203</v>
      </c>
      <c r="Q8" s="29">
        <v>5216</v>
      </c>
      <c r="R8" s="29">
        <v>29486</v>
      </c>
      <c r="S8" s="29">
        <v>31018</v>
      </c>
      <c r="T8" s="29">
        <v>36210</v>
      </c>
      <c r="U8" s="29">
        <v>20679</v>
      </c>
      <c r="V8" s="29">
        <v>26374</v>
      </c>
      <c r="W8" s="29">
        <v>27070</v>
      </c>
      <c r="X8" s="29">
        <v>27603</v>
      </c>
      <c r="Y8" s="29">
        <v>29555</v>
      </c>
      <c r="Z8" s="29">
        <v>24572</v>
      </c>
      <c r="AA8" s="29">
        <v>25684</v>
      </c>
      <c r="AB8" s="29">
        <v>27577</v>
      </c>
      <c r="AC8" s="29">
        <v>26454</v>
      </c>
      <c r="AD8" s="29">
        <v>27836</v>
      </c>
    </row>
    <row r="9" spans="1:30" hidden="1" x14ac:dyDescent="0.2">
      <c r="A9" s="30" t="s">
        <v>45</v>
      </c>
      <c r="B9" s="29">
        <v>2219783</v>
      </c>
      <c r="C9" s="29">
        <v>2255308</v>
      </c>
      <c r="D9" s="29">
        <v>2210524</v>
      </c>
      <c r="E9" s="29">
        <v>2178585</v>
      </c>
      <c r="F9" s="29">
        <v>2100354</v>
      </c>
      <c r="G9" s="29">
        <v>1232797</v>
      </c>
      <c r="H9" s="29">
        <v>1517964</v>
      </c>
      <c r="I9" s="29">
        <v>1491963</v>
      </c>
      <c r="J9" s="29">
        <v>1456510</v>
      </c>
      <c r="K9" s="29">
        <v>1347272</v>
      </c>
      <c r="L9" s="29">
        <v>1270310</v>
      </c>
      <c r="M9" s="29">
        <v>1204497</v>
      </c>
      <c r="N9" s="29">
        <v>1207822</v>
      </c>
      <c r="O9" s="29">
        <v>1257372</v>
      </c>
      <c r="P9" s="29">
        <v>1156982</v>
      </c>
      <c r="Q9" s="29">
        <v>1164746</v>
      </c>
      <c r="R9" s="29">
        <v>1069175</v>
      </c>
      <c r="S9" s="29">
        <v>1055950</v>
      </c>
      <c r="T9" s="29">
        <v>799003</v>
      </c>
      <c r="U9" s="29">
        <v>687936</v>
      </c>
      <c r="V9" s="29">
        <v>672677</v>
      </c>
      <c r="W9" s="29">
        <v>678744</v>
      </c>
      <c r="X9" s="29">
        <v>391088</v>
      </c>
      <c r="Y9" s="29">
        <v>346872</v>
      </c>
      <c r="Z9" s="29">
        <v>355107</v>
      </c>
      <c r="AA9" s="29">
        <v>235827</v>
      </c>
      <c r="AB9" s="29">
        <v>144210</v>
      </c>
      <c r="AC9" s="29">
        <v>120101</v>
      </c>
      <c r="AD9" s="29">
        <v>116311</v>
      </c>
    </row>
    <row r="10" spans="1:30" hidden="1" x14ac:dyDescent="0.2">
      <c r="A10" s="34" t="s">
        <v>50</v>
      </c>
      <c r="B10" s="33" t="s">
        <v>43</v>
      </c>
      <c r="C10" s="33" t="s">
        <v>43</v>
      </c>
      <c r="D10" s="33" t="s">
        <v>43</v>
      </c>
      <c r="E10" s="33" t="s">
        <v>43</v>
      </c>
      <c r="F10" s="33" t="s">
        <v>43</v>
      </c>
      <c r="G10" s="33" t="s">
        <v>43</v>
      </c>
      <c r="H10" s="33" t="s">
        <v>43</v>
      </c>
      <c r="I10" s="33" t="s">
        <v>43</v>
      </c>
      <c r="J10" s="33" t="s">
        <v>43</v>
      </c>
      <c r="K10" s="33" t="s">
        <v>43</v>
      </c>
      <c r="L10" s="33" t="s">
        <v>43</v>
      </c>
      <c r="M10" s="33" t="s">
        <v>43</v>
      </c>
      <c r="N10" s="33" t="s">
        <v>43</v>
      </c>
      <c r="O10" s="33" t="s">
        <v>43</v>
      </c>
      <c r="P10" s="33" t="s">
        <v>43</v>
      </c>
      <c r="Q10" s="33" t="s">
        <v>43</v>
      </c>
      <c r="R10" s="33" t="s">
        <v>43</v>
      </c>
      <c r="S10" s="33" t="s">
        <v>43</v>
      </c>
      <c r="T10" s="33" t="s">
        <v>43</v>
      </c>
      <c r="U10" s="33" t="s">
        <v>43</v>
      </c>
      <c r="V10" s="33" t="s">
        <v>43</v>
      </c>
      <c r="W10" s="33" t="s">
        <v>43</v>
      </c>
      <c r="X10" s="33" t="s">
        <v>43</v>
      </c>
      <c r="Y10" s="33" t="s">
        <v>43</v>
      </c>
      <c r="Z10" s="33" t="s">
        <v>43</v>
      </c>
      <c r="AA10" s="33" t="s">
        <v>43</v>
      </c>
      <c r="AB10" s="33" t="s">
        <v>43</v>
      </c>
      <c r="AC10" s="33" t="s">
        <v>43</v>
      </c>
      <c r="AD10" s="33" t="s">
        <v>43</v>
      </c>
    </row>
    <row r="11" spans="1:30" hidden="1" x14ac:dyDescent="0.2">
      <c r="A11" s="30" t="s">
        <v>25</v>
      </c>
      <c r="B11" s="29">
        <v>550693</v>
      </c>
      <c r="C11" s="29">
        <v>554860</v>
      </c>
      <c r="D11" s="29">
        <v>557684</v>
      </c>
      <c r="E11" s="29">
        <v>561792</v>
      </c>
      <c r="F11" s="29">
        <v>532713</v>
      </c>
      <c r="G11" s="29">
        <v>535963</v>
      </c>
      <c r="H11" s="29">
        <v>580934</v>
      </c>
      <c r="I11" s="29">
        <v>544946</v>
      </c>
      <c r="J11" s="29">
        <v>522507</v>
      </c>
      <c r="K11" s="29">
        <v>432258</v>
      </c>
      <c r="L11" s="29">
        <v>381665</v>
      </c>
      <c r="M11" s="29">
        <v>340242</v>
      </c>
      <c r="N11" s="29">
        <v>375194</v>
      </c>
      <c r="O11" s="29">
        <v>359361</v>
      </c>
      <c r="P11" s="29">
        <v>271970</v>
      </c>
      <c r="Q11" s="29">
        <v>258212</v>
      </c>
      <c r="R11" s="29">
        <v>242886</v>
      </c>
      <c r="S11" s="29">
        <v>242740</v>
      </c>
      <c r="T11" s="29">
        <v>237741</v>
      </c>
      <c r="U11" s="29">
        <v>114016</v>
      </c>
      <c r="V11" s="29">
        <v>124365</v>
      </c>
      <c r="W11" s="29">
        <v>122806</v>
      </c>
      <c r="X11" s="29">
        <v>82619</v>
      </c>
      <c r="Y11" s="29">
        <v>84220</v>
      </c>
      <c r="Z11" s="29">
        <v>87637</v>
      </c>
      <c r="AA11" s="29">
        <v>65093</v>
      </c>
      <c r="AB11" s="29">
        <v>53520</v>
      </c>
      <c r="AC11" s="29">
        <v>54169</v>
      </c>
      <c r="AD11" s="29">
        <v>47768</v>
      </c>
    </row>
    <row r="12" spans="1:30" hidden="1" x14ac:dyDescent="0.2">
      <c r="A12" s="30" t="s">
        <v>48</v>
      </c>
      <c r="B12" s="29">
        <v>757</v>
      </c>
      <c r="C12" s="29">
        <v>988</v>
      </c>
      <c r="D12" s="29">
        <v>928</v>
      </c>
      <c r="E12" s="29">
        <v>1027</v>
      </c>
      <c r="F12" s="29">
        <v>892</v>
      </c>
      <c r="G12" s="29">
        <v>1112</v>
      </c>
      <c r="H12" s="29">
        <v>2328</v>
      </c>
      <c r="I12" s="29">
        <v>2304</v>
      </c>
      <c r="J12" s="29">
        <v>2313</v>
      </c>
      <c r="K12" s="29">
        <v>2358</v>
      </c>
      <c r="L12" s="29">
        <v>2273</v>
      </c>
      <c r="M12" s="29">
        <v>979</v>
      </c>
      <c r="N12" s="29">
        <v>1387</v>
      </c>
      <c r="O12" s="29">
        <v>1540</v>
      </c>
      <c r="P12" s="29">
        <v>1746</v>
      </c>
      <c r="Q12" s="29">
        <v>1270</v>
      </c>
      <c r="R12" s="29">
        <v>1469</v>
      </c>
      <c r="S12" s="29">
        <v>1758</v>
      </c>
      <c r="T12" s="29">
        <v>942</v>
      </c>
      <c r="U12" s="29">
        <v>980</v>
      </c>
      <c r="V12" s="29">
        <v>1183</v>
      </c>
      <c r="W12" s="29">
        <v>1687</v>
      </c>
      <c r="X12" s="29">
        <v>2738</v>
      </c>
      <c r="Y12" s="29">
        <v>2085</v>
      </c>
      <c r="Z12" s="29">
        <v>2100</v>
      </c>
      <c r="AA12" s="29">
        <v>2535</v>
      </c>
      <c r="AB12" s="29">
        <v>3352</v>
      </c>
      <c r="AC12" s="29">
        <v>3504</v>
      </c>
      <c r="AD12" s="29">
        <v>4227</v>
      </c>
    </row>
    <row r="13" spans="1:30" hidden="1" x14ac:dyDescent="0.2">
      <c r="A13" s="30" t="s">
        <v>47</v>
      </c>
      <c r="B13" s="29">
        <v>1804</v>
      </c>
      <c r="C13" s="29">
        <v>2140</v>
      </c>
      <c r="D13" s="29">
        <v>1928</v>
      </c>
      <c r="E13" s="29">
        <v>1565</v>
      </c>
      <c r="F13" s="29">
        <v>2581</v>
      </c>
      <c r="G13" s="29">
        <v>2973</v>
      </c>
      <c r="H13" s="29">
        <v>3958</v>
      </c>
      <c r="I13" s="29">
        <v>4543</v>
      </c>
      <c r="J13" s="29">
        <v>4650</v>
      </c>
      <c r="K13" s="29">
        <v>4666</v>
      </c>
      <c r="L13" s="29">
        <v>5203</v>
      </c>
      <c r="M13" s="29">
        <v>2310</v>
      </c>
      <c r="N13" s="29">
        <v>2478</v>
      </c>
      <c r="O13" s="29">
        <v>1926</v>
      </c>
      <c r="P13" s="29">
        <v>1661</v>
      </c>
      <c r="Q13" s="29">
        <v>1585</v>
      </c>
      <c r="R13" s="29">
        <v>1307</v>
      </c>
      <c r="S13" s="29">
        <v>1377</v>
      </c>
      <c r="T13" s="29">
        <v>1409</v>
      </c>
      <c r="U13" s="29">
        <v>3546</v>
      </c>
      <c r="V13" s="29">
        <v>5643</v>
      </c>
      <c r="W13" s="29">
        <v>5555</v>
      </c>
      <c r="X13" s="29">
        <v>11573</v>
      </c>
      <c r="Y13" s="29">
        <v>12241</v>
      </c>
      <c r="Z13" s="29">
        <v>12413</v>
      </c>
      <c r="AA13" s="29">
        <v>12995</v>
      </c>
      <c r="AB13" s="29">
        <v>11546</v>
      </c>
      <c r="AC13" s="29">
        <v>11281</v>
      </c>
      <c r="AD13" s="29">
        <v>11606</v>
      </c>
    </row>
    <row r="14" spans="1:30" hidden="1" x14ac:dyDescent="0.2">
      <c r="A14" s="30" t="s">
        <v>46</v>
      </c>
      <c r="B14" s="29">
        <v>1401</v>
      </c>
      <c r="C14" s="29">
        <v>1653</v>
      </c>
      <c r="D14" s="29">
        <v>1497</v>
      </c>
      <c r="E14" s="29">
        <v>1527</v>
      </c>
      <c r="F14" s="29">
        <v>1359</v>
      </c>
      <c r="G14" s="29">
        <v>2837</v>
      </c>
      <c r="H14" s="29">
        <v>3199</v>
      </c>
      <c r="I14" s="29">
        <v>2883</v>
      </c>
      <c r="J14" s="29">
        <v>3095</v>
      </c>
      <c r="K14" s="29">
        <v>3979</v>
      </c>
      <c r="L14" s="29">
        <v>1461</v>
      </c>
      <c r="M14" s="29">
        <v>4270</v>
      </c>
      <c r="N14" s="29">
        <v>3985</v>
      </c>
      <c r="O14" s="29">
        <v>2458</v>
      </c>
      <c r="P14" s="29">
        <v>1443</v>
      </c>
      <c r="Q14" s="29">
        <v>1607</v>
      </c>
      <c r="R14" s="29">
        <v>1602</v>
      </c>
      <c r="S14" s="29">
        <v>4387</v>
      </c>
      <c r="T14" s="29">
        <v>4717</v>
      </c>
      <c r="U14" s="29">
        <v>2943</v>
      </c>
      <c r="V14" s="29">
        <v>3769</v>
      </c>
      <c r="W14" s="29">
        <v>3877</v>
      </c>
      <c r="X14" s="29">
        <v>3370</v>
      </c>
      <c r="Y14" s="29">
        <v>3448</v>
      </c>
      <c r="Z14" s="29">
        <v>3166</v>
      </c>
      <c r="AA14" s="29">
        <v>3235</v>
      </c>
      <c r="AB14" s="29">
        <v>3157</v>
      </c>
      <c r="AC14" s="29">
        <v>3129</v>
      </c>
      <c r="AD14" s="29">
        <v>3204</v>
      </c>
    </row>
    <row r="15" spans="1:30" hidden="1" x14ac:dyDescent="0.2">
      <c r="A15" s="30" t="s">
        <v>45</v>
      </c>
      <c r="B15" s="29">
        <v>554656</v>
      </c>
      <c r="C15" s="29">
        <v>559641</v>
      </c>
      <c r="D15" s="29">
        <v>562037</v>
      </c>
      <c r="E15" s="29">
        <v>565912</v>
      </c>
      <c r="F15" s="29">
        <v>537546</v>
      </c>
      <c r="G15" s="29">
        <v>542884</v>
      </c>
      <c r="H15" s="29">
        <v>590418</v>
      </c>
      <c r="I15" s="29">
        <v>554671</v>
      </c>
      <c r="J15" s="29">
        <v>532562</v>
      </c>
      <c r="K15" s="29">
        <v>443258</v>
      </c>
      <c r="L15" s="29">
        <v>390600</v>
      </c>
      <c r="M15" s="29">
        <v>347804</v>
      </c>
      <c r="N15" s="29">
        <v>383048</v>
      </c>
      <c r="O15" s="29">
        <v>365291</v>
      </c>
      <c r="P15" s="29">
        <v>276820</v>
      </c>
      <c r="Q15" s="29">
        <v>262672</v>
      </c>
      <c r="R15" s="29">
        <v>247267</v>
      </c>
      <c r="S15" s="29">
        <v>250263</v>
      </c>
      <c r="T15" s="29">
        <v>244809</v>
      </c>
      <c r="U15" s="29">
        <v>121485</v>
      </c>
      <c r="V15" s="29">
        <v>134960</v>
      </c>
      <c r="W15" s="29">
        <v>133925</v>
      </c>
      <c r="X15" s="29">
        <v>100300</v>
      </c>
      <c r="Y15" s="29">
        <v>101994</v>
      </c>
      <c r="Z15" s="29">
        <v>105316</v>
      </c>
      <c r="AA15" s="29">
        <v>83858</v>
      </c>
      <c r="AB15" s="29">
        <v>71575</v>
      </c>
      <c r="AC15" s="29">
        <v>72083</v>
      </c>
      <c r="AD15" s="29">
        <v>66805</v>
      </c>
    </row>
    <row r="16" spans="1:30" x14ac:dyDescent="0.2">
      <c r="A16" s="34" t="s">
        <v>49</v>
      </c>
      <c r="B16" s="33" t="s">
        <v>43</v>
      </c>
      <c r="C16" s="33" t="s">
        <v>43</v>
      </c>
      <c r="D16" s="33" t="s">
        <v>43</v>
      </c>
      <c r="E16" s="33" t="s">
        <v>43</v>
      </c>
      <c r="F16" s="33" t="s">
        <v>43</v>
      </c>
      <c r="G16" s="33" t="s">
        <v>43</v>
      </c>
      <c r="H16" s="33" t="s">
        <v>43</v>
      </c>
      <c r="I16" s="33" t="s">
        <v>43</v>
      </c>
      <c r="J16" s="33" t="s">
        <v>43</v>
      </c>
      <c r="K16" s="33" t="s">
        <v>43</v>
      </c>
      <c r="L16" s="33" t="s">
        <v>43</v>
      </c>
      <c r="M16" s="33" t="s">
        <v>43</v>
      </c>
      <c r="N16" s="33" t="s">
        <v>43</v>
      </c>
      <c r="O16" s="33" t="s">
        <v>43</v>
      </c>
      <c r="P16" s="33" t="s">
        <v>43</v>
      </c>
      <c r="Q16" s="33" t="s">
        <v>43</v>
      </c>
      <c r="R16" s="33" t="s">
        <v>43</v>
      </c>
      <c r="S16" s="33" t="s">
        <v>43</v>
      </c>
      <c r="T16" s="33" t="s">
        <v>43</v>
      </c>
      <c r="U16" s="33" t="s">
        <v>43</v>
      </c>
      <c r="V16" s="33" t="s">
        <v>43</v>
      </c>
      <c r="W16" s="33" t="s">
        <v>43</v>
      </c>
      <c r="X16" s="33" t="s">
        <v>43</v>
      </c>
      <c r="Y16" s="33" t="s">
        <v>43</v>
      </c>
      <c r="Z16" s="33" t="s">
        <v>43</v>
      </c>
      <c r="AA16" s="33" t="s">
        <v>43</v>
      </c>
      <c r="AB16" s="33" t="s">
        <v>43</v>
      </c>
      <c r="AC16" s="33" t="s">
        <v>43</v>
      </c>
      <c r="AD16" s="33" t="s">
        <v>43</v>
      </c>
    </row>
    <row r="17" spans="1:30" x14ac:dyDescent="0.2">
      <c r="A17" s="30" t="s">
        <v>25</v>
      </c>
      <c r="B17" s="29">
        <v>109566</v>
      </c>
      <c r="C17" s="29">
        <v>111863</v>
      </c>
      <c r="D17" s="29">
        <v>113902</v>
      </c>
      <c r="E17" s="29">
        <v>117485</v>
      </c>
      <c r="F17" s="29">
        <v>113097</v>
      </c>
      <c r="G17" s="29">
        <v>114890</v>
      </c>
      <c r="H17" s="29">
        <v>122506</v>
      </c>
      <c r="I17" s="29">
        <v>119657</v>
      </c>
      <c r="J17" s="29">
        <v>123412</v>
      </c>
      <c r="K17" s="29">
        <v>118375</v>
      </c>
      <c r="L17" s="29">
        <v>124480</v>
      </c>
      <c r="M17" s="29">
        <v>118098</v>
      </c>
      <c r="N17" s="29">
        <v>122750</v>
      </c>
      <c r="O17" s="29">
        <v>127448</v>
      </c>
      <c r="P17" s="29">
        <v>122112</v>
      </c>
      <c r="Q17" s="29">
        <v>130411</v>
      </c>
      <c r="R17" s="29">
        <v>126983</v>
      </c>
      <c r="S17" s="29">
        <v>127713</v>
      </c>
      <c r="T17" s="29">
        <v>125468</v>
      </c>
      <c r="U17" s="29">
        <v>110910</v>
      </c>
      <c r="V17" s="29">
        <v>116465</v>
      </c>
      <c r="W17" s="29">
        <v>104732</v>
      </c>
      <c r="X17" s="29">
        <v>83439</v>
      </c>
      <c r="Y17" s="29">
        <v>90898</v>
      </c>
      <c r="Z17" s="29">
        <v>86571</v>
      </c>
      <c r="AA17" s="29">
        <v>69366</v>
      </c>
      <c r="AB17" s="29">
        <v>66892</v>
      </c>
      <c r="AC17" s="29">
        <v>65477</v>
      </c>
      <c r="AD17" s="29">
        <v>56409</v>
      </c>
    </row>
    <row r="18" spans="1:30" x14ac:dyDescent="0.2">
      <c r="A18" s="30" t="s">
        <v>48</v>
      </c>
      <c r="B18" s="29">
        <v>291</v>
      </c>
      <c r="C18" s="29">
        <v>389</v>
      </c>
      <c r="D18" s="29">
        <v>364</v>
      </c>
      <c r="E18" s="29">
        <v>402</v>
      </c>
      <c r="F18" s="29">
        <v>335</v>
      </c>
      <c r="G18" s="29">
        <v>698</v>
      </c>
      <c r="H18" s="29">
        <v>770</v>
      </c>
      <c r="I18" s="29">
        <v>755</v>
      </c>
      <c r="J18" s="29">
        <v>912</v>
      </c>
      <c r="K18" s="29">
        <v>1293</v>
      </c>
      <c r="L18" s="29">
        <v>1203</v>
      </c>
      <c r="M18" s="29">
        <v>1169</v>
      </c>
      <c r="N18" s="29">
        <v>1371</v>
      </c>
      <c r="O18" s="29">
        <v>1230</v>
      </c>
      <c r="P18" s="29">
        <v>1187</v>
      </c>
      <c r="Q18" s="29">
        <v>1611</v>
      </c>
      <c r="R18" s="29">
        <v>1358</v>
      </c>
      <c r="S18" s="29">
        <v>2132</v>
      </c>
      <c r="T18" s="29">
        <v>1380</v>
      </c>
      <c r="U18" s="29">
        <v>2164</v>
      </c>
      <c r="V18" s="29">
        <v>3298</v>
      </c>
      <c r="W18" s="29">
        <v>5330</v>
      </c>
      <c r="X18" s="29">
        <v>9685</v>
      </c>
      <c r="Y18" s="29">
        <v>9129</v>
      </c>
      <c r="Z18" s="29">
        <v>9873</v>
      </c>
      <c r="AA18" s="29">
        <v>11995</v>
      </c>
      <c r="AB18" s="29">
        <v>12425</v>
      </c>
      <c r="AC18" s="29">
        <v>12385</v>
      </c>
      <c r="AD18" s="29">
        <v>18888</v>
      </c>
    </row>
    <row r="19" spans="1:30" x14ac:dyDescent="0.2">
      <c r="A19" s="30" t="s">
        <v>47</v>
      </c>
      <c r="B19" s="29">
        <v>9</v>
      </c>
      <c r="C19" s="29">
        <v>0</v>
      </c>
      <c r="D19" s="29">
        <v>9</v>
      </c>
      <c r="E19" s="29">
        <v>7</v>
      </c>
      <c r="F19" s="29">
        <v>7</v>
      </c>
      <c r="G19" s="29">
        <v>7</v>
      </c>
      <c r="H19" s="29">
        <v>1</v>
      </c>
      <c r="I19" s="29">
        <v>1</v>
      </c>
      <c r="J19" s="29">
        <v>2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14</v>
      </c>
      <c r="Q19" s="29">
        <v>9</v>
      </c>
      <c r="R19" s="29">
        <v>8</v>
      </c>
      <c r="S19" s="29">
        <v>23</v>
      </c>
      <c r="T19" s="29">
        <v>28</v>
      </c>
      <c r="U19" s="29">
        <v>31</v>
      </c>
      <c r="V19" s="29">
        <v>33</v>
      </c>
      <c r="W19" s="29">
        <v>26</v>
      </c>
      <c r="X19" s="29">
        <v>34</v>
      </c>
      <c r="Y19" s="29">
        <v>27</v>
      </c>
      <c r="Z19" s="29">
        <v>20</v>
      </c>
      <c r="AA19" s="29">
        <v>22</v>
      </c>
      <c r="AB19" s="29">
        <v>37</v>
      </c>
      <c r="AC19" s="29">
        <v>31</v>
      </c>
      <c r="AD19" s="29">
        <v>36</v>
      </c>
    </row>
    <row r="20" spans="1:30" x14ac:dyDescent="0.2">
      <c r="A20" s="30" t="s">
        <v>46</v>
      </c>
      <c r="B20" s="29">
        <v>741</v>
      </c>
      <c r="C20" s="29">
        <v>902</v>
      </c>
      <c r="D20" s="29">
        <v>848</v>
      </c>
      <c r="E20" s="29">
        <v>873</v>
      </c>
      <c r="F20" s="29">
        <v>921</v>
      </c>
      <c r="G20" s="29">
        <v>795</v>
      </c>
      <c r="H20" s="29">
        <v>1053</v>
      </c>
      <c r="I20" s="29">
        <v>976</v>
      </c>
      <c r="J20" s="29">
        <v>982</v>
      </c>
      <c r="K20" s="29">
        <v>1073</v>
      </c>
      <c r="L20" s="29">
        <v>417</v>
      </c>
      <c r="M20" s="29">
        <v>428</v>
      </c>
      <c r="N20" s="29">
        <v>311</v>
      </c>
      <c r="O20" s="29">
        <v>414</v>
      </c>
      <c r="P20" s="29">
        <v>1431</v>
      </c>
      <c r="Q20" s="29">
        <v>1386</v>
      </c>
      <c r="R20" s="29">
        <v>2220</v>
      </c>
      <c r="S20" s="29">
        <v>2103</v>
      </c>
      <c r="T20" s="29">
        <v>2184</v>
      </c>
      <c r="U20" s="29">
        <v>1961</v>
      </c>
      <c r="V20" s="29">
        <v>2168</v>
      </c>
      <c r="W20" s="29">
        <v>2231</v>
      </c>
      <c r="X20" s="29">
        <v>2365</v>
      </c>
      <c r="Y20" s="29">
        <v>2411</v>
      </c>
      <c r="Z20" s="29">
        <v>2187</v>
      </c>
      <c r="AA20" s="29">
        <v>2340</v>
      </c>
      <c r="AB20" s="29">
        <v>2265</v>
      </c>
      <c r="AC20" s="29">
        <v>2024</v>
      </c>
      <c r="AD20" s="29">
        <v>2718</v>
      </c>
    </row>
    <row r="21" spans="1:30" x14ac:dyDescent="0.2">
      <c r="A21" s="30" t="s">
        <v>45</v>
      </c>
      <c r="B21" s="29">
        <v>110607</v>
      </c>
      <c r="C21" s="29">
        <v>113155</v>
      </c>
      <c r="D21" s="29">
        <v>115123</v>
      </c>
      <c r="E21" s="29">
        <v>118767</v>
      </c>
      <c r="F21" s="29">
        <v>114359</v>
      </c>
      <c r="G21" s="29">
        <v>116390</v>
      </c>
      <c r="H21" s="29">
        <v>124330</v>
      </c>
      <c r="I21" s="29">
        <v>121388</v>
      </c>
      <c r="J21" s="29">
        <v>125309</v>
      </c>
      <c r="K21" s="29">
        <v>120740</v>
      </c>
      <c r="L21" s="29">
        <v>126100</v>
      </c>
      <c r="M21" s="29">
        <v>119695</v>
      </c>
      <c r="N21" s="29">
        <v>124432</v>
      </c>
      <c r="O21" s="29">
        <v>129092</v>
      </c>
      <c r="P21" s="29">
        <v>124744</v>
      </c>
      <c r="Q21" s="29">
        <v>133417</v>
      </c>
      <c r="R21" s="29">
        <v>130568</v>
      </c>
      <c r="S21" s="29">
        <v>131970</v>
      </c>
      <c r="T21" s="29">
        <v>129061</v>
      </c>
      <c r="U21" s="29">
        <v>115066</v>
      </c>
      <c r="V21" s="29">
        <v>121964</v>
      </c>
      <c r="W21" s="29">
        <v>112320</v>
      </c>
      <c r="X21" s="29">
        <v>95523</v>
      </c>
      <c r="Y21" s="29">
        <v>102466</v>
      </c>
      <c r="Z21" s="29">
        <v>98650</v>
      </c>
      <c r="AA21" s="29">
        <v>83722</v>
      </c>
      <c r="AB21" s="29">
        <v>81618</v>
      </c>
      <c r="AC21" s="29">
        <v>79917</v>
      </c>
      <c r="AD21" s="29">
        <v>78051</v>
      </c>
    </row>
    <row r="22" spans="1:30" x14ac:dyDescent="0.2">
      <c r="A22" s="34" t="s">
        <v>44</v>
      </c>
      <c r="B22" s="33" t="s">
        <v>43</v>
      </c>
      <c r="C22" s="33" t="s">
        <v>43</v>
      </c>
      <c r="D22" s="33" t="s">
        <v>43</v>
      </c>
      <c r="E22" s="33" t="s">
        <v>43</v>
      </c>
      <c r="F22" s="33" t="s">
        <v>43</v>
      </c>
      <c r="G22" s="33" t="s">
        <v>43</v>
      </c>
      <c r="H22" s="33" t="s">
        <v>43</v>
      </c>
      <c r="I22" s="33" t="s">
        <v>43</v>
      </c>
      <c r="J22" s="33" t="s">
        <v>43</v>
      </c>
      <c r="K22" s="33" t="s">
        <v>43</v>
      </c>
      <c r="L22" s="33" t="s">
        <v>43</v>
      </c>
      <c r="M22" s="33" t="s">
        <v>43</v>
      </c>
      <c r="N22" s="33" t="s">
        <v>43</v>
      </c>
      <c r="O22" s="33" t="s">
        <v>43</v>
      </c>
      <c r="P22" s="33" t="s">
        <v>43</v>
      </c>
      <c r="Q22" s="33" t="s">
        <v>43</v>
      </c>
      <c r="R22" s="33" t="s">
        <v>43</v>
      </c>
      <c r="S22" s="33" t="s">
        <v>43</v>
      </c>
      <c r="T22" s="33" t="s">
        <v>43</v>
      </c>
      <c r="U22" s="33" t="s">
        <v>43</v>
      </c>
      <c r="V22" s="33" t="s">
        <v>43</v>
      </c>
      <c r="W22" s="33" t="s">
        <v>43</v>
      </c>
      <c r="X22" s="33" t="s">
        <v>43</v>
      </c>
      <c r="Y22" s="33" t="s">
        <v>43</v>
      </c>
      <c r="Z22" s="33" t="s">
        <v>43</v>
      </c>
      <c r="AA22" s="33" t="s">
        <v>43</v>
      </c>
      <c r="AB22" s="33" t="s">
        <v>43</v>
      </c>
      <c r="AC22" s="33" t="s">
        <v>43</v>
      </c>
      <c r="AD22" s="33" t="s">
        <v>43</v>
      </c>
    </row>
    <row r="23" spans="1:30" x14ac:dyDescent="0.2">
      <c r="A23" s="32" t="s">
        <v>42</v>
      </c>
      <c r="B23" s="31">
        <v>34.700000000000003</v>
      </c>
      <c r="C23" s="31">
        <v>33.700000000000003</v>
      </c>
      <c r="D23" s="31">
        <v>32.1</v>
      </c>
      <c r="E23" s="31">
        <v>32.200000000000003</v>
      </c>
      <c r="F23" s="31">
        <v>31.9</v>
      </c>
      <c r="G23" s="31">
        <v>17.7</v>
      </c>
      <c r="H23" s="31">
        <v>21</v>
      </c>
      <c r="I23" s="31">
        <v>20.9</v>
      </c>
      <c r="J23" s="31">
        <v>19.7</v>
      </c>
      <c r="K23" s="31">
        <v>18.899999999999999</v>
      </c>
      <c r="L23" s="31">
        <v>17</v>
      </c>
      <c r="M23" s="31">
        <v>16.899999999999999</v>
      </c>
      <c r="N23" s="31">
        <v>16.399999999999999</v>
      </c>
      <c r="O23" s="31">
        <v>17.100000000000001</v>
      </c>
      <c r="P23" s="31">
        <v>15.6</v>
      </c>
      <c r="Q23" s="31">
        <v>14.8</v>
      </c>
      <c r="R23" s="31">
        <v>13.8</v>
      </c>
      <c r="S23" s="31">
        <v>13.6</v>
      </c>
      <c r="T23" s="31">
        <v>10.4</v>
      </c>
      <c r="U23" s="31">
        <v>10.1</v>
      </c>
      <c r="V23" s="31">
        <v>9.4</v>
      </c>
      <c r="W23" s="31">
        <v>10</v>
      </c>
      <c r="X23" s="31">
        <v>6</v>
      </c>
      <c r="Y23" s="31">
        <v>5.0999999999999996</v>
      </c>
      <c r="Z23" s="31">
        <v>5.3</v>
      </c>
      <c r="AA23" s="31">
        <v>3.9</v>
      </c>
      <c r="AB23" s="31">
        <v>2.4</v>
      </c>
      <c r="AC23" s="31">
        <v>2</v>
      </c>
      <c r="AD23" s="31">
        <v>1.8</v>
      </c>
    </row>
    <row r="24" spans="1:30" x14ac:dyDescent="0.2">
      <c r="A24" s="32" t="s">
        <v>41</v>
      </c>
      <c r="B24" s="31">
        <v>8.6999999999999993</v>
      </c>
      <c r="C24" s="31">
        <v>8.4</v>
      </c>
      <c r="D24" s="31">
        <v>8.1999999999999993</v>
      </c>
      <c r="E24" s="31">
        <v>8.4</v>
      </c>
      <c r="F24" s="31">
        <v>8.1999999999999993</v>
      </c>
      <c r="G24" s="31">
        <v>7.8</v>
      </c>
      <c r="H24" s="31">
        <v>8.1999999999999993</v>
      </c>
      <c r="I24" s="31">
        <v>7.8</v>
      </c>
      <c r="J24" s="31">
        <v>7.2</v>
      </c>
      <c r="K24" s="31">
        <v>6.2</v>
      </c>
      <c r="L24" s="31">
        <v>5.2</v>
      </c>
      <c r="M24" s="31">
        <v>4.9000000000000004</v>
      </c>
      <c r="N24" s="31">
        <v>5.2</v>
      </c>
      <c r="O24" s="31">
        <v>5</v>
      </c>
      <c r="P24" s="31">
        <v>3.7</v>
      </c>
      <c r="Q24" s="31">
        <v>3.3</v>
      </c>
      <c r="R24" s="31">
        <v>3.2</v>
      </c>
      <c r="S24" s="31">
        <v>3.2</v>
      </c>
      <c r="T24" s="31">
        <v>3.2</v>
      </c>
      <c r="U24" s="31">
        <v>1.8</v>
      </c>
      <c r="V24" s="31">
        <v>1.9</v>
      </c>
      <c r="W24" s="31">
        <v>2</v>
      </c>
      <c r="X24" s="31">
        <v>1.5</v>
      </c>
      <c r="Y24" s="31">
        <v>1.5</v>
      </c>
      <c r="Z24" s="31">
        <v>1.6</v>
      </c>
      <c r="AA24" s="31">
        <v>1.4</v>
      </c>
      <c r="AB24" s="31">
        <v>1.2</v>
      </c>
      <c r="AC24" s="31">
        <v>1.2</v>
      </c>
      <c r="AD24" s="31">
        <v>1.1000000000000001</v>
      </c>
    </row>
    <row r="25" spans="1:30" x14ac:dyDescent="0.2">
      <c r="A25" s="30" t="s">
        <v>40</v>
      </c>
      <c r="B25" s="29">
        <v>1901</v>
      </c>
      <c r="C25" s="29">
        <v>1857</v>
      </c>
      <c r="D25" s="29">
        <v>1840</v>
      </c>
      <c r="E25" s="29">
        <v>1932</v>
      </c>
      <c r="F25" s="29">
        <v>1909</v>
      </c>
      <c r="G25" s="29">
        <v>1838</v>
      </c>
      <c r="H25" s="29">
        <v>1894</v>
      </c>
      <c r="I25" s="29">
        <v>1870</v>
      </c>
      <c r="J25" s="29">
        <v>1863</v>
      </c>
      <c r="K25" s="29">
        <v>1866</v>
      </c>
      <c r="L25" s="29">
        <v>1861</v>
      </c>
      <c r="M25" s="29">
        <v>1851</v>
      </c>
      <c r="N25" s="29">
        <v>1861</v>
      </c>
      <c r="O25" s="29">
        <v>1937</v>
      </c>
      <c r="P25" s="29">
        <v>1850</v>
      </c>
      <c r="Q25" s="29">
        <v>1870</v>
      </c>
      <c r="R25" s="29">
        <v>1848</v>
      </c>
      <c r="S25" s="29">
        <v>1871</v>
      </c>
      <c r="T25" s="29">
        <v>1851</v>
      </c>
      <c r="U25" s="29">
        <v>1860</v>
      </c>
      <c r="V25" s="29">
        <v>1869</v>
      </c>
      <c r="W25" s="29">
        <v>1822</v>
      </c>
      <c r="X25" s="29">
        <v>1620</v>
      </c>
      <c r="Y25" s="29">
        <v>1642</v>
      </c>
      <c r="Z25" s="29">
        <v>1614</v>
      </c>
      <c r="AA25" s="29">
        <v>1511</v>
      </c>
      <c r="AB25" s="29">
        <v>1510</v>
      </c>
      <c r="AC25" s="29">
        <v>1471</v>
      </c>
      <c r="AD25" s="29">
        <v>1361</v>
      </c>
    </row>
    <row r="26" spans="1:30" ht="13" customHeight="1" x14ac:dyDescent="0.2">
      <c r="A26" s="125" t="s">
        <v>39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</row>
    <row r="28" spans="1:30" x14ac:dyDescent="0.2">
      <c r="A28" s="28" t="s">
        <v>38</v>
      </c>
      <c r="B28" s="27">
        <f t="shared" ref="B28:AD28" si="0">B25/1000</f>
        <v>1.901</v>
      </c>
      <c r="C28" s="27">
        <f t="shared" si="0"/>
        <v>1.857</v>
      </c>
      <c r="D28" s="27">
        <f t="shared" si="0"/>
        <v>1.84</v>
      </c>
      <c r="E28" s="27">
        <f t="shared" si="0"/>
        <v>1.9319999999999999</v>
      </c>
      <c r="F28" s="27">
        <f t="shared" si="0"/>
        <v>1.909</v>
      </c>
      <c r="G28" s="27">
        <f t="shared" si="0"/>
        <v>1.8380000000000001</v>
      </c>
      <c r="H28" s="27">
        <f t="shared" si="0"/>
        <v>1.8939999999999999</v>
      </c>
      <c r="I28" s="27">
        <f t="shared" si="0"/>
        <v>1.87</v>
      </c>
      <c r="J28" s="27">
        <f t="shared" si="0"/>
        <v>1.863</v>
      </c>
      <c r="K28" s="27">
        <f t="shared" si="0"/>
        <v>1.8660000000000001</v>
      </c>
      <c r="L28" s="27">
        <f t="shared" si="0"/>
        <v>1.861</v>
      </c>
      <c r="M28" s="27">
        <f t="shared" si="0"/>
        <v>1.851</v>
      </c>
      <c r="N28" s="27">
        <f t="shared" si="0"/>
        <v>1.861</v>
      </c>
      <c r="O28" s="27">
        <f t="shared" si="0"/>
        <v>1.9370000000000001</v>
      </c>
      <c r="P28" s="27">
        <f t="shared" si="0"/>
        <v>1.85</v>
      </c>
      <c r="Q28" s="27">
        <f t="shared" si="0"/>
        <v>1.87</v>
      </c>
      <c r="R28" s="27">
        <f t="shared" si="0"/>
        <v>1.8480000000000001</v>
      </c>
      <c r="S28" s="27">
        <f t="shared" si="0"/>
        <v>1.871</v>
      </c>
      <c r="T28" s="27">
        <f t="shared" si="0"/>
        <v>1.851</v>
      </c>
      <c r="U28" s="27">
        <f t="shared" si="0"/>
        <v>1.86</v>
      </c>
      <c r="V28" s="27">
        <f t="shared" si="0"/>
        <v>1.869</v>
      </c>
      <c r="W28" s="27">
        <f t="shared" si="0"/>
        <v>1.8220000000000001</v>
      </c>
      <c r="X28" s="27">
        <f t="shared" si="0"/>
        <v>1.62</v>
      </c>
      <c r="Y28" s="27">
        <f t="shared" si="0"/>
        <v>1.6419999999999999</v>
      </c>
      <c r="Z28" s="27">
        <f t="shared" si="0"/>
        <v>1.6140000000000001</v>
      </c>
      <c r="AA28" s="27">
        <f t="shared" si="0"/>
        <v>1.5109999999999999</v>
      </c>
      <c r="AB28" s="27">
        <f t="shared" si="0"/>
        <v>1.51</v>
      </c>
      <c r="AC28" s="27">
        <f t="shared" si="0"/>
        <v>1.4710000000000001</v>
      </c>
      <c r="AD28" s="27">
        <f t="shared" si="0"/>
        <v>1.361</v>
      </c>
    </row>
    <row r="30" spans="1:30" x14ac:dyDescent="0.2">
      <c r="A30" s="28" t="s">
        <v>37</v>
      </c>
      <c r="B30" s="27">
        <f t="shared" ref="B30:AD30" si="1">B28/2204</f>
        <v>8.6252268602540836E-4</v>
      </c>
      <c r="C30" s="27">
        <f t="shared" si="1"/>
        <v>8.4255898366606167E-4</v>
      </c>
      <c r="D30" s="27">
        <f t="shared" si="1"/>
        <v>8.348457350272233E-4</v>
      </c>
      <c r="E30" s="27">
        <f t="shared" si="1"/>
        <v>8.7658802177858434E-4</v>
      </c>
      <c r="F30" s="27">
        <f t="shared" si="1"/>
        <v>8.661524500907441E-4</v>
      </c>
      <c r="G30" s="27">
        <f t="shared" si="1"/>
        <v>8.3393829401088931E-4</v>
      </c>
      <c r="H30" s="27">
        <f t="shared" si="1"/>
        <v>8.5934664246823951E-4</v>
      </c>
      <c r="I30" s="27">
        <f t="shared" si="1"/>
        <v>8.4845735027223239E-4</v>
      </c>
      <c r="J30" s="27">
        <f t="shared" si="1"/>
        <v>8.4528130671506353E-4</v>
      </c>
      <c r="K30" s="27">
        <f t="shared" si="1"/>
        <v>8.4664246823956452E-4</v>
      </c>
      <c r="L30" s="27">
        <f t="shared" si="1"/>
        <v>8.4437386569872954E-4</v>
      </c>
      <c r="M30" s="27">
        <f t="shared" si="1"/>
        <v>8.3983666061705992E-4</v>
      </c>
      <c r="N30" s="27">
        <f t="shared" si="1"/>
        <v>8.4437386569872954E-4</v>
      </c>
      <c r="O30" s="27">
        <f t="shared" si="1"/>
        <v>8.7885662431941931E-4</v>
      </c>
      <c r="P30" s="27">
        <f t="shared" si="1"/>
        <v>8.3938294010889292E-4</v>
      </c>
      <c r="Q30" s="27">
        <f t="shared" si="1"/>
        <v>8.4845735027223239E-4</v>
      </c>
      <c r="R30" s="27">
        <f t="shared" si="1"/>
        <v>8.3847549909255904E-4</v>
      </c>
      <c r="S30" s="27">
        <f t="shared" si="1"/>
        <v>8.4891107078039927E-4</v>
      </c>
      <c r="T30" s="27">
        <f t="shared" si="1"/>
        <v>8.3983666061705992E-4</v>
      </c>
      <c r="U30" s="27">
        <f t="shared" si="1"/>
        <v>8.4392014519056265E-4</v>
      </c>
      <c r="V30" s="27">
        <f t="shared" si="1"/>
        <v>8.4800362976406528E-4</v>
      </c>
      <c r="W30" s="27">
        <f t="shared" si="1"/>
        <v>8.2667876588021782E-4</v>
      </c>
      <c r="X30" s="27">
        <f t="shared" si="1"/>
        <v>7.3502722323049005E-4</v>
      </c>
      <c r="Y30" s="27">
        <f t="shared" si="1"/>
        <v>7.4500907441016329E-4</v>
      </c>
      <c r="Z30" s="27">
        <f t="shared" si="1"/>
        <v>7.323049001814883E-4</v>
      </c>
      <c r="AA30" s="27">
        <f t="shared" si="1"/>
        <v>6.8557168784029031E-4</v>
      </c>
      <c r="AB30" s="27">
        <f t="shared" si="1"/>
        <v>6.8511796733212343E-4</v>
      </c>
      <c r="AC30" s="27">
        <f t="shared" si="1"/>
        <v>6.674228675136116E-4</v>
      </c>
      <c r="AD30" s="27">
        <f t="shared" si="1"/>
        <v>6.1751361161524498E-4</v>
      </c>
    </row>
    <row r="33" spans="1:18" x14ac:dyDescent="0.2">
      <c r="A33" s="27">
        <v>2007</v>
      </c>
      <c r="Q33" s="27">
        <f>S30</f>
        <v>8.4891107078039927E-4</v>
      </c>
    </row>
    <row r="34" spans="1:18" x14ac:dyDescent="0.2">
      <c r="A34" s="27">
        <v>2008</v>
      </c>
      <c r="Q34" s="27">
        <f>T30</f>
        <v>8.3983666061705992E-4</v>
      </c>
    </row>
    <row r="35" spans="1:18" x14ac:dyDescent="0.2">
      <c r="A35" s="27">
        <v>2009</v>
      </c>
      <c r="Q35" s="27">
        <f>U30</f>
        <v>8.4392014519056265E-4</v>
      </c>
    </row>
    <row r="36" spans="1:18" x14ac:dyDescent="0.2">
      <c r="A36" s="27">
        <v>2010</v>
      </c>
      <c r="Q36" s="27">
        <f>V30</f>
        <v>8.4800362976406528E-4</v>
      </c>
    </row>
    <row r="37" spans="1:18" x14ac:dyDescent="0.2">
      <c r="A37" s="27">
        <v>2011</v>
      </c>
      <c r="Q37" s="27">
        <f>W30</f>
        <v>8.2667876588021782E-4</v>
      </c>
    </row>
    <row r="38" spans="1:18" x14ac:dyDescent="0.2">
      <c r="A38" s="27">
        <v>2012</v>
      </c>
      <c r="Q38" s="27">
        <f>X30</f>
        <v>7.3502722323049005E-4</v>
      </c>
    </row>
    <row r="39" spans="1:18" x14ac:dyDescent="0.2">
      <c r="A39" s="27">
        <v>2013</v>
      </c>
      <c r="Q39" s="27">
        <f>Y30</f>
        <v>7.4500907441016329E-4</v>
      </c>
    </row>
    <row r="40" spans="1:18" x14ac:dyDescent="0.2">
      <c r="A40" s="27">
        <v>2014</v>
      </c>
      <c r="Q40" s="27">
        <f>Z30</f>
        <v>7.323049001814883E-4</v>
      </c>
    </row>
    <row r="41" spans="1:18" x14ac:dyDescent="0.2">
      <c r="A41" s="27">
        <v>2015</v>
      </c>
      <c r="Q41" s="27">
        <f>AA30</f>
        <v>6.8557168784029031E-4</v>
      </c>
    </row>
    <row r="42" spans="1:18" x14ac:dyDescent="0.2">
      <c r="A42" s="27">
        <v>2016</v>
      </c>
      <c r="Q42" s="27">
        <f>AB30</f>
        <v>6.8511796733212343E-4</v>
      </c>
    </row>
    <row r="43" spans="1:18" x14ac:dyDescent="0.2">
      <c r="A43" s="27">
        <v>2017</v>
      </c>
      <c r="Q43" s="27">
        <f>AC30</f>
        <v>6.674228675136116E-4</v>
      </c>
    </row>
    <row r="44" spans="1:18" x14ac:dyDescent="0.2">
      <c r="A44" s="27">
        <v>2018</v>
      </c>
      <c r="Q44" s="27">
        <f>AD30</f>
        <v>6.1751361161524498E-4</v>
      </c>
    </row>
    <row r="45" spans="1:18" x14ac:dyDescent="0.2">
      <c r="A45" s="27">
        <v>2019</v>
      </c>
      <c r="Q45" s="41">
        <f>Q44</f>
        <v>6.1751361161524498E-4</v>
      </c>
      <c r="R45" s="41" t="s">
        <v>96</v>
      </c>
    </row>
  </sheetData>
  <mergeCells count="3">
    <mergeCell ref="A1:AD1"/>
    <mergeCell ref="A2:AD2"/>
    <mergeCell ref="A26:AD26"/>
  </mergeCells>
  <pageMargins left="0.75" right="0.75" top="1" bottom="1" header="0.5" footer="0.5"/>
  <pageSetup fitToWidth="10" fitToHeight="100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1385-858A-4432-ADE7-9CECD82E39C9}">
  <dimension ref="B2:O15"/>
  <sheetViews>
    <sheetView workbookViewId="0"/>
  </sheetViews>
  <sheetFormatPr baseColWidth="10" defaultColWidth="8.83203125" defaultRowHeight="15" x14ac:dyDescent="0.2"/>
  <cols>
    <col min="1" max="1" width="4" customWidth="1"/>
    <col min="3" max="3" width="21" customWidth="1"/>
    <col min="4" max="4" width="24.83203125" customWidth="1"/>
    <col min="5" max="5" width="13" customWidth="1"/>
    <col min="6" max="6" width="24.83203125" customWidth="1"/>
    <col min="7" max="7" width="22.1640625" customWidth="1"/>
    <col min="8" max="8" width="10.83203125" customWidth="1"/>
    <col min="9" max="9" width="22.1640625" customWidth="1"/>
    <col min="10" max="10" width="22.5" customWidth="1"/>
    <col min="11" max="11" width="10.83203125" customWidth="1"/>
    <col min="12" max="12" width="19.33203125" customWidth="1"/>
    <col min="13" max="13" width="15.83203125" customWidth="1"/>
    <col min="14" max="14" width="10.83203125" customWidth="1"/>
  </cols>
  <sheetData>
    <row r="2" spans="2:15" ht="19" x14ac:dyDescent="0.25">
      <c r="B2" s="53" t="s">
        <v>120</v>
      </c>
    </row>
    <row r="3" spans="2:15" s="52" customFormat="1" ht="38" customHeight="1" thickBot="1" x14ac:dyDescent="0.25">
      <c r="B3" s="56" t="s">
        <v>113</v>
      </c>
      <c r="C3" s="56" t="s">
        <v>114</v>
      </c>
      <c r="D3" s="56" t="s">
        <v>115</v>
      </c>
      <c r="E3" s="56" t="s">
        <v>123</v>
      </c>
      <c r="F3" s="56" t="s">
        <v>116</v>
      </c>
      <c r="G3" s="56" t="s">
        <v>117</v>
      </c>
      <c r="H3" s="56" t="s">
        <v>123</v>
      </c>
      <c r="I3" s="56" t="s">
        <v>118</v>
      </c>
      <c r="J3" s="56" t="s">
        <v>119</v>
      </c>
      <c r="K3" s="56" t="s">
        <v>123</v>
      </c>
      <c r="L3" s="56" t="s">
        <v>121</v>
      </c>
      <c r="M3" s="56" t="s">
        <v>122</v>
      </c>
      <c r="N3" s="56" t="s">
        <v>123</v>
      </c>
      <c r="O3" s="57"/>
    </row>
    <row r="4" spans="2:15" x14ac:dyDescent="0.2">
      <c r="B4" s="54" t="s">
        <v>102</v>
      </c>
      <c r="C4" s="58">
        <v>298991.59000000003</v>
      </c>
      <c r="D4" s="58">
        <f>'Data Numbers'!C17</f>
        <v>743836</v>
      </c>
      <c r="E4" s="61">
        <f>D4-C4</f>
        <v>444844.41</v>
      </c>
      <c r="F4" s="58">
        <v>456235</v>
      </c>
      <c r="G4" s="63"/>
      <c r="H4" s="64"/>
      <c r="I4" s="58">
        <v>36260.81</v>
      </c>
      <c r="J4" s="58">
        <f>'Data Numbers'!E17</f>
        <v>37483</v>
      </c>
      <c r="K4" s="61">
        <f>J4-I4</f>
        <v>1222.1900000000023</v>
      </c>
      <c r="L4" s="58">
        <v>195968787.88133332</v>
      </c>
      <c r="M4" s="58">
        <f>'Data Numbers'!F17</f>
        <v>257123727</v>
      </c>
      <c r="N4" s="61">
        <f>M4-L4</f>
        <v>61154939.118666679</v>
      </c>
    </row>
    <row r="5" spans="2:15" x14ac:dyDescent="0.2">
      <c r="B5" s="55" t="s">
        <v>103</v>
      </c>
      <c r="C5" s="59">
        <v>2267.604849936241</v>
      </c>
      <c r="D5" s="59">
        <f>'Data Numbers'!C33</f>
        <v>694396</v>
      </c>
      <c r="E5" s="62">
        <f t="shared" ref="E5:E15" si="0">D5-C5</f>
        <v>692128.39515006379</v>
      </c>
      <c r="F5" s="59">
        <v>712794</v>
      </c>
      <c r="G5" s="65"/>
      <c r="H5" s="66"/>
      <c r="I5" s="59">
        <v>33813.620000000003</v>
      </c>
      <c r="J5" s="59">
        <f>'Data Numbers'!E33</f>
        <v>33989.5</v>
      </c>
      <c r="K5" s="62">
        <f t="shared" ref="K5:K15" si="1">J5-I5</f>
        <v>175.87999999999738</v>
      </c>
      <c r="L5" s="59">
        <v>269514863</v>
      </c>
      <c r="M5" s="59">
        <f>'Data Numbers'!F33</f>
        <v>279537078</v>
      </c>
      <c r="N5" s="62">
        <f t="shared" ref="N5:N15" si="2">M5-L5</f>
        <v>10022215</v>
      </c>
    </row>
    <row r="6" spans="2:15" x14ac:dyDescent="0.2">
      <c r="B6" s="55" t="s">
        <v>85</v>
      </c>
      <c r="C6" s="59">
        <v>1428783.1487725331</v>
      </c>
      <c r="D6" s="59">
        <f>'Data Numbers'!C49</f>
        <v>2306678</v>
      </c>
      <c r="E6" s="62">
        <f t="shared" si="0"/>
        <v>877894.85122746695</v>
      </c>
      <c r="F6" s="59">
        <v>1003115</v>
      </c>
      <c r="G6" s="65"/>
      <c r="H6" s="66"/>
      <c r="I6" s="59">
        <v>30625.17</v>
      </c>
      <c r="J6" s="59">
        <f>'Data Numbers'!E49</f>
        <v>30542.95</v>
      </c>
      <c r="K6" s="62">
        <f t="shared" si="1"/>
        <v>-82.219999999997526</v>
      </c>
      <c r="L6" s="59">
        <v>124646636</v>
      </c>
      <c r="M6" s="59">
        <f>'Data Numbers'!F49</f>
        <v>132415260</v>
      </c>
      <c r="N6" s="62">
        <f t="shared" si="2"/>
        <v>7768624</v>
      </c>
    </row>
    <row r="7" spans="2:15" x14ac:dyDescent="0.2">
      <c r="B7" s="55" t="s">
        <v>104</v>
      </c>
      <c r="C7" s="59">
        <v>1726633.5986924134</v>
      </c>
      <c r="D7" s="59">
        <f>'Data Numbers'!C65</f>
        <v>2564697</v>
      </c>
      <c r="E7" s="62">
        <f t="shared" si="0"/>
        <v>838063.40130758658</v>
      </c>
      <c r="F7" s="59">
        <v>956619.6851136724</v>
      </c>
      <c r="G7" s="65"/>
      <c r="H7" s="66"/>
      <c r="I7" s="59">
        <v>22903.88</v>
      </c>
      <c r="J7" s="59">
        <f>'Data Numbers'!E65</f>
        <v>24006.65</v>
      </c>
      <c r="K7" s="62">
        <f t="shared" si="1"/>
        <v>1102.7700000000004</v>
      </c>
      <c r="L7" s="59">
        <v>116499615.35714287</v>
      </c>
      <c r="M7" s="59">
        <f>'Data Numbers'!F65</f>
        <v>107152314</v>
      </c>
      <c r="N7" s="62">
        <f t="shared" si="2"/>
        <v>-9347301.3571428657</v>
      </c>
    </row>
    <row r="8" spans="2:15" x14ac:dyDescent="0.2">
      <c r="B8" s="55" t="s">
        <v>105</v>
      </c>
      <c r="C8" s="59">
        <v>1961652.9287475916</v>
      </c>
      <c r="D8" s="59">
        <f>'Data Numbers'!C81</f>
        <v>3347159</v>
      </c>
      <c r="E8" s="62">
        <f t="shared" si="0"/>
        <v>1385506.0712524084</v>
      </c>
      <c r="F8" s="59">
        <v>1436701.8558698532</v>
      </c>
      <c r="G8" s="65"/>
      <c r="H8" s="66"/>
      <c r="I8" s="59">
        <v>855.18999999999994</v>
      </c>
      <c r="J8" s="59">
        <f>'Data Numbers'!E81</f>
        <v>727.95</v>
      </c>
      <c r="K8" s="62">
        <f t="shared" si="1"/>
        <v>-127.2399999999999</v>
      </c>
      <c r="L8" s="59">
        <v>99064143.857142866</v>
      </c>
      <c r="M8" s="59">
        <f>'Data Numbers'!F81</f>
        <v>73784934</v>
      </c>
      <c r="N8" s="62">
        <f t="shared" si="2"/>
        <v>-25279209.857142866</v>
      </c>
    </row>
    <row r="9" spans="2:15" x14ac:dyDescent="0.2">
      <c r="B9" s="55" t="s">
        <v>106</v>
      </c>
      <c r="C9" s="59">
        <v>1365851.2856816056</v>
      </c>
      <c r="D9" s="59">
        <f>'Data Numbers'!C97</f>
        <v>2736208</v>
      </c>
      <c r="E9" s="62">
        <f t="shared" si="0"/>
        <v>1370356.7143183944</v>
      </c>
      <c r="F9" s="59">
        <v>1529190.4681707276</v>
      </c>
      <c r="G9" s="65"/>
      <c r="H9" s="66"/>
      <c r="I9" s="59">
        <v>1931.5</v>
      </c>
      <c r="J9" s="59">
        <f>'Data Numbers'!E97</f>
        <v>1807.15</v>
      </c>
      <c r="K9" s="62">
        <f t="shared" si="1"/>
        <v>-124.34999999999991</v>
      </c>
      <c r="L9" s="59">
        <v>77952936.476806954</v>
      </c>
      <c r="M9" s="59">
        <f>'Data Numbers'!F97</f>
        <v>111912231</v>
      </c>
      <c r="N9" s="62">
        <f t="shared" si="2"/>
        <v>33959294.523193046</v>
      </c>
    </row>
    <row r="10" spans="2:15" x14ac:dyDescent="0.2">
      <c r="B10" s="55" t="s">
        <v>107</v>
      </c>
      <c r="C10" s="59">
        <v>889156.49237591075</v>
      </c>
      <c r="D10" s="59">
        <f>'Data Numbers'!C113</f>
        <v>2347710</v>
      </c>
      <c r="E10" s="62">
        <f t="shared" si="0"/>
        <v>1458553.5076240893</v>
      </c>
      <c r="F10" s="59">
        <v>1666399.0032208434</v>
      </c>
      <c r="G10" s="65"/>
      <c r="H10" s="66"/>
      <c r="I10" s="59">
        <v>1561.09</v>
      </c>
      <c r="J10" s="59">
        <f>'Data Numbers'!E113</f>
        <v>1875.79</v>
      </c>
      <c r="K10" s="62">
        <f t="shared" si="1"/>
        <v>314.70000000000005</v>
      </c>
      <c r="L10" s="59">
        <v>133267364.23683478</v>
      </c>
      <c r="M10" s="59">
        <f>'Data Numbers'!F113</f>
        <v>164449000</v>
      </c>
      <c r="N10" s="62">
        <f t="shared" si="2"/>
        <v>31181635.763165221</v>
      </c>
    </row>
    <row r="11" spans="2:15" x14ac:dyDescent="0.2">
      <c r="B11" s="55" t="s">
        <v>108</v>
      </c>
      <c r="C11" s="59">
        <v>417645.83400000003</v>
      </c>
      <c r="D11" s="59">
        <f>'Data Numbers'!C129</f>
        <v>1615205.9100000001</v>
      </c>
      <c r="E11" s="62">
        <f t="shared" si="0"/>
        <v>1197560.0760000001</v>
      </c>
      <c r="F11" s="59">
        <v>1242044.4258085687</v>
      </c>
      <c r="G11" s="65"/>
      <c r="H11" s="66"/>
      <c r="I11" s="59">
        <v>0</v>
      </c>
      <c r="J11" s="59">
        <f>'Data Numbers'!E129</f>
        <v>47.79</v>
      </c>
      <c r="K11" s="62">
        <f t="shared" si="1"/>
        <v>47.79</v>
      </c>
      <c r="L11" s="59">
        <v>243631080</v>
      </c>
      <c r="M11" s="59">
        <f>'Data Numbers'!F129</f>
        <v>243663530</v>
      </c>
      <c r="N11" s="62">
        <f t="shared" si="2"/>
        <v>32450</v>
      </c>
    </row>
    <row r="12" spans="2:15" x14ac:dyDescent="0.2">
      <c r="B12" s="55" t="s">
        <v>109</v>
      </c>
      <c r="C12" s="59">
        <v>1675946.3838000002</v>
      </c>
      <c r="D12" s="59">
        <f>'Data Numbers'!C145</f>
        <v>2231587.1300000004</v>
      </c>
      <c r="E12" s="62">
        <f t="shared" si="0"/>
        <v>555640.74620000017</v>
      </c>
      <c r="F12" s="59">
        <v>719549.60000835394</v>
      </c>
      <c r="G12" s="65"/>
      <c r="H12" s="66"/>
      <c r="I12" s="59">
        <v>0</v>
      </c>
      <c r="J12" s="59">
        <f>'Data Numbers'!E145</f>
        <v>51.77</v>
      </c>
      <c r="K12" s="62">
        <f t="shared" si="1"/>
        <v>51.77</v>
      </c>
      <c r="L12" s="59">
        <v>154693020</v>
      </c>
      <c r="M12" s="59">
        <f>'Data Numbers'!F145</f>
        <v>154904320</v>
      </c>
      <c r="N12" s="62">
        <f t="shared" si="2"/>
        <v>211300</v>
      </c>
    </row>
    <row r="13" spans="2:15" x14ac:dyDescent="0.2">
      <c r="B13" s="55" t="s">
        <v>110</v>
      </c>
      <c r="C13" s="59">
        <v>1852556.4359183998</v>
      </c>
      <c r="D13" s="59">
        <f>'Data Numbers'!C161</f>
        <v>2862002.4299999997</v>
      </c>
      <c r="E13" s="62">
        <f t="shared" si="0"/>
        <v>1009445.9940815999</v>
      </c>
      <c r="F13" s="59">
        <v>478513.82999999984</v>
      </c>
      <c r="G13" s="65"/>
      <c r="H13" s="66"/>
      <c r="I13" s="59">
        <v>0</v>
      </c>
      <c r="J13" s="59">
        <f>'Data Numbers'!E161</f>
        <v>0</v>
      </c>
      <c r="K13" s="62">
        <f t="shared" si="1"/>
        <v>0</v>
      </c>
      <c r="L13" s="59">
        <v>86658250</v>
      </c>
      <c r="M13" s="59">
        <f>'Data Numbers'!F161</f>
        <v>86658250</v>
      </c>
      <c r="N13" s="62">
        <f t="shared" si="2"/>
        <v>0</v>
      </c>
    </row>
    <row r="14" spans="2:15" x14ac:dyDescent="0.2">
      <c r="B14" s="55" t="s">
        <v>111</v>
      </c>
      <c r="C14" s="59">
        <v>1724523.1602103631</v>
      </c>
      <c r="D14" s="59">
        <f>'Data Numbers'!C177</f>
        <v>2823135</v>
      </c>
      <c r="E14" s="62">
        <f t="shared" si="0"/>
        <v>1098611.8397896369</v>
      </c>
      <c r="F14" s="59">
        <v>836741.86588025361</v>
      </c>
      <c r="G14" s="65"/>
      <c r="H14" s="66"/>
      <c r="I14" s="59">
        <v>0</v>
      </c>
      <c r="J14" s="59">
        <f>'Data Numbers'!E177</f>
        <v>0</v>
      </c>
      <c r="K14" s="62">
        <f t="shared" si="1"/>
        <v>0</v>
      </c>
      <c r="L14" s="59">
        <v>80214320</v>
      </c>
      <c r="M14" s="59">
        <f>'Data Numbers'!F177</f>
        <v>79540260</v>
      </c>
      <c r="N14" s="62">
        <f t="shared" si="2"/>
        <v>-674060</v>
      </c>
    </row>
    <row r="15" spans="2:15" x14ac:dyDescent="0.2">
      <c r="B15" s="55" t="s">
        <v>112</v>
      </c>
      <c r="C15" s="59">
        <v>3001306.6783838384</v>
      </c>
      <c r="D15" s="59">
        <f>'Data Numbers'!C181</f>
        <v>3001306.6783838384</v>
      </c>
      <c r="E15" s="62">
        <f t="shared" si="0"/>
        <v>0</v>
      </c>
      <c r="F15" s="60">
        <f>F14</f>
        <v>836741.86588025361</v>
      </c>
      <c r="G15" s="65"/>
      <c r="H15" s="66"/>
      <c r="I15" s="59">
        <v>0</v>
      </c>
      <c r="J15" s="59">
        <f>'Data Numbers'!E181</f>
        <v>0</v>
      </c>
      <c r="K15" s="62">
        <f t="shared" si="1"/>
        <v>0</v>
      </c>
      <c r="L15" s="59">
        <v>77477900</v>
      </c>
      <c r="M15" s="59">
        <f>'Data Numbers'!F181</f>
        <v>78424615</v>
      </c>
      <c r="N15" s="62">
        <f t="shared" si="2"/>
        <v>946715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Numbers</vt:lpstr>
      <vt:lpstr>Revised Carbon Footprint</vt:lpstr>
      <vt:lpstr>Updated gas and diesel EFs</vt:lpstr>
      <vt:lpstr>7. Emissions</vt:lpstr>
      <vt:lpstr>CA-CP Vs. UC</vt:lpstr>
      <vt:lpstr>Chart1</vt:lpstr>
      <vt:lpstr>'7. Emissions'!Print_Titles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 Thatham</dc:creator>
  <cp:lastModifiedBy>Microsoft Office User</cp:lastModifiedBy>
  <dcterms:created xsi:type="dcterms:W3CDTF">2020-02-28T20:26:27Z</dcterms:created>
  <dcterms:modified xsi:type="dcterms:W3CDTF">2020-03-10T13:50:40Z</dcterms:modified>
</cp:coreProperties>
</file>