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H:\CU_Admin\Energy Management\STARS\"/>
    </mc:Choice>
  </mc:AlternateContent>
  <xr:revisionPtr revIDLastSave="0" documentId="13_ncr:1_{428E994B-E37B-4C05-B87C-38B84CE77318}" xr6:coauthVersionLast="36" xr6:coauthVersionMax="36" xr10:uidLastSave="{00000000-0000-0000-0000-000000000000}"/>
  <bookViews>
    <workbookView xWindow="0" yWindow="0" windowWidth="7470" windowHeight="9915" activeTab="2" xr2:uid="{00000000-000D-0000-FFFF-FFFF00000000}"/>
  </bookViews>
  <sheets>
    <sheet name="Building" sheetId="1" r:id="rId1"/>
    <sheet name="Campus" sheetId="2" r:id="rId2"/>
    <sheet name="Summary" sheetId="3" r:id="rId3"/>
  </sheets>
  <externalReferences>
    <externalReference r:id="rId4"/>
    <externalReference r:id="rId5"/>
  </externalReferences>
  <calcPr calcId="191029"/>
  <extLst>
    <ext uri="GoogleSheetsCustomDataVersion1">
      <go:sheetsCustomData xmlns:go="http://customooxmlschemas.google.com/" r:id="rId6" roundtripDataSignature="AMtx7miL35nG2o8odYlRs/Q7+CTSaWqeeQ=="/>
    </ext>
  </extLst>
</workbook>
</file>

<file path=xl/calcChain.xml><?xml version="1.0" encoding="utf-8"?>
<calcChain xmlns="http://schemas.openxmlformats.org/spreadsheetml/2006/main">
  <c r="D11" i="3" l="1"/>
  <c r="D10" i="3"/>
  <c r="C10" i="3"/>
  <c r="C11" i="3"/>
  <c r="D4" i="3" l="1"/>
  <c r="C4" i="3"/>
  <c r="D3" i="3" l="1"/>
  <c r="D9" i="3" s="1"/>
  <c r="C3" i="3"/>
  <c r="C9" i="3" s="1"/>
  <c r="D2" i="3"/>
  <c r="D8" i="3" s="1"/>
  <c r="C2" i="3"/>
  <c r="C8" i="3" s="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108" i="1" s="1"/>
  <c r="R5"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108" i="1" s="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S110" i="1"/>
  <c r="C12" i="2"/>
  <c r="C11" i="2"/>
  <c r="C10" i="2"/>
  <c r="C9" i="2"/>
  <c r="C8" i="2"/>
  <c r="C7" i="2"/>
  <c r="C6" i="2"/>
  <c r="S108" i="1"/>
  <c r="S109" i="1" s="1"/>
  <c r="S111" i="1" s="1"/>
  <c r="P108" i="1"/>
  <c r="O108" i="1"/>
  <c r="J108" i="1"/>
  <c r="G108" i="1"/>
  <c r="F108" i="1"/>
  <c r="V107" i="1"/>
  <c r="W107" i="1" s="1"/>
  <c r="M107" i="1"/>
  <c r="N107" i="1" s="1"/>
  <c r="W106" i="1"/>
  <c r="V106" i="1"/>
  <c r="N106" i="1"/>
  <c r="M106" i="1"/>
  <c r="V105" i="1"/>
  <c r="W105" i="1" s="1"/>
  <c r="M105" i="1"/>
  <c r="N105" i="1" s="1"/>
  <c r="W104" i="1"/>
  <c r="V104" i="1"/>
  <c r="M104" i="1"/>
  <c r="N104" i="1" s="1"/>
  <c r="V103" i="1"/>
  <c r="W103" i="1" s="1"/>
  <c r="M103" i="1"/>
  <c r="N103" i="1" s="1"/>
  <c r="V102" i="1"/>
  <c r="N102" i="1"/>
  <c r="M102" i="1"/>
  <c r="D12" i="2" s="1"/>
  <c r="E12" i="2" s="1"/>
  <c r="V101" i="1"/>
  <c r="W101" i="1" s="1"/>
  <c r="M101" i="1"/>
  <c r="N101" i="1" s="1"/>
  <c r="W100" i="1"/>
  <c r="V100" i="1"/>
  <c r="M100" i="1"/>
  <c r="N100" i="1" s="1"/>
  <c r="V99" i="1"/>
  <c r="W99" i="1" s="1"/>
  <c r="M99" i="1"/>
  <c r="N99" i="1" s="1"/>
  <c r="W98" i="1"/>
  <c r="V98" i="1"/>
  <c r="N98" i="1"/>
  <c r="M98" i="1"/>
  <c r="V97" i="1"/>
  <c r="W97" i="1" s="1"/>
  <c r="M97" i="1"/>
  <c r="N97" i="1" s="1"/>
  <c r="W96" i="1"/>
  <c r="V96" i="1"/>
  <c r="M96" i="1"/>
  <c r="N96" i="1" s="1"/>
  <c r="V95" i="1"/>
  <c r="W95" i="1" s="1"/>
  <c r="M95" i="1"/>
  <c r="N95" i="1" s="1"/>
  <c r="V94" i="1"/>
  <c r="W94" i="1" s="1"/>
  <c r="N94" i="1"/>
  <c r="M94" i="1"/>
  <c r="V93" i="1"/>
  <c r="W93" i="1" s="1"/>
  <c r="M93" i="1"/>
  <c r="N93" i="1" s="1"/>
  <c r="W92" i="1"/>
  <c r="V92" i="1"/>
  <c r="M92" i="1"/>
  <c r="N92" i="1" s="1"/>
  <c r="V91" i="1"/>
  <c r="W91" i="1" s="1"/>
  <c r="M91" i="1"/>
  <c r="N91" i="1" s="1"/>
  <c r="V90" i="1"/>
  <c r="W90" i="1" s="1"/>
  <c r="M90" i="1"/>
  <c r="N90" i="1" s="1"/>
  <c r="V89" i="1"/>
  <c r="W89" i="1" s="1"/>
  <c r="M89" i="1"/>
  <c r="N89" i="1" s="1"/>
  <c r="W88" i="1"/>
  <c r="V88" i="1"/>
  <c r="M88" i="1"/>
  <c r="N88" i="1" s="1"/>
  <c r="V87" i="1"/>
  <c r="W87" i="1" s="1"/>
  <c r="M87" i="1"/>
  <c r="N87" i="1" s="1"/>
  <c r="V86" i="1"/>
  <c r="W86" i="1" s="1"/>
  <c r="N86" i="1"/>
  <c r="M86" i="1"/>
  <c r="V85" i="1"/>
  <c r="W85" i="1" s="1"/>
  <c r="M85" i="1"/>
  <c r="N85" i="1" s="1"/>
  <c r="V84" i="1"/>
  <c r="W84" i="1" s="1"/>
  <c r="M84" i="1"/>
  <c r="N84" i="1" s="1"/>
  <c r="V83" i="1"/>
  <c r="W83" i="1" s="1"/>
  <c r="M83" i="1"/>
  <c r="N83" i="1" s="1"/>
  <c r="V82" i="1"/>
  <c r="W82" i="1" s="1"/>
  <c r="M82" i="1"/>
  <c r="N82" i="1" s="1"/>
  <c r="V81" i="1"/>
  <c r="W81" i="1" s="1"/>
  <c r="M81" i="1"/>
  <c r="N81" i="1" s="1"/>
  <c r="V80" i="1"/>
  <c r="W80" i="1" s="1"/>
  <c r="M80" i="1"/>
  <c r="N80" i="1" s="1"/>
  <c r="V79" i="1"/>
  <c r="W79" i="1" s="1"/>
  <c r="M79" i="1"/>
  <c r="N79" i="1" s="1"/>
  <c r="V78" i="1"/>
  <c r="W78" i="1" s="1"/>
  <c r="M78" i="1"/>
  <c r="N78" i="1" s="1"/>
  <c r="V77" i="1"/>
  <c r="W77" i="1" s="1"/>
  <c r="M77" i="1"/>
  <c r="N77" i="1" s="1"/>
  <c r="W76" i="1"/>
  <c r="V76" i="1"/>
  <c r="M76" i="1"/>
  <c r="N76" i="1" s="1"/>
  <c r="V75" i="1"/>
  <c r="W75" i="1" s="1"/>
  <c r="M75" i="1"/>
  <c r="N75" i="1" s="1"/>
  <c r="V74" i="1"/>
  <c r="W74" i="1" s="1"/>
  <c r="M74" i="1"/>
  <c r="N74" i="1" s="1"/>
  <c r="V73" i="1"/>
  <c r="W73" i="1" s="1"/>
  <c r="M73" i="1"/>
  <c r="N73" i="1" s="1"/>
  <c r="V72" i="1"/>
  <c r="W72" i="1" s="1"/>
  <c r="M72" i="1"/>
  <c r="N72" i="1" s="1"/>
  <c r="V71" i="1"/>
  <c r="W71" i="1" s="1"/>
  <c r="M71" i="1"/>
  <c r="N71" i="1" s="1"/>
  <c r="V70" i="1"/>
  <c r="W70" i="1" s="1"/>
  <c r="M70" i="1"/>
  <c r="N70" i="1" s="1"/>
  <c r="V69" i="1"/>
  <c r="W69" i="1" s="1"/>
  <c r="M69" i="1"/>
  <c r="N69" i="1" s="1"/>
  <c r="V68" i="1"/>
  <c r="W68" i="1" s="1"/>
  <c r="M68" i="1"/>
  <c r="N68" i="1" s="1"/>
  <c r="V67" i="1"/>
  <c r="W67" i="1" s="1"/>
  <c r="M67" i="1"/>
  <c r="N67" i="1" s="1"/>
  <c r="V66" i="1"/>
  <c r="W66" i="1" s="1"/>
  <c r="M66" i="1"/>
  <c r="N66" i="1" s="1"/>
  <c r="V65" i="1"/>
  <c r="W65" i="1" s="1"/>
  <c r="M65" i="1"/>
  <c r="N65" i="1" s="1"/>
  <c r="V64" i="1"/>
  <c r="W64" i="1" s="1"/>
  <c r="M64" i="1"/>
  <c r="N64" i="1" s="1"/>
  <c r="Q63" i="1"/>
  <c r="V63" i="1" s="1"/>
  <c r="W63" i="1" s="1"/>
  <c r="H63" i="1"/>
  <c r="M63" i="1" s="1"/>
  <c r="N63" i="1" s="1"/>
  <c r="V62" i="1"/>
  <c r="W62" i="1" s="1"/>
  <c r="M62" i="1"/>
  <c r="N62" i="1" s="1"/>
  <c r="V61" i="1"/>
  <c r="W61" i="1" s="1"/>
  <c r="M61" i="1"/>
  <c r="N61" i="1" s="1"/>
  <c r="V60" i="1"/>
  <c r="W60" i="1" s="1"/>
  <c r="M60" i="1"/>
  <c r="N60" i="1" s="1"/>
  <c r="V59" i="1"/>
  <c r="W59" i="1" s="1"/>
  <c r="M59" i="1"/>
  <c r="N59" i="1" s="1"/>
  <c r="V58" i="1"/>
  <c r="W58" i="1" s="1"/>
  <c r="M58" i="1"/>
  <c r="N58" i="1" s="1"/>
  <c r="V57" i="1"/>
  <c r="W57" i="1" s="1"/>
  <c r="M57" i="1"/>
  <c r="N57" i="1" s="1"/>
  <c r="V56" i="1"/>
  <c r="W56" i="1" s="1"/>
  <c r="M56" i="1"/>
  <c r="N56" i="1" s="1"/>
  <c r="V55" i="1"/>
  <c r="W55" i="1" s="1"/>
  <c r="M55" i="1"/>
  <c r="N55" i="1" s="1"/>
  <c r="V54" i="1"/>
  <c r="W54" i="1" s="1"/>
  <c r="M54" i="1"/>
  <c r="N54" i="1" s="1"/>
  <c r="V53" i="1"/>
  <c r="W53" i="1" s="1"/>
  <c r="M53" i="1"/>
  <c r="N53" i="1" s="1"/>
  <c r="V52" i="1"/>
  <c r="W52" i="1" s="1"/>
  <c r="M52" i="1"/>
  <c r="N52" i="1" s="1"/>
  <c r="V51" i="1"/>
  <c r="W51" i="1" s="1"/>
  <c r="M51" i="1"/>
  <c r="N51" i="1" s="1"/>
  <c r="V50" i="1"/>
  <c r="W50" i="1" s="1"/>
  <c r="M50" i="1"/>
  <c r="N50" i="1" s="1"/>
  <c r="V49" i="1"/>
  <c r="W49" i="1" s="1"/>
  <c r="M49" i="1"/>
  <c r="N49" i="1" s="1"/>
  <c r="V48" i="1"/>
  <c r="W48" i="1" s="1"/>
  <c r="M48" i="1"/>
  <c r="N48" i="1" s="1"/>
  <c r="V47" i="1"/>
  <c r="W47" i="1" s="1"/>
  <c r="M47" i="1"/>
  <c r="N47" i="1" s="1"/>
  <c r="V46" i="1"/>
  <c r="W46" i="1" s="1"/>
  <c r="M46" i="1"/>
  <c r="N46" i="1" s="1"/>
  <c r="V45" i="1"/>
  <c r="M45" i="1"/>
  <c r="N45" i="1" s="1"/>
  <c r="V44" i="1"/>
  <c r="W44" i="1" s="1"/>
  <c r="M44" i="1"/>
  <c r="N44" i="1" s="1"/>
  <c r="V43" i="1"/>
  <c r="W43" i="1" s="1"/>
  <c r="M43" i="1"/>
  <c r="N43" i="1" s="1"/>
  <c r="V42" i="1"/>
  <c r="W42" i="1" s="1"/>
  <c r="M42" i="1"/>
  <c r="N42" i="1" s="1"/>
  <c r="V41" i="1"/>
  <c r="W41" i="1" s="1"/>
  <c r="M41" i="1"/>
  <c r="N41" i="1" s="1"/>
  <c r="V40" i="1"/>
  <c r="W40" i="1" s="1"/>
  <c r="M40" i="1"/>
  <c r="N40" i="1" s="1"/>
  <c r="V39" i="1"/>
  <c r="W39" i="1" s="1"/>
  <c r="M39" i="1"/>
  <c r="N39" i="1" s="1"/>
  <c r="V38" i="1"/>
  <c r="W38" i="1" s="1"/>
  <c r="M38" i="1"/>
  <c r="N38" i="1" s="1"/>
  <c r="V37" i="1"/>
  <c r="W37" i="1" s="1"/>
  <c r="M37" i="1"/>
  <c r="N37" i="1" s="1"/>
  <c r="V36" i="1"/>
  <c r="W36" i="1" s="1"/>
  <c r="M36" i="1"/>
  <c r="N36" i="1" s="1"/>
  <c r="V35" i="1"/>
  <c r="W35" i="1" s="1"/>
  <c r="M35" i="1"/>
  <c r="N35" i="1" s="1"/>
  <c r="V34" i="1"/>
  <c r="M34" i="1"/>
  <c r="D10" i="2" s="1"/>
  <c r="V33" i="1"/>
  <c r="W33" i="1" s="1"/>
  <c r="M33" i="1"/>
  <c r="N33" i="1" s="1"/>
  <c r="V32" i="1"/>
  <c r="W32" i="1" s="1"/>
  <c r="M32" i="1"/>
  <c r="N32" i="1" s="1"/>
  <c r="V31" i="1"/>
  <c r="W31" i="1" s="1"/>
  <c r="M31" i="1"/>
  <c r="N31" i="1" s="1"/>
  <c r="V30" i="1"/>
  <c r="W30" i="1" s="1"/>
  <c r="M30" i="1"/>
  <c r="N30" i="1" s="1"/>
  <c r="V29" i="1"/>
  <c r="W29" i="1" s="1"/>
  <c r="M29" i="1"/>
  <c r="N29" i="1" s="1"/>
  <c r="V28" i="1"/>
  <c r="W28" i="1" s="1"/>
  <c r="M28" i="1"/>
  <c r="N28" i="1" s="1"/>
  <c r="V27" i="1"/>
  <c r="W27" i="1" s="1"/>
  <c r="M27" i="1"/>
  <c r="N27" i="1" s="1"/>
  <c r="V26" i="1"/>
  <c r="W26" i="1" s="1"/>
  <c r="M26" i="1"/>
  <c r="N26" i="1" s="1"/>
  <c r="V25" i="1"/>
  <c r="F9" i="2" s="1"/>
  <c r="M25" i="1"/>
  <c r="N25" i="1" s="1"/>
  <c r="V24" i="1"/>
  <c r="W24" i="1" s="1"/>
  <c r="M24" i="1"/>
  <c r="N24" i="1" s="1"/>
  <c r="V23" i="1"/>
  <c r="W23" i="1" s="1"/>
  <c r="M23" i="1"/>
  <c r="N23" i="1" s="1"/>
  <c r="V22" i="1"/>
  <c r="W22" i="1" s="1"/>
  <c r="M22" i="1"/>
  <c r="N22" i="1" s="1"/>
  <c r="V21" i="1"/>
  <c r="W21" i="1" s="1"/>
  <c r="M21" i="1"/>
  <c r="N21" i="1" s="1"/>
  <c r="T20" i="1"/>
  <c r="T108" i="1" s="1"/>
  <c r="Q111" i="1" s="1"/>
  <c r="M20" i="1"/>
  <c r="N20" i="1" s="1"/>
  <c r="V19" i="1"/>
  <c r="W19" i="1" s="1"/>
  <c r="N19" i="1"/>
  <c r="M19" i="1"/>
  <c r="V18" i="1"/>
  <c r="W18" i="1" s="1"/>
  <c r="M18" i="1"/>
  <c r="N18" i="1" s="1"/>
  <c r="V17" i="1"/>
  <c r="W17" i="1" s="1"/>
  <c r="N17" i="1"/>
  <c r="M17" i="1"/>
  <c r="V16" i="1"/>
  <c r="W16" i="1" s="1"/>
  <c r="M16" i="1"/>
  <c r="N16" i="1" s="1"/>
  <c r="V15" i="1"/>
  <c r="W15" i="1" s="1"/>
  <c r="N15" i="1"/>
  <c r="M15" i="1"/>
  <c r="V14" i="1"/>
  <c r="W14" i="1" s="1"/>
  <c r="M14" i="1"/>
  <c r="N14" i="1" s="1"/>
  <c r="V13" i="1"/>
  <c r="W13" i="1" s="1"/>
  <c r="K13" i="1"/>
  <c r="K108" i="1" s="1"/>
  <c r="V12" i="1"/>
  <c r="W12" i="1" s="1"/>
  <c r="M12" i="1"/>
  <c r="N12" i="1" s="1"/>
  <c r="V11" i="1"/>
  <c r="W11" i="1" s="1"/>
  <c r="M11" i="1"/>
  <c r="N11" i="1" s="1"/>
  <c r="V10" i="1"/>
  <c r="M10" i="1"/>
  <c r="V9" i="1"/>
  <c r="W9" i="1" s="1"/>
  <c r="M9" i="1"/>
  <c r="D7" i="2" s="1"/>
  <c r="V8" i="1"/>
  <c r="V7" i="1"/>
  <c r="W7" i="1" s="1"/>
  <c r="N7" i="1"/>
  <c r="M7" i="1"/>
  <c r="V6" i="1"/>
  <c r="W6" i="1" s="1"/>
  <c r="N6" i="1"/>
  <c r="M6" i="1"/>
  <c r="V5" i="1"/>
  <c r="W5" i="1" s="1"/>
  <c r="N5" i="1"/>
  <c r="M5" i="1"/>
  <c r="D6" i="2" s="1"/>
  <c r="S114" i="1" l="1"/>
  <c r="G9" i="2"/>
  <c r="F10" i="2"/>
  <c r="F12" i="2"/>
  <c r="G12" i="2" s="1"/>
  <c r="W102" i="1"/>
  <c r="V20" i="1"/>
  <c r="W20" i="1" s="1"/>
  <c r="F6" i="2"/>
  <c r="E7" i="2"/>
  <c r="F11" i="2"/>
  <c r="G11" i="2" s="1"/>
  <c r="C13" i="2"/>
  <c r="E10" i="2"/>
  <c r="G10" i="2"/>
  <c r="E6" i="2"/>
  <c r="K112" i="1"/>
  <c r="M108" i="1"/>
  <c r="V108" i="1"/>
  <c r="D8" i="2"/>
  <c r="E8" i="2" s="1"/>
  <c r="G6" i="2"/>
  <c r="N10" i="1"/>
  <c r="W25" i="1"/>
  <c r="W45" i="1"/>
  <c r="F7" i="2"/>
  <c r="G7" i="2" s="1"/>
  <c r="D9" i="2"/>
  <c r="E9" i="2" s="1"/>
  <c r="W10" i="1"/>
  <c r="N34" i="1"/>
  <c r="D11" i="2"/>
  <c r="E11" i="2" s="1"/>
  <c r="N9" i="1"/>
  <c r="M13" i="1"/>
  <c r="N13" i="1" s="1"/>
  <c r="W34" i="1"/>
  <c r="F8" i="2" l="1"/>
  <c r="G8" i="2" s="1"/>
  <c r="D13" i="2"/>
  <c r="E13" i="2" s="1"/>
  <c r="F13" i="2" l="1"/>
  <c r="G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3" authorId="0" shapeId="0" xr:uid="{00000000-0006-0000-0000-000005000000}">
      <text>
        <r>
          <rPr>
            <sz val="10"/>
            <color rgb="FF000000"/>
            <rFont val="Arial"/>
          </rPr>
          <t>======
ID#AAAASdC3AN0
Author    (2021-12-06 04:15:24)
used FY21 because FY20 was not available</t>
        </r>
      </text>
    </comment>
    <comment ref="T20" authorId="0" shapeId="0" xr:uid="{00000000-0006-0000-0000-000004000000}">
      <text>
        <r>
          <rPr>
            <sz val="10"/>
            <color rgb="FF000000"/>
            <rFont val="Arial"/>
          </rPr>
          <t>======
ID#AAAASdC3AN4
Author    (2021-12-06 04:15:24)
Using FY20 value because steam meter is offline in FY21</t>
        </r>
      </text>
    </comment>
    <comment ref="H31" authorId="0" shapeId="0" xr:uid="{00000000-0006-0000-0000-000003000000}">
      <text>
        <r>
          <rPr>
            <sz val="10"/>
            <color rgb="FF000000"/>
            <rFont val="Arial"/>
          </rPr>
          <t>======
ID#AAAASdC3AN8
Author    (2021-12-06 04:15:24)
Electricity is included in Valentine and DeKewiet</t>
        </r>
      </text>
    </comment>
    <comment ref="G58" authorId="0" shapeId="0" xr:uid="{00000000-0006-0000-0000-000002000000}">
      <text>
        <r>
          <rPr>
            <sz val="10"/>
            <color rgb="FF000000"/>
            <rFont val="Arial"/>
          </rPr>
          <t>======
ID#AAAASdC3AOA
Author    (2021-12-06 04:15:24)
This reading is low because the CHW meter was not working correctly the first half of FY20</t>
        </r>
      </text>
    </comment>
    <comment ref="S109" authorId="0" shapeId="0" xr:uid="{00000000-0006-0000-0000-000001000000}">
      <text>
        <r>
          <rPr>
            <sz val="10"/>
            <color rgb="FF000000"/>
            <rFont val="Arial"/>
          </rPr>
          <t>======
ID#AAAAUVaOL7k
Zein Tynon    (2022-01-20 23:41:27)
This is what I used specifically.</t>
        </r>
      </text>
    </comment>
  </commentList>
  <extLst>
    <ext xmlns:r="http://schemas.openxmlformats.org/officeDocument/2006/relationships" uri="GoogleSheetsCustomDataVersion1">
      <go:sheetsCustomData xmlns:go="http://customooxmlschemas.google.com/" r:id="rId1" roundtripDataSignature="AMtx7mjQOna8reI6c3McxozugESh8VCqN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University of Rochester</author>
  </authors>
  <commentList>
    <comment ref="C4" authorId="0" shapeId="0" xr:uid="{9318C532-AD74-42FF-824E-474A5DAEDEFD}">
      <text>
        <r>
          <rPr>
            <b/>
            <sz val="9"/>
            <color indexed="81"/>
            <rFont val="Tahoma"/>
            <family val="2"/>
          </rPr>
          <t>University of Rochester:</t>
        </r>
        <r>
          <rPr>
            <sz val="9"/>
            <color indexed="81"/>
            <rFont val="Tahoma"/>
            <family val="2"/>
          </rPr>
          <t xml:space="preserve">
CUP Substation + 710 Substation</t>
        </r>
      </text>
    </comment>
    <comment ref="D4" authorId="0" shapeId="0" xr:uid="{CADDFB15-F942-4022-84E9-D63AE133A601}">
      <text>
        <r>
          <rPr>
            <b/>
            <sz val="9"/>
            <color indexed="81"/>
            <rFont val="Tahoma"/>
            <family val="2"/>
          </rPr>
          <t>University of Rochester:</t>
        </r>
        <r>
          <rPr>
            <sz val="9"/>
            <color indexed="81"/>
            <rFont val="Tahoma"/>
            <family val="2"/>
          </rPr>
          <t xml:space="preserve">
Includes CUP electric up to mid april 2021 + 710 electric up to mid april 2021 + 710 electric after mid april</t>
        </r>
      </text>
    </comment>
  </commentList>
</comments>
</file>

<file path=xl/sharedStrings.xml><?xml version="1.0" encoding="utf-8"?>
<sst xmlns="http://schemas.openxmlformats.org/spreadsheetml/2006/main" count="520" uniqueCount="274">
  <si>
    <t>Building Energy Use (Excluding Central Utility Plant)</t>
  </si>
  <si>
    <t>(Includes only energy used at the building, does not include energy used on behalf of the building by the central plant)</t>
  </si>
  <si>
    <t>2020 Fiscal Year</t>
  </si>
  <si>
    <t>2021 Fiscal Year</t>
  </si>
  <si>
    <t>Square Feet</t>
  </si>
  <si>
    <t>kBTU</t>
  </si>
  <si>
    <t>kWh</t>
  </si>
  <si>
    <t>US gal</t>
  </si>
  <si>
    <t>kBTU/SF/y</t>
  </si>
  <si>
    <t>Campus</t>
  </si>
  <si>
    <t>Building Number</t>
  </si>
  <si>
    <t>Building Name</t>
  </si>
  <si>
    <t>Area</t>
  </si>
  <si>
    <t>Hot Water</t>
  </si>
  <si>
    <t>Chilled Water</t>
  </si>
  <si>
    <t>Electricity</t>
  </si>
  <si>
    <t>Gas</t>
  </si>
  <si>
    <t>Steam</t>
  </si>
  <si>
    <t>Water</t>
  </si>
  <si>
    <t>Total Energy Use</t>
  </si>
  <si>
    <t>Site Energy Use Index</t>
  </si>
  <si>
    <t>ESM</t>
  </si>
  <si>
    <t>400</t>
  </si>
  <si>
    <t>Eastman School Of Music</t>
  </si>
  <si>
    <t>402</t>
  </si>
  <si>
    <t>Eastman Commons</t>
  </si>
  <si>
    <t>406</t>
  </si>
  <si>
    <t>Messinger Hall</t>
  </si>
  <si>
    <t>1344</t>
  </si>
  <si>
    <t>1344 University Avenue</t>
  </si>
  <si>
    <t>MAG</t>
  </si>
  <si>
    <t>414</t>
  </si>
  <si>
    <t>Memorial Art Gallery</t>
  </si>
  <si>
    <t>MC</t>
  </si>
  <si>
    <t>101</t>
  </si>
  <si>
    <t>Golisano Childrens Hospital at Strong-GCHaS</t>
  </si>
  <si>
    <t>102</t>
  </si>
  <si>
    <t>Medical Center Annex</t>
  </si>
  <si>
    <t>104</t>
  </si>
  <si>
    <t>School of Medicine and Dentistry</t>
  </si>
  <si>
    <t>105</t>
  </si>
  <si>
    <t>Strong Memorial Hospital</t>
  </si>
  <si>
    <t>106</t>
  </si>
  <si>
    <t>R-Wing-Psychiatry</t>
  </si>
  <si>
    <t>107</t>
  </si>
  <si>
    <t>SGG-Wing</t>
  </si>
  <si>
    <t>110</t>
  </si>
  <si>
    <t>Parking Garage</t>
  </si>
  <si>
    <t>111</t>
  </si>
  <si>
    <t>Kornberg Medical Research Building</t>
  </si>
  <si>
    <t>112</t>
  </si>
  <si>
    <t>Eastman Dental Center</t>
  </si>
  <si>
    <t>113</t>
  </si>
  <si>
    <t>Levine Pavilion</t>
  </si>
  <si>
    <t>114</t>
  </si>
  <si>
    <t>Autoclave Building</t>
  </si>
  <si>
    <t>115</t>
  </si>
  <si>
    <t>Del Monte Institute</t>
  </si>
  <si>
    <t>116</t>
  </si>
  <si>
    <t>Emergency Department</t>
  </si>
  <si>
    <t>119</t>
  </si>
  <si>
    <t>Wilmot Cancer Center</t>
  </si>
  <si>
    <t>108-109</t>
  </si>
  <si>
    <t>Access Center and Ambulatory Care Facility</t>
  </si>
  <si>
    <t>Mid</t>
  </si>
  <si>
    <t>103</t>
  </si>
  <si>
    <t>Helen Wood Hall</t>
  </si>
  <si>
    <t>118</t>
  </si>
  <si>
    <t>Childrens School at URMC</t>
  </si>
  <si>
    <t>120</t>
  </si>
  <si>
    <t>Saunders Research Building</t>
  </si>
  <si>
    <t>144</t>
  </si>
  <si>
    <t>Valentine Tower</t>
  </si>
  <si>
    <t>147</t>
  </si>
  <si>
    <t>De Kewiet Tower</t>
  </si>
  <si>
    <t>514</t>
  </si>
  <si>
    <t>514 Intercampus Drive-UFC Annex</t>
  </si>
  <si>
    <t>141-149</t>
  </si>
  <si>
    <t>Southside Living Center</t>
  </si>
  <si>
    <t>151-159</t>
  </si>
  <si>
    <t>University Park</t>
  </si>
  <si>
    <t>N/A</t>
  </si>
  <si>
    <t>520 Intercampus Drive-EHS</t>
  </si>
  <si>
    <t>Off</t>
  </si>
  <si>
    <t>61</t>
  </si>
  <si>
    <t>575 Mount Hope Avenue</t>
  </si>
  <si>
    <t>62</t>
  </si>
  <si>
    <t>590 Mount Hope Avenue</t>
  </si>
  <si>
    <t>63</t>
  </si>
  <si>
    <t>668 Mount Hope Avenue</t>
  </si>
  <si>
    <t>64</t>
  </si>
  <si>
    <t>685 Mount Hope Avenue-Fairbank</t>
  </si>
  <si>
    <t>65</t>
  </si>
  <si>
    <t>692 Mount Hope Avenue</t>
  </si>
  <si>
    <t>66</t>
  </si>
  <si>
    <t>630 Mount Hope Avenue</t>
  </si>
  <si>
    <t>201</t>
  </si>
  <si>
    <t>Aab Cardiovascular Research Institute</t>
  </si>
  <si>
    <t>521</t>
  </si>
  <si>
    <t>300 Science Parkway-PDC</t>
  </si>
  <si>
    <t>522</t>
  </si>
  <si>
    <t>315 Science Parkway</t>
  </si>
  <si>
    <t>523</t>
  </si>
  <si>
    <t>University Farmington Data Center</t>
  </si>
  <si>
    <t>561</t>
  </si>
  <si>
    <t>110 Office Park Way</t>
  </si>
  <si>
    <t>RC</t>
  </si>
  <si>
    <t>1</t>
  </si>
  <si>
    <t>Hutchison Hall</t>
  </si>
  <si>
    <t>2</t>
  </si>
  <si>
    <t>Computer Studies Building</t>
  </si>
  <si>
    <t>3</t>
  </si>
  <si>
    <t>Wegmans Hall</t>
  </si>
  <si>
    <t>5</t>
  </si>
  <si>
    <t>Wilmot Hall</t>
  </si>
  <si>
    <t>6</t>
  </si>
  <si>
    <t>NYS Optics Institute</t>
  </si>
  <si>
    <t>7</t>
  </si>
  <si>
    <t>Hylan Hall</t>
  </si>
  <si>
    <t>8</t>
  </si>
  <si>
    <t>Goergen Hall</t>
  </si>
  <si>
    <t>10</t>
  </si>
  <si>
    <t>Interfaith Chapel</t>
  </si>
  <si>
    <t>11</t>
  </si>
  <si>
    <t>Wallis Hall</t>
  </si>
  <si>
    <t>12</t>
  </si>
  <si>
    <t>Dewey Hall</t>
  </si>
  <si>
    <t>13</t>
  </si>
  <si>
    <t>Hopeman Engineering Building</t>
  </si>
  <si>
    <t>14</t>
  </si>
  <si>
    <t>Hoyt Hall</t>
  </si>
  <si>
    <t>15</t>
  </si>
  <si>
    <t>Gavett Hall</t>
  </si>
  <si>
    <t>16</t>
  </si>
  <si>
    <t>Taylor Hall</t>
  </si>
  <si>
    <t>17</t>
  </si>
  <si>
    <t>Bausch and Lomb Hall</t>
  </si>
  <si>
    <t>18</t>
  </si>
  <si>
    <t>Meliora Hall</t>
  </si>
  <si>
    <t>19</t>
  </si>
  <si>
    <t>Harkness Hall</t>
  </si>
  <si>
    <t>20</t>
  </si>
  <si>
    <t>Gleason Hall</t>
  </si>
  <si>
    <t>Schlegel Hall</t>
  </si>
  <si>
    <t>21</t>
  </si>
  <si>
    <t>Todd Union</t>
  </si>
  <si>
    <t>22</t>
  </si>
  <si>
    <t>Strong Auditorium</t>
  </si>
  <si>
    <t>23</t>
  </si>
  <si>
    <t>Lattimore Hall</t>
  </si>
  <si>
    <t>24</t>
  </si>
  <si>
    <t>LeChase Hall</t>
  </si>
  <si>
    <t>25</t>
  </si>
  <si>
    <t>Morey Hall</t>
  </si>
  <si>
    <t>26</t>
  </si>
  <si>
    <t>Frederick Douglass Commons</t>
  </si>
  <si>
    <t>27</t>
  </si>
  <si>
    <t>Rush Rhees Library</t>
  </si>
  <si>
    <t>28</t>
  </si>
  <si>
    <t>Wilson Commons</t>
  </si>
  <si>
    <t>29</t>
  </si>
  <si>
    <t>Rettner Hall</t>
  </si>
  <si>
    <t>31</t>
  </si>
  <si>
    <t>Tiernan Hall</t>
  </si>
  <si>
    <t>32</t>
  </si>
  <si>
    <t>Lovejoy Hall</t>
  </si>
  <si>
    <t>33</t>
  </si>
  <si>
    <t>Burton Hall</t>
  </si>
  <si>
    <t>34</t>
  </si>
  <si>
    <t>Gilbert Hall</t>
  </si>
  <si>
    <t>35</t>
  </si>
  <si>
    <t>Hoeing Hall</t>
  </si>
  <si>
    <t>36</t>
  </si>
  <si>
    <t>Crosby Hall</t>
  </si>
  <si>
    <t>37</t>
  </si>
  <si>
    <t>Robert B. Goergen Athletic Center</t>
  </si>
  <si>
    <t>38</t>
  </si>
  <si>
    <t>Fauver Stadium</t>
  </si>
  <si>
    <t>39</t>
  </si>
  <si>
    <t>University Health Service Building</t>
  </si>
  <si>
    <t>40</t>
  </si>
  <si>
    <t>Danforth Dining Hall</t>
  </si>
  <si>
    <t>41</t>
  </si>
  <si>
    <t>Spurrier Hall</t>
  </si>
  <si>
    <t>42</t>
  </si>
  <si>
    <t>Susan B. Anthony Hall</t>
  </si>
  <si>
    <t>43</t>
  </si>
  <si>
    <t>Wilder Tower</t>
  </si>
  <si>
    <t>44</t>
  </si>
  <si>
    <t>Sage Art Center</t>
  </si>
  <si>
    <t>45</t>
  </si>
  <si>
    <t>Anderson Tower</t>
  </si>
  <si>
    <t>46</t>
  </si>
  <si>
    <t>O_Brien Hall</t>
  </si>
  <si>
    <t>47</t>
  </si>
  <si>
    <t>Genesee Hall</t>
  </si>
  <si>
    <t>48</t>
  </si>
  <si>
    <t>612 Wilson Boulevard</t>
  </si>
  <si>
    <t>91</t>
  </si>
  <si>
    <t>Drama House</t>
  </si>
  <si>
    <t>92</t>
  </si>
  <si>
    <t>Delta Kappa Epsilon Fraternity</t>
  </si>
  <si>
    <t>93</t>
  </si>
  <si>
    <t>Alpha Delta Phi Fraternity</t>
  </si>
  <si>
    <t>94</t>
  </si>
  <si>
    <t>Douglass Leadership House  -Medieval House</t>
  </si>
  <si>
    <t>95</t>
  </si>
  <si>
    <t>Sigma Chi Fraternity</t>
  </si>
  <si>
    <t>96</t>
  </si>
  <si>
    <t>Theta Chi Fraternity</t>
  </si>
  <si>
    <t>97</t>
  </si>
  <si>
    <t>Psi Upsilon Fraternity</t>
  </si>
  <si>
    <t>98</t>
  </si>
  <si>
    <t>Sigma Alpha Mu Fraternity</t>
  </si>
  <si>
    <t>99</t>
  </si>
  <si>
    <t>Sigma Phi Epsilon Fraternity</t>
  </si>
  <si>
    <t>125</t>
  </si>
  <si>
    <t>Goler House</t>
  </si>
  <si>
    <t>51-56</t>
  </si>
  <si>
    <t>Hill Court</t>
  </si>
  <si>
    <t>SC</t>
  </si>
  <si>
    <t>300</t>
  </si>
  <si>
    <t>University Facilities Center</t>
  </si>
  <si>
    <t>333</t>
  </si>
  <si>
    <t>Center For Optoelectronics</t>
  </si>
  <si>
    <t>334</t>
  </si>
  <si>
    <t>Lab For Laser Energetics</t>
  </si>
  <si>
    <t>340</t>
  </si>
  <si>
    <t>East River Road Medical Building</t>
  </si>
  <si>
    <t>301-332</t>
  </si>
  <si>
    <t>Whipple Park</t>
  </si>
  <si>
    <t>335-336</t>
  </si>
  <si>
    <t>Bloch Alumni and Advancement Center</t>
  </si>
  <si>
    <t>Data obtained from eSight EUI rollup reports 7/22/2021</t>
  </si>
  <si>
    <t>Total in MMBTU:</t>
  </si>
  <si>
    <t>Total MMBTU:</t>
  </si>
  <si>
    <t>Campus Site Energy Use (Excluding Central Utility Plant)</t>
  </si>
  <si>
    <t>FY20</t>
  </si>
  <si>
    <t>FY21</t>
  </si>
  <si>
    <t>SqFt</t>
  </si>
  <si>
    <t>kBTU/SqFt/y</t>
  </si>
  <si>
    <t>Abbreviation</t>
  </si>
  <si>
    <t>Energy</t>
  </si>
  <si>
    <t>EUI</t>
  </si>
  <si>
    <t>Eastman</t>
  </si>
  <si>
    <t>Memorial Art Gallary</t>
  </si>
  <si>
    <t>Medical Center</t>
  </si>
  <si>
    <t>Mid Campus</t>
  </si>
  <si>
    <t>Off Campus</t>
  </si>
  <si>
    <t>River Campus</t>
  </si>
  <si>
    <t>South Campus</t>
  </si>
  <si>
    <t>Total</t>
  </si>
  <si>
    <t>This information is a summary of the consumption by individual buildings on the previous tab.</t>
  </si>
  <si>
    <t>No consideration was given to asdjusting this information due to energy losses in the central plant.</t>
  </si>
  <si>
    <t>Yes</t>
  </si>
  <si>
    <t>No</t>
  </si>
  <si>
    <t>UR Electric</t>
  </si>
  <si>
    <t>Imported Electric</t>
  </si>
  <si>
    <t>Imported Gas (Buildings)</t>
  </si>
  <si>
    <t>Imported Electric (Buildings)</t>
  </si>
  <si>
    <t>Imported Electric (CUP)</t>
  </si>
  <si>
    <t>Imported Gas (CUP)</t>
  </si>
  <si>
    <t>Imported Fuel Oil (Generators)</t>
  </si>
  <si>
    <t>Imported Propane (Generators)</t>
  </si>
  <si>
    <t>mmBTU</t>
  </si>
  <si>
    <t>H:\CU_Admin\Energy Management\Data\Energy Data from Paul\Natural Gas - Plant Historical Data - December 2021.xls</t>
  </si>
  <si>
    <t>H:\CU_Admin\Energy Management\Data\Energy Data from Paul\STATION 710 (AND MCCP)_ FY14_FY21 Electric Cost Actual.xlsx, STATION 710 WITH STANDBY RATE TARIFF_EFFECTIVE APRIL 19_2021 - June 2021.xlsx, CUP FY14_FY21 Electric Cost Actual.xlsx</t>
  </si>
  <si>
    <t>H:\CU_Admin\EARTH\NOX Cap Rolling Avg Spreadheet\NOX  SO2 CAP Track.xls</t>
  </si>
  <si>
    <t>Gal</t>
  </si>
  <si>
    <t>Buildings Tab</t>
  </si>
  <si>
    <t>Imported Gas (Total)</t>
  </si>
  <si>
    <t>Imported Electric (Total)</t>
  </si>
  <si>
    <t>Imported Electric and Gas for all buildings on Building Tab</t>
  </si>
  <si>
    <t>Note: I don't know if Fuel Oil and Propane were used in the baseline year, so they are included seperatly. But the amount of Fuel Oil use is so low it makes little actual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</si>
</sst>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10409]#,##0;\-#,##0"/>
    <numFmt numFmtId="166" formatCode="_(* #,##0.0_);_(* \(#,##0.0\);_(* &quot;-&quot;??_);_(@_)"/>
    <numFmt numFmtId="167" formatCode="yyyy\-mm\-dd"/>
  </numFmts>
  <fonts count="14">
    <font>
      <sz val="10"/>
      <color rgb="FF000000"/>
      <name val="Arial"/>
    </font>
    <font>
      <b/>
      <sz val="14"/>
      <color theme="1"/>
      <name val="Arial"/>
    </font>
    <font>
      <sz val="10"/>
      <color theme="1"/>
      <name val="Arial"/>
    </font>
    <font>
      <b/>
      <sz val="11"/>
      <color rgb="FF000000"/>
      <name val="Quattrocento Sans"/>
    </font>
    <font>
      <b/>
      <sz val="14"/>
      <color rgb="FF000000"/>
      <name val="Quattrocento Sans"/>
    </font>
    <font>
      <sz val="10"/>
      <name val="Arial"/>
    </font>
    <font>
      <b/>
      <sz val="11"/>
      <color theme="1"/>
      <name val="Arial"/>
    </font>
    <font>
      <sz val="10"/>
      <color rgb="FF000000"/>
      <name val="Quattrocento Sans"/>
    </font>
    <font>
      <sz val="10"/>
      <color theme="1"/>
      <name val="Calibri"/>
    </font>
    <font>
      <sz val="10"/>
      <color rgb="FF000000"/>
      <name val="Arial"/>
    </font>
    <font>
      <b/>
      <sz val="10"/>
      <color rgb="FF000000"/>
      <name val="Arial"/>
      <family val="2"/>
    </font>
    <font>
      <sz val="10"/>
      <color rgb="FF000000"/>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ADD8E6"/>
        <bgColor rgb="FFADD8E6"/>
      </patternFill>
    </fill>
    <fill>
      <patternFill patternType="solid">
        <fgColor rgb="FFDEEAF6"/>
        <bgColor rgb="FFDEEAF6"/>
      </patternFill>
    </fill>
    <fill>
      <patternFill patternType="solid">
        <fgColor theme="9"/>
        <bgColor theme="9"/>
      </patternFill>
    </fill>
    <fill>
      <patternFill patternType="solid">
        <fgColor rgb="FFBFBFBF"/>
        <bgColor rgb="FFBFBFBF"/>
      </patternFill>
    </fill>
  </fills>
  <borders count="29">
    <border>
      <left/>
      <right/>
      <top/>
      <bottom/>
      <diagonal/>
    </border>
    <border>
      <left/>
      <right/>
      <top/>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theme="4"/>
      </top>
      <bottom style="thin">
        <color theme="4"/>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theme="4"/>
      </top>
      <bottom/>
      <diagonal/>
    </border>
    <border>
      <left style="thick">
        <color rgb="FF000000"/>
      </left>
      <right/>
      <top style="thin">
        <color theme="4"/>
      </top>
      <bottom/>
      <diagonal/>
    </border>
    <border>
      <left style="thin">
        <color rgb="FF000000"/>
      </left>
      <right style="thin">
        <color theme="4"/>
      </right>
      <top style="thin">
        <color theme="4"/>
      </top>
      <bottom/>
      <diagonal/>
    </border>
    <border>
      <left style="thin">
        <color rgb="FF000000"/>
      </left>
      <right/>
      <top style="thin">
        <color rgb="FF000000"/>
      </top>
      <bottom/>
      <diagonal/>
    </border>
    <border>
      <left style="thick">
        <color rgb="FF000000"/>
      </left>
      <right/>
      <top style="thin">
        <color rgb="FF000000"/>
      </top>
      <bottom/>
      <diagonal/>
    </border>
    <border>
      <left style="thin">
        <color rgb="FF000000"/>
      </left>
      <right style="thin">
        <color rgb="FF000000"/>
      </right>
      <top style="thin">
        <color rgb="FF000000"/>
      </top>
      <bottom/>
      <diagonal/>
    </border>
    <border>
      <left style="thick">
        <color rgb="FF000000"/>
      </left>
      <right/>
      <top style="thin">
        <color rgb="FF000000"/>
      </top>
      <bottom/>
      <diagonal/>
    </border>
    <border>
      <left style="thin">
        <color rgb="FF000000"/>
      </left>
      <right/>
      <top style="thin">
        <color rgb="FF000000"/>
      </top>
      <bottom style="thin">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86">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readingOrder="1"/>
    </xf>
    <xf numFmtId="0" fontId="3" fillId="4" borderId="7" xfId="0" applyFont="1" applyFill="1" applyBorder="1" applyAlignment="1">
      <alignment horizontal="center" vertical="center" wrapText="1" readingOrder="1"/>
    </xf>
    <xf numFmtId="0" fontId="3" fillId="4" borderId="8" xfId="0" applyFont="1" applyFill="1" applyBorder="1" applyAlignment="1">
      <alignment horizontal="center" vertical="center" wrapText="1" readingOrder="1"/>
    </xf>
    <xf numFmtId="0" fontId="3" fillId="4" borderId="9" xfId="0" applyFont="1" applyFill="1" applyBorder="1" applyAlignment="1">
      <alignment horizontal="center" vertical="center" wrapText="1" readingOrder="1"/>
    </xf>
    <xf numFmtId="0" fontId="3" fillId="4" borderId="10" xfId="0" applyFont="1" applyFill="1" applyBorder="1" applyAlignment="1">
      <alignment horizontal="center" vertical="center" wrapText="1" readingOrder="1"/>
    </xf>
    <xf numFmtId="0" fontId="3" fillId="4" borderId="11" xfId="0" applyFont="1" applyFill="1" applyBorder="1" applyAlignment="1">
      <alignment horizontal="center" vertical="center" wrapText="1" readingOrder="1"/>
    </xf>
    <xf numFmtId="0" fontId="3" fillId="4" borderId="12" xfId="0" applyFont="1" applyFill="1" applyBorder="1" applyAlignment="1">
      <alignment horizontal="center" vertical="center" wrapText="1" readingOrder="1"/>
    </xf>
    <xf numFmtId="0" fontId="6"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readingOrder="1"/>
    </xf>
    <xf numFmtId="0" fontId="3" fillId="4" borderId="14" xfId="0" applyFont="1" applyFill="1" applyBorder="1" applyAlignment="1">
      <alignment horizontal="center" vertical="center" wrapText="1" readingOrder="1"/>
    </xf>
    <xf numFmtId="0" fontId="3" fillId="4" borderId="15" xfId="0" applyFont="1" applyFill="1" applyBorder="1" applyAlignment="1">
      <alignment horizontal="center" vertical="center" wrapText="1" readingOrder="1"/>
    </xf>
    <xf numFmtId="0" fontId="7" fillId="0" borderId="16" xfId="0" applyFont="1" applyBorder="1" applyAlignment="1">
      <alignment horizontal="center" vertical="center" wrapText="1" readingOrder="1"/>
    </xf>
    <xf numFmtId="164" fontId="7" fillId="0" borderId="16" xfId="0" applyNumberFormat="1" applyFont="1" applyBorder="1" applyAlignment="1">
      <alignment horizontal="center" vertical="center" wrapText="1" readingOrder="1"/>
    </xf>
    <xf numFmtId="0" fontId="7" fillId="0" borderId="17" xfId="0" applyFont="1" applyBorder="1" applyAlignment="1">
      <alignment horizontal="center" vertical="center" wrapText="1" readingOrder="1"/>
    </xf>
    <xf numFmtId="165" fontId="7" fillId="0" borderId="16" xfId="0" applyNumberFormat="1" applyFont="1" applyBorder="1" applyAlignment="1">
      <alignment horizontal="center" vertical="center" wrapText="1" readingOrder="1"/>
    </xf>
    <xf numFmtId="166" fontId="7" fillId="0" borderId="16" xfId="0" applyNumberFormat="1" applyFont="1" applyBorder="1" applyAlignment="1">
      <alignment horizontal="center" vertical="center" wrapText="1" readingOrder="1"/>
    </xf>
    <xf numFmtId="166" fontId="7" fillId="0" borderId="18" xfId="0" applyNumberFormat="1" applyFont="1" applyBorder="1" applyAlignment="1">
      <alignment horizontal="center" vertical="center" wrapText="1" readingOrder="1"/>
    </xf>
    <xf numFmtId="0" fontId="7" fillId="5" borderId="8" xfId="0" applyFont="1" applyFill="1" applyBorder="1" applyAlignment="1">
      <alignment horizontal="center" vertical="center" wrapText="1" readingOrder="1"/>
    </xf>
    <xf numFmtId="164" fontId="7" fillId="5" borderId="8" xfId="0" applyNumberFormat="1" applyFont="1" applyFill="1" applyBorder="1" applyAlignment="1">
      <alignment horizontal="center" vertical="center" wrapText="1" readingOrder="1"/>
    </xf>
    <xf numFmtId="0" fontId="7" fillId="5" borderId="19" xfId="0" applyFont="1" applyFill="1" applyBorder="1" applyAlignment="1">
      <alignment horizontal="center" vertical="center" wrapText="1" readingOrder="1"/>
    </xf>
    <xf numFmtId="165" fontId="7" fillId="5" borderId="8" xfId="0" applyNumberFormat="1" applyFont="1" applyFill="1" applyBorder="1" applyAlignment="1">
      <alignment horizontal="center" vertical="center" wrapText="1" readingOrder="1"/>
    </xf>
    <xf numFmtId="166" fontId="7" fillId="5" borderId="8" xfId="0" applyNumberFormat="1" applyFont="1" applyFill="1" applyBorder="1" applyAlignment="1">
      <alignment horizontal="center" vertical="center" wrapText="1" readingOrder="1"/>
    </xf>
    <xf numFmtId="166" fontId="7" fillId="5" borderId="7" xfId="0" applyNumberFormat="1" applyFont="1" applyFill="1" applyBorder="1" applyAlignment="1">
      <alignment horizontal="center" vertical="center" wrapText="1" readingOrder="1"/>
    </xf>
    <xf numFmtId="165" fontId="7" fillId="0" borderId="17" xfId="0" applyNumberFormat="1" applyFont="1" applyBorder="1" applyAlignment="1">
      <alignment horizontal="center" vertical="center" wrapText="1" readingOrder="1"/>
    </xf>
    <xf numFmtId="165" fontId="7" fillId="5" borderId="19" xfId="0" applyNumberFormat="1" applyFont="1" applyFill="1" applyBorder="1" applyAlignment="1">
      <alignment horizontal="center" vertical="center" wrapText="1" readingOrder="1"/>
    </xf>
    <xf numFmtId="0" fontId="7" fillId="0" borderId="20" xfId="0" applyFont="1" applyBorder="1" applyAlignment="1">
      <alignment horizontal="center" vertical="center" wrapText="1" readingOrder="1"/>
    </xf>
    <xf numFmtId="164" fontId="7" fillId="0" borderId="20" xfId="0" applyNumberFormat="1" applyFont="1" applyBorder="1" applyAlignment="1">
      <alignment horizontal="center" vertical="center" wrapText="1" readingOrder="1"/>
    </xf>
    <xf numFmtId="0" fontId="7" fillId="0" borderId="21" xfId="0" applyFont="1" applyBorder="1" applyAlignment="1">
      <alignment horizontal="center" vertical="center" wrapText="1" readingOrder="1"/>
    </xf>
    <xf numFmtId="165" fontId="7" fillId="0" borderId="20" xfId="0" applyNumberFormat="1" applyFont="1" applyBorder="1" applyAlignment="1">
      <alignment horizontal="center" vertical="center" wrapText="1" readingOrder="1"/>
    </xf>
    <xf numFmtId="166" fontId="7" fillId="0" borderId="20" xfId="0" applyNumberFormat="1" applyFont="1" applyBorder="1" applyAlignment="1">
      <alignment horizontal="center" vertical="center" wrapText="1" readingOrder="1"/>
    </xf>
    <xf numFmtId="166" fontId="7" fillId="0" borderId="22" xfId="0" applyNumberFormat="1" applyFont="1" applyBorder="1" applyAlignment="1">
      <alignment horizontal="center" vertical="center" wrapText="1" readingOrder="1"/>
    </xf>
    <xf numFmtId="164" fontId="2" fillId="0" borderId="0" xfId="0" applyNumberFormat="1" applyFont="1"/>
    <xf numFmtId="0" fontId="7" fillId="5" borderId="1" xfId="0" applyFont="1" applyFill="1" applyBorder="1" applyAlignment="1">
      <alignment horizontal="left" vertical="center" readingOrder="1"/>
    </xf>
    <xf numFmtId="0" fontId="8" fillId="0" borderId="0" xfId="0" applyFont="1" applyAlignment="1"/>
    <xf numFmtId="167" fontId="8" fillId="0" borderId="0" xfId="0" applyNumberFormat="1" applyFont="1" applyAlignment="1"/>
    <xf numFmtId="0" fontId="2" fillId="0" borderId="0" xfId="0" applyFont="1" applyAlignment="1">
      <alignment horizontal="center"/>
    </xf>
    <xf numFmtId="0" fontId="2" fillId="3" borderId="1" xfId="0" applyFont="1" applyFill="1" applyBorder="1" applyAlignment="1">
      <alignment horizontal="center"/>
    </xf>
    <xf numFmtId="0" fontId="2" fillId="7" borderId="1" xfId="0" applyFont="1" applyFill="1" applyBorder="1" applyAlignment="1">
      <alignment horizontal="center"/>
    </xf>
    <xf numFmtId="0" fontId="2" fillId="0" borderId="25" xfId="0" applyFont="1" applyBorder="1"/>
    <xf numFmtId="0" fontId="2" fillId="0" borderId="25" xfId="0" applyFont="1" applyBorder="1" applyAlignment="1">
      <alignment horizontal="right"/>
    </xf>
    <xf numFmtId="0" fontId="2" fillId="0" borderId="25" xfId="0" applyFont="1" applyBorder="1" applyAlignment="1">
      <alignment horizontal="center"/>
    </xf>
    <xf numFmtId="0" fontId="2" fillId="3" borderId="26" xfId="0" applyFont="1" applyFill="1" applyBorder="1" applyAlignment="1">
      <alignment horizontal="center"/>
    </xf>
    <xf numFmtId="0" fontId="2" fillId="7" borderId="26" xfId="0" applyFont="1" applyFill="1" applyBorder="1" applyAlignment="1">
      <alignment horizontal="center"/>
    </xf>
    <xf numFmtId="164" fontId="2" fillId="3" borderId="1" xfId="0" applyNumberFormat="1" applyFont="1" applyFill="1" applyBorder="1"/>
    <xf numFmtId="166" fontId="2" fillId="3" borderId="1" xfId="0" applyNumberFormat="1" applyFont="1" applyFill="1" applyBorder="1"/>
    <xf numFmtId="164" fontId="2" fillId="7" borderId="1" xfId="0" applyNumberFormat="1" applyFont="1" applyFill="1" applyBorder="1"/>
    <xf numFmtId="166" fontId="2" fillId="7" borderId="1" xfId="0" applyNumberFormat="1" applyFont="1" applyFill="1" applyBorder="1"/>
    <xf numFmtId="164" fontId="2" fillId="0" borderId="25" xfId="0" applyNumberFormat="1" applyFont="1" applyBorder="1"/>
    <xf numFmtId="164" fontId="2" fillId="3" borderId="26" xfId="0" applyNumberFormat="1" applyFont="1" applyFill="1" applyBorder="1"/>
    <xf numFmtId="166" fontId="2" fillId="3" borderId="26" xfId="0" applyNumberFormat="1" applyFont="1" applyFill="1" applyBorder="1"/>
    <xf numFmtId="164" fontId="2" fillId="7" borderId="26" xfId="0" applyNumberFormat="1" applyFont="1" applyFill="1" applyBorder="1"/>
    <xf numFmtId="166" fontId="2" fillId="7" borderId="26" xfId="0" applyNumberFormat="1" applyFont="1" applyFill="1" applyBorder="1"/>
    <xf numFmtId="0" fontId="4" fillId="3" borderId="2" xfId="0" applyFont="1" applyFill="1" applyBorder="1" applyAlignment="1">
      <alignment horizontal="center" vertical="center" wrapText="1" readingOrder="1"/>
    </xf>
    <xf numFmtId="0" fontId="5" fillId="0" borderId="3" xfId="0" applyFont="1" applyBorder="1"/>
    <xf numFmtId="0" fontId="5" fillId="0" borderId="4" xfId="0" applyFont="1" applyBorder="1"/>
    <xf numFmtId="0" fontId="4" fillId="3" borderId="5" xfId="0" applyFont="1" applyFill="1" applyBorder="1" applyAlignment="1">
      <alignment horizontal="center" vertical="center" wrapText="1" readingOrder="1"/>
    </xf>
    <xf numFmtId="0" fontId="5" fillId="0" borderId="6" xfId="0" applyFont="1" applyBorder="1"/>
    <xf numFmtId="0" fontId="2" fillId="3" borderId="23" xfId="0" applyFont="1" applyFill="1" applyBorder="1" applyAlignment="1">
      <alignment horizontal="center"/>
    </xf>
    <xf numFmtId="0" fontId="5" fillId="0" borderId="24" xfId="0" applyFont="1" applyBorder="1"/>
    <xf numFmtId="0" fontId="2" fillId="7" borderId="23" xfId="0" applyFont="1" applyFill="1" applyBorder="1" applyAlignment="1">
      <alignment horizontal="center"/>
    </xf>
    <xf numFmtId="164" fontId="8" fillId="0" borderId="0" xfId="1" applyNumberFormat="1" applyFont="1"/>
    <xf numFmtId="164" fontId="0" fillId="0" borderId="0" xfId="1" applyNumberFormat="1" applyFont="1" applyAlignment="1"/>
    <xf numFmtId="164" fontId="2" fillId="0" borderId="0" xfId="1" applyNumberFormat="1" applyFont="1"/>
    <xf numFmtId="164" fontId="8" fillId="0" borderId="0" xfId="1" applyNumberFormat="1" applyFont="1" applyAlignment="1"/>
    <xf numFmtId="164" fontId="8" fillId="6" borderId="0" xfId="1" applyNumberFormat="1" applyFont="1" applyFill="1"/>
    <xf numFmtId="9" fontId="0" fillId="0" borderId="0" xfId="2" applyFont="1" applyAlignment="1"/>
    <xf numFmtId="41" fontId="0" fillId="0" borderId="0" xfId="0" applyNumberFormat="1" applyFont="1" applyAlignment="1"/>
    <xf numFmtId="164" fontId="0" fillId="0" borderId="0" xfId="0" applyNumberFormat="1" applyFont="1" applyAlignment="1"/>
    <xf numFmtId="43" fontId="0" fillId="0" borderId="0" xfId="0" applyNumberFormat="1" applyFont="1" applyAlignment="1"/>
    <xf numFmtId="10" fontId="0" fillId="0" borderId="0" xfId="2" applyNumberFormat="1" applyFont="1" applyAlignment="1"/>
    <xf numFmtId="9" fontId="0" fillId="0" borderId="0" xfId="2" applyNumberFormat="1" applyFont="1" applyAlignment="1"/>
    <xf numFmtId="0" fontId="5" fillId="0" borderId="12" xfId="0" applyFont="1" applyBorder="1"/>
    <xf numFmtId="0" fontId="3" fillId="4" borderId="18" xfId="0" applyFont="1" applyFill="1" applyBorder="1" applyAlignment="1">
      <alignment horizontal="center" vertical="center" wrapText="1" readingOrder="1"/>
    </xf>
    <xf numFmtId="0" fontId="3" fillId="2" borderId="24" xfId="0" applyFont="1" applyFill="1" applyBorder="1" applyAlignment="1">
      <alignment horizontal="center" vertical="center" wrapText="1" readingOrder="1"/>
    </xf>
    <xf numFmtId="164" fontId="7" fillId="0" borderId="12" xfId="0" applyNumberFormat="1" applyFont="1" applyBorder="1" applyAlignment="1">
      <alignment horizontal="center" vertical="center" wrapText="1" readingOrder="1"/>
    </xf>
    <xf numFmtId="164" fontId="7" fillId="5" borderId="12" xfId="0" applyNumberFormat="1" applyFont="1" applyFill="1" applyBorder="1" applyAlignment="1">
      <alignment horizontal="center" vertical="center" wrapText="1" readingOrder="1"/>
    </xf>
    <xf numFmtId="164" fontId="7" fillId="0" borderId="27" xfId="0" applyNumberFormat="1" applyFont="1" applyBorder="1" applyAlignment="1">
      <alignment horizontal="center" vertical="center" wrapText="1" readingOrder="1"/>
    </xf>
    <xf numFmtId="164" fontId="10" fillId="0" borderId="0" xfId="1" applyNumberFormat="1" applyFont="1" applyAlignment="1"/>
    <xf numFmtId="165" fontId="7" fillId="0" borderId="28" xfId="0" applyNumberFormat="1" applyFont="1" applyBorder="1" applyAlignment="1">
      <alignment horizontal="center" vertical="center" wrapText="1" readingOrder="1"/>
    </xf>
    <xf numFmtId="0" fontId="11" fillId="0" borderId="0" xfId="0" applyFont="1" applyAlignment="1"/>
    <xf numFmtId="0" fontId="11" fillId="0" borderId="0" xfId="0" applyFont="1" applyAlignment="1">
      <alignment horizontal="center"/>
    </xf>
    <xf numFmtId="164" fontId="11" fillId="0" borderId="0" xfId="1" applyNumberFormat="1" applyFont="1" applyAlignment="1"/>
    <xf numFmtId="0" fontId="10" fillId="0" borderId="0" xfId="0" applyFont="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_Admin/Energy%20Management/Data/Energy%20Data%20from%20Paul/Natural%20Gas%20-%20Plant%20Historical%20Data%20-%20December%20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_Admin/EARTH/NOX%20Cap%20Rolling%20Avg%20Spreadheet/NOX%20%20SO2%20CAP%20Trac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09 cu plant gas"/>
      <sheetName val="fy10 cu plant gas "/>
      <sheetName val="fy11 cu plant gas  "/>
      <sheetName val="fy12 cu plant gas  "/>
      <sheetName val="fy13 cu plant gas   "/>
      <sheetName val="fy14 cu plant gas   "/>
      <sheetName val="fy15 cu plant gas"/>
      <sheetName val="fy16 cu plant gas "/>
      <sheetName val="fy17 cu plant gas  "/>
      <sheetName val="fy18 cu plant gas"/>
      <sheetName val="fy19 cu plant gas "/>
      <sheetName val="fy20 cu plant gas  "/>
      <sheetName val="fy21 cu plant gas"/>
      <sheetName val="fy22 cu plant gas "/>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7">
          <cell r="D17">
            <v>2304265.7300000004</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onthly Input"/>
      <sheetName val="12-Month Rolling Totals"/>
      <sheetName val="All Emissions"/>
      <sheetName val="Permitting Information"/>
    </sheetNames>
    <sheetDataSet>
      <sheetData sheetId="0"/>
      <sheetData sheetId="1">
        <row r="33">
          <cell r="FV33">
            <v>1383</v>
          </cell>
          <cell r="FW33">
            <v>1383</v>
          </cell>
          <cell r="FX33">
            <v>1383</v>
          </cell>
          <cell r="FY33">
            <v>1383</v>
          </cell>
          <cell r="FZ33">
            <v>1383</v>
          </cell>
          <cell r="GA33">
            <v>1383</v>
          </cell>
          <cell r="GB33">
            <v>896</v>
          </cell>
          <cell r="GC33">
            <v>896</v>
          </cell>
          <cell r="GD33">
            <v>896</v>
          </cell>
          <cell r="GE33">
            <v>896</v>
          </cell>
          <cell r="GF33">
            <v>896</v>
          </cell>
          <cell r="GG33">
            <v>896</v>
          </cell>
          <cell r="GH33">
            <v>1124</v>
          </cell>
          <cell r="GI33">
            <v>1124</v>
          </cell>
          <cell r="GJ33">
            <v>1124</v>
          </cell>
          <cell r="GK33">
            <v>1124</v>
          </cell>
          <cell r="GL33">
            <v>1124</v>
          </cell>
          <cell r="GM33">
            <v>1124</v>
          </cell>
          <cell r="GN33">
            <v>1439</v>
          </cell>
          <cell r="GO33">
            <v>1439</v>
          </cell>
          <cell r="GP33">
            <v>1439</v>
          </cell>
          <cell r="GQ33">
            <v>1439</v>
          </cell>
          <cell r="GR33">
            <v>1439</v>
          </cell>
          <cell r="GS33">
            <v>1439</v>
          </cell>
        </row>
        <row r="35">
          <cell r="FV35">
            <v>325.75</v>
          </cell>
          <cell r="FW35">
            <v>325.75</v>
          </cell>
          <cell r="FX35">
            <v>325.75</v>
          </cell>
          <cell r="FY35">
            <v>325.75</v>
          </cell>
          <cell r="FZ35">
            <v>325.75</v>
          </cell>
          <cell r="GA35">
            <v>325.75</v>
          </cell>
          <cell r="GB35">
            <v>325.82</v>
          </cell>
          <cell r="GC35">
            <v>325.82</v>
          </cell>
          <cell r="GD35">
            <v>325.82</v>
          </cell>
          <cell r="GE35">
            <v>325.82</v>
          </cell>
          <cell r="GF35">
            <v>325.82</v>
          </cell>
          <cell r="GG35">
            <v>325.82</v>
          </cell>
          <cell r="GH35">
            <v>133.30000000000001</v>
          </cell>
          <cell r="GI35">
            <v>133.30000000000001</v>
          </cell>
          <cell r="GJ35">
            <v>133.30000000000001</v>
          </cell>
          <cell r="GK35">
            <v>133.30000000000001</v>
          </cell>
          <cell r="GL35">
            <v>133.30000000000001</v>
          </cell>
          <cell r="GM35">
            <v>133.30000000000001</v>
          </cell>
          <cell r="GN35">
            <v>858</v>
          </cell>
          <cell r="GO35">
            <v>858</v>
          </cell>
          <cell r="GP35">
            <v>858</v>
          </cell>
          <cell r="GQ35">
            <v>858</v>
          </cell>
          <cell r="GR35">
            <v>858</v>
          </cell>
          <cell r="GS35">
            <v>858</v>
          </cell>
        </row>
      </sheetData>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showGridLines="0" workbookViewId="0">
      <pane xSplit="4" ySplit="4" topLeftCell="H85" activePane="bottomRight" state="frozen"/>
      <selection pane="topRight" activeCell="E1" sqref="E1"/>
      <selection pane="bottomLeft" activeCell="A5" sqref="A5"/>
      <selection pane="bottomRight" activeCell="F112" sqref="F112"/>
    </sheetView>
  </sheetViews>
  <sheetFormatPr defaultColWidth="14.42578125" defaultRowHeight="15" customHeight="1"/>
  <cols>
    <col min="1" max="1" width="11.28515625" customWidth="1"/>
    <col min="2" max="2" width="20.140625" customWidth="1"/>
    <col min="3" max="3" width="33" customWidth="1"/>
    <col min="4" max="5" width="15.42578125" customWidth="1"/>
    <col min="6" max="6" width="13.5703125" customWidth="1"/>
    <col min="7" max="7" width="16.5703125" customWidth="1"/>
    <col min="8" max="9" width="12.85546875" customWidth="1"/>
    <col min="10" max="12" width="12.7109375" customWidth="1"/>
    <col min="13" max="13" width="20" customWidth="1"/>
    <col min="14" max="14" width="24.7109375" customWidth="1"/>
    <col min="15" max="15" width="14.85546875" customWidth="1"/>
    <col min="16" max="16" width="17.85546875" customWidth="1"/>
    <col min="17" max="18" width="14.140625" customWidth="1"/>
    <col min="19" max="21" width="12.7109375" customWidth="1"/>
    <col min="22" max="22" width="21.28515625" customWidth="1"/>
    <col min="23" max="23" width="26" customWidth="1"/>
    <col min="24" max="29" width="8.7109375" customWidth="1"/>
  </cols>
  <sheetData>
    <row r="1" spans="1:23" ht="15" customHeight="1">
      <c r="A1" s="1" t="s">
        <v>0</v>
      </c>
    </row>
    <row r="2" spans="1:23" ht="16.5" customHeight="1">
      <c r="A2" s="2" t="s">
        <v>1</v>
      </c>
      <c r="B2" s="3"/>
      <c r="C2" s="3"/>
      <c r="D2" s="3"/>
      <c r="E2" s="76"/>
      <c r="F2" s="55" t="s">
        <v>2</v>
      </c>
      <c r="G2" s="56"/>
      <c r="H2" s="56"/>
      <c r="I2" s="74"/>
      <c r="J2" s="56"/>
      <c r="K2" s="56"/>
      <c r="L2" s="56"/>
      <c r="M2" s="56"/>
      <c r="N2" s="57"/>
      <c r="O2" s="58" t="s">
        <v>3</v>
      </c>
      <c r="P2" s="56"/>
      <c r="Q2" s="56"/>
      <c r="R2" s="74"/>
      <c r="S2" s="56"/>
      <c r="T2" s="56"/>
      <c r="U2" s="56"/>
      <c r="V2" s="56"/>
      <c r="W2" s="59"/>
    </row>
    <row r="3" spans="1:23" ht="12.75" customHeight="1">
      <c r="A3" s="4"/>
      <c r="B3" s="4"/>
      <c r="C3" s="4"/>
      <c r="D3" s="5" t="s">
        <v>4</v>
      </c>
      <c r="E3" s="9"/>
      <c r="F3" s="6" t="s">
        <v>5</v>
      </c>
      <c r="G3" s="4" t="s">
        <v>5</v>
      </c>
      <c r="H3" s="4" t="s">
        <v>6</v>
      </c>
      <c r="I3" s="75" t="s">
        <v>6</v>
      </c>
      <c r="J3" s="4" t="s">
        <v>5</v>
      </c>
      <c r="K3" s="4" t="s">
        <v>5</v>
      </c>
      <c r="L3" s="4" t="s">
        <v>7</v>
      </c>
      <c r="M3" s="4" t="s">
        <v>5</v>
      </c>
      <c r="N3" s="7" t="s">
        <v>8</v>
      </c>
      <c r="O3" s="8" t="s">
        <v>5</v>
      </c>
      <c r="P3" s="4" t="s">
        <v>5</v>
      </c>
      <c r="Q3" s="4" t="s">
        <v>6</v>
      </c>
      <c r="R3" s="75" t="s">
        <v>6</v>
      </c>
      <c r="S3" s="4" t="s">
        <v>5</v>
      </c>
      <c r="T3" s="4" t="s">
        <v>5</v>
      </c>
      <c r="U3" s="4" t="s">
        <v>7</v>
      </c>
      <c r="V3" s="4" t="s">
        <v>5</v>
      </c>
      <c r="W3" s="9" t="s">
        <v>8</v>
      </c>
    </row>
    <row r="4" spans="1:23" ht="12.75" customHeight="1">
      <c r="A4" s="10" t="s">
        <v>9</v>
      </c>
      <c r="B4" s="10" t="s">
        <v>10</v>
      </c>
      <c r="C4" s="10" t="s">
        <v>11</v>
      </c>
      <c r="D4" s="11" t="s">
        <v>12</v>
      </c>
      <c r="E4" s="11" t="s">
        <v>256</v>
      </c>
      <c r="F4" s="12" t="s">
        <v>13</v>
      </c>
      <c r="G4" s="11" t="s">
        <v>14</v>
      </c>
      <c r="H4" s="11" t="s">
        <v>15</v>
      </c>
      <c r="I4" s="11" t="s">
        <v>257</v>
      </c>
      <c r="J4" s="11" t="s">
        <v>16</v>
      </c>
      <c r="K4" s="11" t="s">
        <v>17</v>
      </c>
      <c r="L4" s="11" t="s">
        <v>18</v>
      </c>
      <c r="M4" s="11" t="s">
        <v>19</v>
      </c>
      <c r="N4" s="11" t="s">
        <v>20</v>
      </c>
      <c r="O4" s="12" t="s">
        <v>13</v>
      </c>
      <c r="P4" s="11" t="s">
        <v>14</v>
      </c>
      <c r="Q4" s="11" t="s">
        <v>15</v>
      </c>
      <c r="R4" s="11" t="s">
        <v>257</v>
      </c>
      <c r="S4" s="11" t="s">
        <v>16</v>
      </c>
      <c r="T4" s="11" t="s">
        <v>17</v>
      </c>
      <c r="U4" s="11" t="s">
        <v>18</v>
      </c>
      <c r="V4" s="11" t="s">
        <v>19</v>
      </c>
      <c r="W4" s="13" t="s">
        <v>20</v>
      </c>
    </row>
    <row r="5" spans="1:23" ht="12.75" customHeight="1">
      <c r="A5" s="14" t="s">
        <v>21</v>
      </c>
      <c r="B5" s="14" t="s">
        <v>22</v>
      </c>
      <c r="C5" s="14" t="s">
        <v>23</v>
      </c>
      <c r="D5" s="15">
        <v>406610</v>
      </c>
      <c r="E5" s="17" t="s">
        <v>255</v>
      </c>
      <c r="F5" s="16"/>
      <c r="G5" s="14"/>
      <c r="H5" s="17">
        <v>3525705.9999999935</v>
      </c>
      <c r="I5" s="17">
        <f>IF($E5="No",H5,"")</f>
        <v>3525705.9999999935</v>
      </c>
      <c r="J5" s="14"/>
      <c r="K5" s="14"/>
      <c r="L5" s="17">
        <v>12660000.000000026</v>
      </c>
      <c r="M5" s="17">
        <f>SUM(F5:G5)+SUM(J5:K5)+H5*3.412</f>
        <v>12029708.871999977</v>
      </c>
      <c r="N5" s="18">
        <f>M5/D5</f>
        <v>29.585373876687679</v>
      </c>
      <c r="O5" s="16"/>
      <c r="P5" s="14"/>
      <c r="Q5" s="17">
        <v>3383067.0000000023</v>
      </c>
      <c r="R5" s="17">
        <f>IF($E5="No",Q5,"")</f>
        <v>3383067.0000000023</v>
      </c>
      <c r="S5" s="14"/>
      <c r="T5" s="14"/>
      <c r="U5" s="17">
        <v>8691999.9999999851</v>
      </c>
      <c r="V5" s="17">
        <f t="shared" ref="V5:V108" si="0">SUM(O5:P5)+SUM(S5:T5)+Q5*3.412</f>
        <v>11543024.604000008</v>
      </c>
      <c r="W5" s="19">
        <f>V5/D5</f>
        <v>28.388442497725112</v>
      </c>
    </row>
    <row r="6" spans="1:23" ht="12.75" customHeight="1">
      <c r="A6" s="14" t="s">
        <v>21</v>
      </c>
      <c r="B6" s="14" t="s">
        <v>24</v>
      </c>
      <c r="C6" s="14" t="s">
        <v>25</v>
      </c>
      <c r="D6" s="15">
        <v>145966.9</v>
      </c>
      <c r="E6" s="17" t="s">
        <v>255</v>
      </c>
      <c r="F6" s="16"/>
      <c r="G6" s="14"/>
      <c r="H6" s="17">
        <v>1696999.9999999935</v>
      </c>
      <c r="I6" s="17">
        <f t="shared" ref="I6:I69" si="1">IF($E6="No",H6,"")</f>
        <v>1696999.9999999935</v>
      </c>
      <c r="J6" s="17">
        <v>10773867.928107336</v>
      </c>
      <c r="K6" s="14"/>
      <c r="L6" s="17">
        <v>2749999.9999999898</v>
      </c>
      <c r="M6" s="17">
        <f>SUM(F6:G6)+SUM(J6:K6)+H6*3.412</f>
        <v>16564031.928107314</v>
      </c>
      <c r="N6" s="18">
        <f>M6/D6</f>
        <v>113.47800034190844</v>
      </c>
      <c r="O6" s="16"/>
      <c r="P6" s="14"/>
      <c r="Q6" s="17">
        <v>1496591.0000000014</v>
      </c>
      <c r="R6" s="17">
        <f t="shared" ref="R6:R69" si="2">IF($E6="No",Q6,"")</f>
        <v>1496591.0000000014</v>
      </c>
      <c r="S6" s="17">
        <v>10125638.545075111</v>
      </c>
      <c r="T6" s="14"/>
      <c r="U6" s="17">
        <v>2170000.0000000023</v>
      </c>
      <c r="V6" s="17">
        <f t="shared" si="0"/>
        <v>15232007.037075115</v>
      </c>
      <c r="W6" s="19">
        <f>V6/D6</f>
        <v>104.35247331467008</v>
      </c>
    </row>
    <row r="7" spans="1:23" ht="12.75" customHeight="1">
      <c r="A7" s="20" t="s">
        <v>21</v>
      </c>
      <c r="B7" s="20" t="s">
        <v>26</v>
      </c>
      <c r="C7" s="20" t="s">
        <v>27</v>
      </c>
      <c r="D7" s="21">
        <v>32699</v>
      </c>
      <c r="E7" s="17" t="s">
        <v>255</v>
      </c>
      <c r="F7" s="22"/>
      <c r="G7" s="20"/>
      <c r="H7" s="23">
        <v>270260</v>
      </c>
      <c r="I7" s="17">
        <f t="shared" si="1"/>
        <v>270260</v>
      </c>
      <c r="J7" s="20"/>
      <c r="K7" s="20"/>
      <c r="L7" s="23">
        <v>829999.99999999558</v>
      </c>
      <c r="M7" s="23">
        <f>SUM(F7:G7)+SUM(J7:K7)+H7*3.412</f>
        <v>922127.12</v>
      </c>
      <c r="N7" s="24">
        <f>M7/D7</f>
        <v>28.200468515856755</v>
      </c>
      <c r="O7" s="22"/>
      <c r="P7" s="20"/>
      <c r="Q7" s="23">
        <v>202274.99999999875</v>
      </c>
      <c r="R7" s="17">
        <f t="shared" si="2"/>
        <v>202274.99999999875</v>
      </c>
      <c r="S7" s="20"/>
      <c r="T7" s="20"/>
      <c r="U7" s="23">
        <v>375999.99999999895</v>
      </c>
      <c r="V7" s="23">
        <f t="shared" si="0"/>
        <v>690162.29999999574</v>
      </c>
      <c r="W7" s="25">
        <f>V7/D7</f>
        <v>21.106526193461445</v>
      </c>
    </row>
    <row r="8" spans="1:23" ht="12.75" customHeight="1">
      <c r="A8" s="14" t="s">
        <v>21</v>
      </c>
      <c r="B8" s="14" t="s">
        <v>28</v>
      </c>
      <c r="C8" s="14" t="s">
        <v>29</v>
      </c>
      <c r="D8" s="15"/>
      <c r="E8" s="17" t="s">
        <v>255</v>
      </c>
      <c r="F8" s="16"/>
      <c r="G8" s="14"/>
      <c r="H8" s="17"/>
      <c r="I8" s="17">
        <f t="shared" si="1"/>
        <v>0</v>
      </c>
      <c r="J8" s="17"/>
      <c r="K8" s="14"/>
      <c r="L8" s="14"/>
      <c r="M8" s="17"/>
      <c r="N8" s="18"/>
      <c r="O8" s="16"/>
      <c r="P8" s="14"/>
      <c r="Q8" s="17">
        <v>8399.9999999999964</v>
      </c>
      <c r="R8" s="17">
        <f t="shared" si="2"/>
        <v>8399.9999999999964</v>
      </c>
      <c r="S8" s="17">
        <v>569560.91430739383</v>
      </c>
      <c r="T8" s="14"/>
      <c r="U8" s="14"/>
      <c r="V8" s="17">
        <f t="shared" si="0"/>
        <v>598221.71430739388</v>
      </c>
      <c r="W8" s="19"/>
    </row>
    <row r="9" spans="1:23" ht="12.75" customHeight="1">
      <c r="A9" s="14" t="s">
        <v>30</v>
      </c>
      <c r="B9" s="14" t="s">
        <v>31</v>
      </c>
      <c r="C9" s="14" t="s">
        <v>32</v>
      </c>
      <c r="D9" s="15">
        <v>134047</v>
      </c>
      <c r="E9" s="17" t="s">
        <v>255</v>
      </c>
      <c r="F9" s="16"/>
      <c r="G9" s="14"/>
      <c r="H9" s="17">
        <v>1489035.9999999958</v>
      </c>
      <c r="I9" s="17">
        <f t="shared" si="1"/>
        <v>1489035.9999999958</v>
      </c>
      <c r="J9" s="17">
        <v>10150113.624508027</v>
      </c>
      <c r="K9" s="14"/>
      <c r="L9" s="17">
        <v>1355999.9999999979</v>
      </c>
      <c r="M9" s="17">
        <f>SUM(F9:G9)+SUM(J9:K9)+H9*3.412</f>
        <v>15230704.456508012</v>
      </c>
      <c r="N9" s="18">
        <f>M9/D9</f>
        <v>113.62212102104495</v>
      </c>
      <c r="O9" s="16"/>
      <c r="P9" s="14"/>
      <c r="Q9" s="17">
        <v>1557276.0000000051</v>
      </c>
      <c r="R9" s="17">
        <f t="shared" si="2"/>
        <v>1557276.0000000051</v>
      </c>
      <c r="S9" s="17">
        <v>9200308.4364774954</v>
      </c>
      <c r="T9" s="14"/>
      <c r="U9" s="17">
        <v>1028999.9999999988</v>
      </c>
      <c r="V9" s="17">
        <f t="shared" si="0"/>
        <v>14513734.148477513</v>
      </c>
      <c r="W9" s="19">
        <f>V9/D9</f>
        <v>108.27347235281292</v>
      </c>
    </row>
    <row r="10" spans="1:23" ht="12.75" customHeight="1">
      <c r="A10" s="14" t="s">
        <v>33</v>
      </c>
      <c r="B10" s="14" t="s">
        <v>34</v>
      </c>
      <c r="C10" s="14" t="s">
        <v>35</v>
      </c>
      <c r="D10" s="15">
        <v>271860.7</v>
      </c>
      <c r="E10" s="17" t="s">
        <v>254</v>
      </c>
      <c r="F10" s="26">
        <v>34519725.450034373</v>
      </c>
      <c r="G10" s="17">
        <v>19937450.863449037</v>
      </c>
      <c r="H10" s="17">
        <v>5814168.9840089995</v>
      </c>
      <c r="I10" s="17" t="str">
        <f t="shared" si="1"/>
        <v/>
      </c>
      <c r="J10" s="14"/>
      <c r="K10" s="17">
        <v>2765353.1481713192</v>
      </c>
      <c r="L10" s="17">
        <v>9004041.4823087249</v>
      </c>
      <c r="M10" s="17">
        <f>SUM(F10:G10)+SUM(J10:K10)+H10*3.412</f>
        <v>77060474.035093442</v>
      </c>
      <c r="N10" s="18">
        <f>M10/D10</f>
        <v>283.45573315706696</v>
      </c>
      <c r="O10" s="26">
        <v>32160994.963390689</v>
      </c>
      <c r="P10" s="17">
        <v>21474136.587713301</v>
      </c>
      <c r="Q10" s="17">
        <v>6084033.4790450018</v>
      </c>
      <c r="R10" s="17" t="str">
        <f t="shared" si="2"/>
        <v/>
      </c>
      <c r="S10" s="14"/>
      <c r="T10" s="17">
        <v>1855077.816994657</v>
      </c>
      <c r="U10" s="17">
        <v>7112326.8498428296</v>
      </c>
      <c r="V10" s="17">
        <f t="shared" si="0"/>
        <v>76248931.598600209</v>
      </c>
      <c r="W10" s="19">
        <f>V10/D10</f>
        <v>280.47059247107143</v>
      </c>
    </row>
    <row r="11" spans="1:23" ht="12.75" customHeight="1">
      <c r="A11" s="14" t="s">
        <v>33</v>
      </c>
      <c r="B11" s="14" t="s">
        <v>36</v>
      </c>
      <c r="C11" s="14" t="s">
        <v>37</v>
      </c>
      <c r="D11" s="15">
        <v>79098.899999999994</v>
      </c>
      <c r="E11" s="17" t="s">
        <v>254</v>
      </c>
      <c r="F11" s="16"/>
      <c r="G11" s="17">
        <v>2779870.967117094</v>
      </c>
      <c r="H11" s="17">
        <v>1520841.2349720038</v>
      </c>
      <c r="I11" s="17" t="str">
        <f t="shared" si="1"/>
        <v/>
      </c>
      <c r="J11" s="14"/>
      <c r="K11" s="17">
        <v>12195705.269574279</v>
      </c>
      <c r="L11" s="14"/>
      <c r="M11" s="14">
        <f>SUM(F11:G11)+SUM(J11:K11)+H11*3.412</f>
        <v>20164686.530415848</v>
      </c>
      <c r="N11" s="18">
        <f>M11/D11</f>
        <v>254.93004998066786</v>
      </c>
      <c r="O11" s="16"/>
      <c r="P11" s="17">
        <v>2733071.2835101709</v>
      </c>
      <c r="Q11" s="17">
        <v>1531109.3955469988</v>
      </c>
      <c r="R11" s="17" t="str">
        <f t="shared" si="2"/>
        <v/>
      </c>
      <c r="S11" s="14"/>
      <c r="T11" s="17">
        <v>6471352.7624426559</v>
      </c>
      <c r="U11" s="14"/>
      <c r="V11" s="14">
        <f t="shared" si="0"/>
        <v>14428569.303559188</v>
      </c>
      <c r="W11" s="19">
        <f>V11/D11</f>
        <v>182.41175671923617</v>
      </c>
    </row>
    <row r="12" spans="1:23" ht="12.75" customHeight="1">
      <c r="A12" s="14" t="s">
        <v>33</v>
      </c>
      <c r="B12" s="14" t="s">
        <v>38</v>
      </c>
      <c r="C12" s="14" t="s">
        <v>39</v>
      </c>
      <c r="D12" s="15">
        <v>1169321.8999999999</v>
      </c>
      <c r="E12" s="17" t="s">
        <v>254</v>
      </c>
      <c r="F12" s="26">
        <v>35657289.674258806</v>
      </c>
      <c r="G12" s="17">
        <v>82862072.953736931</v>
      </c>
      <c r="H12" s="17">
        <v>16666662.351921085</v>
      </c>
      <c r="I12" s="17" t="str">
        <f t="shared" si="1"/>
        <v/>
      </c>
      <c r="J12" s="17">
        <v>1409178.2140655308</v>
      </c>
      <c r="K12" s="17">
        <v>163369522.35558459</v>
      </c>
      <c r="L12" s="17">
        <v>65016043.424899049</v>
      </c>
      <c r="M12" s="17">
        <f>SUM(F12:G12)+SUM(J12:K12)+H12*3.412</f>
        <v>340164715.14240056</v>
      </c>
      <c r="N12" s="18">
        <f>M12/D12</f>
        <v>290.90767490320724</v>
      </c>
      <c r="O12" s="26">
        <v>46816591.142608993</v>
      </c>
      <c r="P12" s="17">
        <v>77286506.213488907</v>
      </c>
      <c r="Q12" s="17">
        <v>15730478.32204503</v>
      </c>
      <c r="R12" s="17" t="str">
        <f t="shared" si="2"/>
        <v/>
      </c>
      <c r="S12" s="17">
        <v>1441237.9665196575</v>
      </c>
      <c r="T12" s="17">
        <v>87491308.274457067</v>
      </c>
      <c r="U12" s="17">
        <v>43394894.299006745</v>
      </c>
      <c r="V12" s="17">
        <f t="shared" si="0"/>
        <v>266708035.63189226</v>
      </c>
      <c r="W12" s="19">
        <f>V12/D12</f>
        <v>228.08777944883465</v>
      </c>
    </row>
    <row r="13" spans="1:23" ht="12.75" customHeight="1">
      <c r="A13" s="14" t="s">
        <v>33</v>
      </c>
      <c r="B13" s="14" t="s">
        <v>40</v>
      </c>
      <c r="C13" s="14" t="s">
        <v>41</v>
      </c>
      <c r="D13" s="15">
        <v>1030970</v>
      </c>
      <c r="E13" s="17" t="s">
        <v>254</v>
      </c>
      <c r="F13" s="26">
        <v>58108205.760669537</v>
      </c>
      <c r="G13" s="17">
        <v>154660237.53676066</v>
      </c>
      <c r="H13" s="17">
        <v>23431876.521057986</v>
      </c>
      <c r="I13" s="17" t="str">
        <f t="shared" si="1"/>
        <v/>
      </c>
      <c r="J13" s="14"/>
      <c r="K13" s="17">
        <f>T13</f>
        <v>72013016.763840601</v>
      </c>
      <c r="L13" s="17">
        <v>9862643.178763397</v>
      </c>
      <c r="M13" s="17">
        <f>SUM(F13:G13)+SUM(J13:K13)+H13*3.412</f>
        <v>364731022.75112063</v>
      </c>
      <c r="N13" s="18">
        <f>M13/D13</f>
        <v>353.77462268651914</v>
      </c>
      <c r="O13" s="26">
        <v>51527305.635726579</v>
      </c>
      <c r="P13" s="17">
        <v>173139414.47792491</v>
      </c>
      <c r="Q13" s="17">
        <v>24317429.115411997</v>
      </c>
      <c r="R13" s="17" t="str">
        <f t="shared" si="2"/>
        <v/>
      </c>
      <c r="S13" s="14"/>
      <c r="T13" s="17">
        <v>72013016.763840601</v>
      </c>
      <c r="U13" s="17">
        <v>8210825.7725008018</v>
      </c>
      <c r="V13" s="17">
        <f t="shared" si="0"/>
        <v>379650805.01927781</v>
      </c>
      <c r="W13" s="19">
        <f>V13/D13</f>
        <v>368.24621959831791</v>
      </c>
    </row>
    <row r="14" spans="1:23" ht="12.75" customHeight="1">
      <c r="A14" s="14" t="s">
        <v>33</v>
      </c>
      <c r="B14" s="14" t="s">
        <v>42</v>
      </c>
      <c r="C14" s="14" t="s">
        <v>43</v>
      </c>
      <c r="D14" s="15">
        <v>175564.79999999999</v>
      </c>
      <c r="E14" s="17" t="s">
        <v>254</v>
      </c>
      <c r="F14" s="26">
        <v>11796322.130696088</v>
      </c>
      <c r="G14" s="17">
        <v>13261384.89187688</v>
      </c>
      <c r="H14" s="17">
        <v>2223567.4713889938</v>
      </c>
      <c r="I14" s="17" t="str">
        <f t="shared" si="1"/>
        <v/>
      </c>
      <c r="J14" s="14"/>
      <c r="K14" s="17">
        <v>1479028.8999368092</v>
      </c>
      <c r="L14" s="17">
        <v>6607103.830644995</v>
      </c>
      <c r="M14" s="17">
        <f>SUM(F14:G14)+SUM(J14:K14)+H14*3.412</f>
        <v>34123548.134889022</v>
      </c>
      <c r="N14" s="18">
        <f>M14/D14</f>
        <v>194.3644063894871</v>
      </c>
      <c r="O14" s="26">
        <v>11286130.245897839</v>
      </c>
      <c r="P14" s="17">
        <v>12159382.978229742</v>
      </c>
      <c r="Q14" s="17">
        <v>2063762.1946630031</v>
      </c>
      <c r="R14" s="17" t="str">
        <f t="shared" si="2"/>
        <v/>
      </c>
      <c r="S14" s="14"/>
      <c r="T14" s="17">
        <v>96563.743724548767</v>
      </c>
      <c r="U14" s="17">
        <v>10335685.835587993</v>
      </c>
      <c r="V14" s="17">
        <f t="shared" si="0"/>
        <v>30583633.576042298</v>
      </c>
      <c r="W14" s="19">
        <f>V14/D14</f>
        <v>174.20139786587231</v>
      </c>
    </row>
    <row r="15" spans="1:23" ht="12.75" customHeight="1">
      <c r="A15" s="20" t="s">
        <v>33</v>
      </c>
      <c r="B15" s="20" t="s">
        <v>44</v>
      </c>
      <c r="C15" s="20" t="s">
        <v>45</v>
      </c>
      <c r="D15" s="21">
        <v>472082.5</v>
      </c>
      <c r="E15" s="17" t="s">
        <v>254</v>
      </c>
      <c r="F15" s="27">
        <v>44252254.709098794</v>
      </c>
      <c r="G15" s="23">
        <v>51535383.694011867</v>
      </c>
      <c r="H15" s="23">
        <v>12275466.87478593</v>
      </c>
      <c r="I15" s="17" t="str">
        <f t="shared" si="1"/>
        <v/>
      </c>
      <c r="J15" s="23">
        <v>1862207.3315312762</v>
      </c>
      <c r="K15" s="23">
        <v>124985212.32935008</v>
      </c>
      <c r="L15" s="23">
        <v>13544449.932796001</v>
      </c>
      <c r="M15" s="23">
        <f>SUM(F15:G15)+SUM(J15:K15)+H15*3.412</f>
        <v>264518951.04076162</v>
      </c>
      <c r="N15" s="24">
        <f>M15/D15</f>
        <v>560.32356853041915</v>
      </c>
      <c r="O15" s="27">
        <v>41743336.469727993</v>
      </c>
      <c r="P15" s="23">
        <v>50436815.44025977</v>
      </c>
      <c r="Q15" s="23">
        <v>12260293.10360386</v>
      </c>
      <c r="R15" s="17" t="str">
        <f t="shared" si="2"/>
        <v/>
      </c>
      <c r="S15" s="23">
        <v>1966441.5516669061</v>
      </c>
      <c r="T15" s="23">
        <v>117065053.76918224</v>
      </c>
      <c r="U15" s="23">
        <v>0</v>
      </c>
      <c r="V15" s="23">
        <f t="shared" si="0"/>
        <v>253043767.30033326</v>
      </c>
      <c r="W15" s="25">
        <f>V15/D15</f>
        <v>536.01598724869757</v>
      </c>
    </row>
    <row r="16" spans="1:23" ht="12.75" customHeight="1">
      <c r="A16" s="20" t="s">
        <v>33</v>
      </c>
      <c r="B16" s="20" t="s">
        <v>46</v>
      </c>
      <c r="C16" s="20" t="s">
        <v>47</v>
      </c>
      <c r="D16" s="21">
        <v>654696.4</v>
      </c>
      <c r="E16" s="17" t="s">
        <v>254</v>
      </c>
      <c r="F16" s="22"/>
      <c r="G16" s="20"/>
      <c r="H16" s="23">
        <v>673959.73565379903</v>
      </c>
      <c r="I16" s="17" t="str">
        <f t="shared" si="1"/>
        <v/>
      </c>
      <c r="J16" s="20"/>
      <c r="K16" s="20"/>
      <c r="L16" s="23">
        <v>76987.309084969922</v>
      </c>
      <c r="M16" s="23">
        <f>SUM(F16:G16)+SUM(J16:K16)+H16*3.412</f>
        <v>2299550.6180507625</v>
      </c>
      <c r="N16" s="24">
        <f>M16/D16</f>
        <v>3.5123923364337459</v>
      </c>
      <c r="O16" s="22"/>
      <c r="P16" s="20"/>
      <c r="Q16" s="23">
        <v>662714.22772739828</v>
      </c>
      <c r="R16" s="17" t="str">
        <f t="shared" si="2"/>
        <v/>
      </c>
      <c r="S16" s="20"/>
      <c r="T16" s="20"/>
      <c r="U16" s="23">
        <v>50433.984524782049</v>
      </c>
      <c r="V16" s="23">
        <f t="shared" si="0"/>
        <v>2261180.945005883</v>
      </c>
      <c r="W16" s="25">
        <f>V16/D16</f>
        <v>3.453785517998698</v>
      </c>
    </row>
    <row r="17" spans="1:23" ht="12.75" customHeight="1">
      <c r="A17" s="14" t="s">
        <v>33</v>
      </c>
      <c r="B17" s="14" t="s">
        <v>48</v>
      </c>
      <c r="C17" s="14" t="s">
        <v>49</v>
      </c>
      <c r="D17" s="15">
        <v>235913.8</v>
      </c>
      <c r="E17" s="17" t="s">
        <v>254</v>
      </c>
      <c r="F17" s="26">
        <v>14737627.110000018</v>
      </c>
      <c r="G17" s="17">
        <v>27218762.255159955</v>
      </c>
      <c r="H17" s="17">
        <v>9470442.5652199928</v>
      </c>
      <c r="I17" s="17" t="str">
        <f t="shared" si="1"/>
        <v/>
      </c>
      <c r="J17" s="17">
        <v>22683.975909327954</v>
      </c>
      <c r="K17" s="17">
        <v>47517247.486664057</v>
      </c>
      <c r="L17" s="17">
        <v>8847999.9999999907</v>
      </c>
      <c r="M17" s="17">
        <f>SUM(F17:G17)+SUM(J17:K17)+H17*3.412</f>
        <v>121809470.86026397</v>
      </c>
      <c r="N17" s="18">
        <f>M17/D17</f>
        <v>516.33041755193631</v>
      </c>
      <c r="O17" s="26">
        <v>16248418.359999983</v>
      </c>
      <c r="P17" s="17">
        <v>29757341.598922826</v>
      </c>
      <c r="Q17" s="17">
        <v>9567373.716056997</v>
      </c>
      <c r="R17" s="17" t="str">
        <f t="shared" si="2"/>
        <v/>
      </c>
      <c r="S17" s="17">
        <v>15799.73443353728</v>
      </c>
      <c r="T17" s="17">
        <v>50840794.208993025</v>
      </c>
      <c r="U17" s="17">
        <v>9357999.9999999758</v>
      </c>
      <c r="V17" s="17">
        <f t="shared" si="0"/>
        <v>129506233.02153586</v>
      </c>
      <c r="W17" s="19">
        <f>V17/D17</f>
        <v>548.95573307511415</v>
      </c>
    </row>
    <row r="18" spans="1:23" ht="12.75" customHeight="1">
      <c r="A18" s="20" t="s">
        <v>33</v>
      </c>
      <c r="B18" s="20" t="s">
        <v>50</v>
      </c>
      <c r="C18" s="20" t="s">
        <v>51</v>
      </c>
      <c r="D18" s="21">
        <v>92028.9</v>
      </c>
      <c r="E18" s="17" t="s">
        <v>255</v>
      </c>
      <c r="F18" s="22"/>
      <c r="G18" s="23">
        <v>6850591.0525739752</v>
      </c>
      <c r="H18" s="23">
        <v>1499507.95944821</v>
      </c>
      <c r="I18" s="17">
        <f t="shared" si="1"/>
        <v>1499507.95944821</v>
      </c>
      <c r="J18" s="23">
        <v>-310.19111300801427</v>
      </c>
      <c r="K18" s="23">
        <v>8288975.4249632237</v>
      </c>
      <c r="L18" s="23">
        <v>2536022.9433050263</v>
      </c>
      <c r="M18" s="23">
        <f>SUM(F18:G18)+SUM(J18:K18)+H18*3.412</f>
        <v>20255577.44406148</v>
      </c>
      <c r="N18" s="24">
        <f>M18/D18</f>
        <v>220.10017987894543</v>
      </c>
      <c r="O18" s="22"/>
      <c r="P18" s="23">
        <v>7160674.1591750355</v>
      </c>
      <c r="Q18" s="23">
        <v>1602154.9193579513</v>
      </c>
      <c r="R18" s="17">
        <f t="shared" si="2"/>
        <v>1602154.9193579513</v>
      </c>
      <c r="S18" s="23">
        <v>0</v>
      </c>
      <c r="T18" s="23">
        <v>5974013.6740094833</v>
      </c>
      <c r="U18" s="23">
        <v>2707465.0698989364</v>
      </c>
      <c r="V18" s="23">
        <f t="shared" si="0"/>
        <v>18601240.418033846</v>
      </c>
      <c r="W18" s="25">
        <f>V18/D18</f>
        <v>202.12390257879696</v>
      </c>
    </row>
    <row r="19" spans="1:23" ht="12.75" customHeight="1">
      <c r="A19" s="14" t="s">
        <v>33</v>
      </c>
      <c r="B19" s="14" t="s">
        <v>52</v>
      </c>
      <c r="C19" s="14" t="s">
        <v>53</v>
      </c>
      <c r="D19" s="15">
        <v>66516.899999999994</v>
      </c>
      <c r="E19" s="17" t="s">
        <v>254</v>
      </c>
      <c r="F19" s="26">
        <v>3321360.4881391982</v>
      </c>
      <c r="G19" s="17">
        <v>4379477.7690520268</v>
      </c>
      <c r="H19" s="17">
        <v>1071693.527267199</v>
      </c>
      <c r="I19" s="17" t="str">
        <f t="shared" si="1"/>
        <v/>
      </c>
      <c r="J19" s="14"/>
      <c r="K19" s="17">
        <v>588569.23533095582</v>
      </c>
      <c r="L19" s="14"/>
      <c r="M19" s="17">
        <f>SUM(F19:G19)+SUM(J19:K19)+H19*3.412</f>
        <v>11946025.807557864</v>
      </c>
      <c r="N19" s="18">
        <f>M19/D19</f>
        <v>179.59384468545386</v>
      </c>
      <c r="O19" s="26">
        <v>4468164.517976705</v>
      </c>
      <c r="P19" s="17">
        <v>5993647.8953857897</v>
      </c>
      <c r="Q19" s="17">
        <v>1084703.2074899003</v>
      </c>
      <c r="R19" s="17" t="str">
        <f t="shared" si="2"/>
        <v/>
      </c>
      <c r="S19" s="14"/>
      <c r="T19" s="17">
        <v>547405.465774165</v>
      </c>
      <c r="U19" s="14"/>
      <c r="V19" s="17">
        <f t="shared" si="0"/>
        <v>14710225.2230922</v>
      </c>
      <c r="W19" s="19">
        <f>V19/D19</f>
        <v>221.15019225328001</v>
      </c>
    </row>
    <row r="20" spans="1:23" ht="12.75" customHeight="1">
      <c r="A20" s="14" t="s">
        <v>33</v>
      </c>
      <c r="B20" s="14" t="s">
        <v>54</v>
      </c>
      <c r="C20" s="14" t="s">
        <v>55</v>
      </c>
      <c r="D20" s="15">
        <v>5618</v>
      </c>
      <c r="E20" s="17" t="s">
        <v>254</v>
      </c>
      <c r="F20" s="16"/>
      <c r="G20" s="14"/>
      <c r="H20" s="17">
        <v>339067.66771516018</v>
      </c>
      <c r="I20" s="17" t="str">
        <f t="shared" si="1"/>
        <v/>
      </c>
      <c r="J20" s="14"/>
      <c r="K20" s="17">
        <v>1833666.6661915325</v>
      </c>
      <c r="L20" s="17">
        <v>3116693.9358198894</v>
      </c>
      <c r="M20" s="17">
        <f>SUM(F20:G20)+SUM(J20:K20)+H20*3.412</f>
        <v>2990565.5484356591</v>
      </c>
      <c r="N20" s="18">
        <f>M20/D20</f>
        <v>532.31853834739388</v>
      </c>
      <c r="O20" s="16"/>
      <c r="P20" s="14"/>
      <c r="Q20" s="17">
        <v>440948.19932307955</v>
      </c>
      <c r="R20" s="17" t="str">
        <f t="shared" si="2"/>
        <v/>
      </c>
      <c r="S20" s="14"/>
      <c r="T20" s="17">
        <f>K20</f>
        <v>1833666.6661915325</v>
      </c>
      <c r="U20" s="17">
        <v>2432956.5760752391</v>
      </c>
      <c r="V20" s="17">
        <f t="shared" si="0"/>
        <v>3338181.9222818799</v>
      </c>
      <c r="W20" s="19">
        <f>V20/D20</f>
        <v>594.19400539015305</v>
      </c>
    </row>
    <row r="21" spans="1:23" ht="12.75" customHeight="1">
      <c r="A21" s="14" t="s">
        <v>33</v>
      </c>
      <c r="B21" s="14" t="s">
        <v>56</v>
      </c>
      <c r="C21" s="14" t="s">
        <v>57</v>
      </c>
      <c r="D21" s="15">
        <v>152226.9</v>
      </c>
      <c r="E21" s="17" t="s">
        <v>254</v>
      </c>
      <c r="F21" s="26">
        <v>16185547.491458289</v>
      </c>
      <c r="G21" s="17">
        <v>17066812.502935428</v>
      </c>
      <c r="H21" s="17">
        <v>5413170.1902716048</v>
      </c>
      <c r="I21" s="17" t="str">
        <f t="shared" si="1"/>
        <v/>
      </c>
      <c r="J21" s="14"/>
      <c r="K21" s="17">
        <v>22356997.516698875</v>
      </c>
      <c r="L21" s="17">
        <v>5107926.1237094998</v>
      </c>
      <c r="M21" s="17">
        <f>SUM(F21:G21)+SUM(J21:K21)+H21*3.412</f>
        <v>74079094.200299308</v>
      </c>
      <c r="N21" s="18">
        <f>M21/D21</f>
        <v>486.6360295079208</v>
      </c>
      <c r="O21" s="26">
        <v>15477994.037840823</v>
      </c>
      <c r="P21" s="17">
        <v>17464662.562851246</v>
      </c>
      <c r="Q21" s="17">
        <v>5289890.3204519954</v>
      </c>
      <c r="R21" s="17" t="str">
        <f t="shared" si="2"/>
        <v/>
      </c>
      <c r="S21" s="14"/>
      <c r="T21" s="17">
        <v>22337142.728839971</v>
      </c>
      <c r="U21" s="17">
        <v>4607712.5710660815</v>
      </c>
      <c r="V21" s="17">
        <f t="shared" si="0"/>
        <v>73328905.102914244</v>
      </c>
      <c r="W21" s="19">
        <f>V21/D21</f>
        <v>481.7079314031505</v>
      </c>
    </row>
    <row r="22" spans="1:23" ht="12.75" customHeight="1">
      <c r="A22" s="20" t="s">
        <v>33</v>
      </c>
      <c r="B22" s="20" t="s">
        <v>58</v>
      </c>
      <c r="C22" s="20" t="s">
        <v>59</v>
      </c>
      <c r="D22" s="21">
        <v>175847.8</v>
      </c>
      <c r="E22" s="17" t="s">
        <v>254</v>
      </c>
      <c r="F22" s="27">
        <v>18858336.574421678</v>
      </c>
      <c r="G22" s="23">
        <v>10233336.833165983</v>
      </c>
      <c r="H22" s="23">
        <v>5619363.3667650009</v>
      </c>
      <c r="I22" s="17" t="str">
        <f t="shared" si="1"/>
        <v/>
      </c>
      <c r="J22" s="20"/>
      <c r="K22" s="23">
        <v>12696459.334564732</v>
      </c>
      <c r="L22" s="23">
        <v>4354698.2526881993</v>
      </c>
      <c r="M22" s="23">
        <f>SUM(F22:G22)+SUM(J22:K22)+H22*3.412</f>
        <v>60961400.549554572</v>
      </c>
      <c r="N22" s="24">
        <f>M22/D22</f>
        <v>346.67138599149138</v>
      </c>
      <c r="O22" s="27">
        <v>19447992.771468583</v>
      </c>
      <c r="P22" s="23">
        <v>11415749.637963179</v>
      </c>
      <c r="Q22" s="23">
        <v>5437048.0910220062</v>
      </c>
      <c r="R22" s="17" t="str">
        <f t="shared" si="2"/>
        <v/>
      </c>
      <c r="S22" s="20"/>
      <c r="T22" s="23">
        <v>14783856.332129866</v>
      </c>
      <c r="U22" s="23">
        <v>1133112</v>
      </c>
      <c r="V22" s="23">
        <f t="shared" si="0"/>
        <v>64198806.82812871</v>
      </c>
      <c r="W22" s="25">
        <f>V22/D22</f>
        <v>365.08166055036639</v>
      </c>
    </row>
    <row r="23" spans="1:23" ht="12.75" customHeight="1">
      <c r="A23" s="20" t="s">
        <v>33</v>
      </c>
      <c r="B23" s="20" t="s">
        <v>60</v>
      </c>
      <c r="C23" s="20" t="s">
        <v>61</v>
      </c>
      <c r="D23" s="21">
        <v>1102144</v>
      </c>
      <c r="E23" s="17" t="s">
        <v>254</v>
      </c>
      <c r="F23" s="27">
        <v>18472689.672999986</v>
      </c>
      <c r="G23" s="23">
        <v>23641182.889386434</v>
      </c>
      <c r="H23" s="23">
        <v>5975260.4583330043</v>
      </c>
      <c r="I23" s="17" t="str">
        <f t="shared" si="1"/>
        <v/>
      </c>
      <c r="J23" s="20"/>
      <c r="K23" s="23">
        <v>15048591.327861218</v>
      </c>
      <c r="L23" s="23">
        <v>6519454.9552659988</v>
      </c>
      <c r="M23" s="23">
        <f>SUM(F23:G23)+SUM(J23:K23)+H23*3.412</f>
        <v>77550052.574079856</v>
      </c>
      <c r="N23" s="24">
        <f>M23/D23</f>
        <v>70.362904097903595</v>
      </c>
      <c r="O23" s="27">
        <v>18915482.53300003</v>
      </c>
      <c r="P23" s="23">
        <v>24330392.153148495</v>
      </c>
      <c r="Q23" s="23">
        <v>6115520.6000000006</v>
      </c>
      <c r="R23" s="17" t="str">
        <f t="shared" si="2"/>
        <v/>
      </c>
      <c r="S23" s="20"/>
      <c r="T23" s="23">
        <v>28074775.077342931</v>
      </c>
      <c r="U23" s="23">
        <v>8424347.0943860002</v>
      </c>
      <c r="V23" s="23">
        <f t="shared" si="0"/>
        <v>92186806.050691456</v>
      </c>
      <c r="W23" s="25">
        <f>V23/D23</f>
        <v>83.643159197610714</v>
      </c>
    </row>
    <row r="24" spans="1:23" ht="12.75" customHeight="1">
      <c r="A24" s="20" t="s">
        <v>33</v>
      </c>
      <c r="B24" s="20" t="s">
        <v>62</v>
      </c>
      <c r="C24" s="20" t="s">
        <v>63</v>
      </c>
      <c r="D24" s="21">
        <v>279166.7</v>
      </c>
      <c r="E24" s="17" t="s">
        <v>254</v>
      </c>
      <c r="F24" s="27">
        <v>338999.75585936999</v>
      </c>
      <c r="G24" s="23">
        <v>14499518.468641225</v>
      </c>
      <c r="H24" s="21">
        <v>4647770</v>
      </c>
      <c r="I24" s="17" t="str">
        <f t="shared" si="1"/>
        <v/>
      </c>
      <c r="J24" s="20"/>
      <c r="K24" s="23">
        <v>26258826.523127262</v>
      </c>
      <c r="L24" s="23">
        <v>5497359.3548379987</v>
      </c>
      <c r="M24" s="23">
        <f>SUM(F24:G24)+SUM(J24:K24)+H24*3.412</f>
        <v>56955535.987627856</v>
      </c>
      <c r="N24" s="24">
        <f>M24/D24</f>
        <v>204.01980604286919</v>
      </c>
      <c r="O24" s="27">
        <v>264737.46581586078</v>
      </c>
      <c r="P24" s="23">
        <v>16075184.724465778</v>
      </c>
      <c r="Q24" s="21">
        <v>4509533</v>
      </c>
      <c r="R24" s="17" t="str">
        <f t="shared" si="2"/>
        <v/>
      </c>
      <c r="S24" s="20"/>
      <c r="T24" s="23">
        <v>27287453.642026227</v>
      </c>
      <c r="U24" s="23">
        <v>911074.8387100026</v>
      </c>
      <c r="V24" s="23">
        <f t="shared" si="0"/>
        <v>59013902.428307869</v>
      </c>
      <c r="W24" s="25">
        <f>V24/D24</f>
        <v>211.39305808431976</v>
      </c>
    </row>
    <row r="25" spans="1:23" ht="12.75" customHeight="1">
      <c r="A25" s="14" t="s">
        <v>64</v>
      </c>
      <c r="B25" s="14" t="s">
        <v>65</v>
      </c>
      <c r="C25" s="14" t="s">
        <v>66</v>
      </c>
      <c r="D25" s="15">
        <v>119063.9</v>
      </c>
      <c r="E25" s="17" t="s">
        <v>254</v>
      </c>
      <c r="F25" s="26">
        <v>5489923.1171573084</v>
      </c>
      <c r="G25" s="17">
        <v>4612406.5358872814</v>
      </c>
      <c r="H25" s="17">
        <v>839632.00699999963</v>
      </c>
      <c r="I25" s="17" t="str">
        <f t="shared" si="1"/>
        <v/>
      </c>
      <c r="J25" s="14"/>
      <c r="K25" s="14"/>
      <c r="L25" s="17">
        <v>1414758.2049731188</v>
      </c>
      <c r="M25" s="17">
        <f>SUM(F25:G25)+SUM(J25:K25)+H25*3.412</f>
        <v>12967154.060928587</v>
      </c>
      <c r="N25" s="18">
        <f>M25/D25</f>
        <v>108.90919968965058</v>
      </c>
      <c r="O25" s="26">
        <v>5159065.755208292</v>
      </c>
      <c r="P25" s="17">
        <v>4235173.9189616758</v>
      </c>
      <c r="Q25" s="17">
        <v>761039.4807740011</v>
      </c>
      <c r="R25" s="17" t="str">
        <f t="shared" si="2"/>
        <v/>
      </c>
      <c r="S25" s="14"/>
      <c r="T25" s="14"/>
      <c r="U25" s="17">
        <v>483920.92030199437</v>
      </c>
      <c r="V25" s="17">
        <f t="shared" si="0"/>
        <v>11990906.382570861</v>
      </c>
      <c r="W25" s="19">
        <f>V25/D25</f>
        <v>100.70984053580356</v>
      </c>
    </row>
    <row r="26" spans="1:23" ht="12.75" customHeight="1">
      <c r="A26" s="20" t="s">
        <v>64</v>
      </c>
      <c r="B26" s="20" t="s">
        <v>67</v>
      </c>
      <c r="C26" s="20" t="s">
        <v>68</v>
      </c>
      <c r="D26" s="21">
        <v>7898</v>
      </c>
      <c r="E26" s="17" t="s">
        <v>255</v>
      </c>
      <c r="F26" s="22"/>
      <c r="G26" s="20"/>
      <c r="H26" s="23">
        <v>73200.000000000102</v>
      </c>
      <c r="I26" s="17">
        <f t="shared" si="1"/>
        <v>73200.000000000102</v>
      </c>
      <c r="J26" s="23">
        <v>313433.11044719501</v>
      </c>
      <c r="K26" s="20"/>
      <c r="L26" s="23">
        <v>391999.9999999993</v>
      </c>
      <c r="M26" s="23">
        <f>SUM(F26:G26)+SUM(J26:K26)+H26*3.412</f>
        <v>563191.51044719538</v>
      </c>
      <c r="N26" s="24">
        <f>M26/D26</f>
        <v>71.308117301493468</v>
      </c>
      <c r="O26" s="22"/>
      <c r="P26" s="20"/>
      <c r="Q26" s="23">
        <v>68119.999999999753</v>
      </c>
      <c r="R26" s="17">
        <f t="shared" si="2"/>
        <v>68119.999999999753</v>
      </c>
      <c r="S26" s="23">
        <v>215442.7372314698</v>
      </c>
      <c r="T26" s="20"/>
      <c r="U26" s="23">
        <v>253000</v>
      </c>
      <c r="V26" s="23">
        <f t="shared" si="0"/>
        <v>447868.17723146896</v>
      </c>
      <c r="W26" s="25">
        <f>V26/D26</f>
        <v>56.706530416747142</v>
      </c>
    </row>
    <row r="27" spans="1:23" ht="12.75" customHeight="1">
      <c r="A27" s="14" t="s">
        <v>64</v>
      </c>
      <c r="B27" s="14" t="s">
        <v>69</v>
      </c>
      <c r="C27" s="14" t="s">
        <v>70</v>
      </c>
      <c r="D27" s="15">
        <v>194522.8</v>
      </c>
      <c r="E27" s="17" t="s">
        <v>254</v>
      </c>
      <c r="F27" s="26">
        <v>9012037.1376368199</v>
      </c>
      <c r="G27" s="17">
        <v>5263623.0487297298</v>
      </c>
      <c r="H27" s="17">
        <v>1254616.5833310005</v>
      </c>
      <c r="I27" s="17" t="str">
        <f t="shared" si="1"/>
        <v/>
      </c>
      <c r="J27" s="14"/>
      <c r="K27" s="14"/>
      <c r="L27" s="17">
        <v>1052020.872575951</v>
      </c>
      <c r="M27" s="17">
        <f>SUM(F27:G27)+SUM(J27:K27)+H27*3.412</f>
        <v>18556411.968691923</v>
      </c>
      <c r="N27" s="18">
        <f>M27/D27</f>
        <v>95.394534567114619</v>
      </c>
      <c r="O27" s="26">
        <v>13457253.630851811</v>
      </c>
      <c r="P27" s="17">
        <v>6020558.1558344513</v>
      </c>
      <c r="Q27" s="17">
        <v>1208392.5338180002</v>
      </c>
      <c r="R27" s="17" t="str">
        <f t="shared" si="2"/>
        <v/>
      </c>
      <c r="S27" s="14"/>
      <c r="T27" s="14"/>
      <c r="U27" s="17">
        <v>1754632136.1747291</v>
      </c>
      <c r="V27" s="17">
        <f t="shared" si="0"/>
        <v>23600847.11207328</v>
      </c>
      <c r="W27" s="19">
        <f>V27/D27</f>
        <v>121.32689387605608</v>
      </c>
    </row>
    <row r="28" spans="1:23" ht="12.75" customHeight="1">
      <c r="A28" s="14" t="s">
        <v>64</v>
      </c>
      <c r="B28" s="14" t="s">
        <v>71</v>
      </c>
      <c r="C28" s="14" t="s">
        <v>72</v>
      </c>
      <c r="D28" s="15">
        <v>57427.9</v>
      </c>
      <c r="E28" s="17" t="s">
        <v>255</v>
      </c>
      <c r="F28" s="16"/>
      <c r="G28" s="14"/>
      <c r="H28" s="17">
        <v>466482.8</v>
      </c>
      <c r="I28" s="17">
        <f t="shared" si="1"/>
        <v>466482.8</v>
      </c>
      <c r="J28" s="14"/>
      <c r="K28" s="14"/>
      <c r="L28" s="14"/>
      <c r="M28" s="14">
        <f>SUM(F28:G28)+SUM(J28:K28)+H28*3.412</f>
        <v>1591639.3136</v>
      </c>
      <c r="N28" s="18">
        <f>M28/D28</f>
        <v>27.715436462068087</v>
      </c>
      <c r="O28" s="16"/>
      <c r="P28" s="14"/>
      <c r="Q28" s="17">
        <v>397010.57899999997</v>
      </c>
      <c r="R28" s="17">
        <f t="shared" si="2"/>
        <v>397010.57899999997</v>
      </c>
      <c r="S28" s="14"/>
      <c r="T28" s="14"/>
      <c r="U28" s="14"/>
      <c r="V28" s="14">
        <f t="shared" si="0"/>
        <v>1354600.095548</v>
      </c>
      <c r="W28" s="19">
        <f>V28/D28</f>
        <v>23.587839631050411</v>
      </c>
    </row>
    <row r="29" spans="1:23" ht="12.75" customHeight="1">
      <c r="A29" s="20" t="s">
        <v>64</v>
      </c>
      <c r="B29" s="20" t="s">
        <v>73</v>
      </c>
      <c r="C29" s="20" t="s">
        <v>74</v>
      </c>
      <c r="D29" s="21">
        <v>57427.9</v>
      </c>
      <c r="E29" s="17" t="s">
        <v>255</v>
      </c>
      <c r="F29" s="22"/>
      <c r="G29" s="20"/>
      <c r="H29" s="23">
        <v>403109.99999999994</v>
      </c>
      <c r="I29" s="17">
        <f t="shared" si="1"/>
        <v>403109.99999999994</v>
      </c>
      <c r="J29" s="20"/>
      <c r="K29" s="20"/>
      <c r="L29" s="20"/>
      <c r="M29" s="20">
        <f>SUM(F29:G29)+SUM(J29:K29)+H29*3.412</f>
        <v>1375411.3199999998</v>
      </c>
      <c r="N29" s="24">
        <f>M29/D29</f>
        <v>23.950228373316801</v>
      </c>
      <c r="O29" s="22"/>
      <c r="P29" s="20"/>
      <c r="Q29" s="23">
        <v>370559.94444500038</v>
      </c>
      <c r="R29" s="17">
        <f t="shared" si="2"/>
        <v>370559.94444500038</v>
      </c>
      <c r="S29" s="20"/>
      <c r="T29" s="20"/>
      <c r="U29" s="20"/>
      <c r="V29" s="20">
        <f t="shared" si="0"/>
        <v>1264350.5304463413</v>
      </c>
      <c r="W29" s="25">
        <f>V29/D29</f>
        <v>22.016311417383211</v>
      </c>
    </row>
    <row r="30" spans="1:23" ht="12.75" customHeight="1">
      <c r="A30" s="20" t="s">
        <v>64</v>
      </c>
      <c r="B30" s="20" t="s">
        <v>75</v>
      </c>
      <c r="C30" s="20" t="s">
        <v>76</v>
      </c>
      <c r="D30" s="21">
        <v>3421</v>
      </c>
      <c r="E30" s="17" t="s">
        <v>255</v>
      </c>
      <c r="F30" s="22"/>
      <c r="G30" s="20"/>
      <c r="H30" s="23">
        <v>28642.000000000175</v>
      </c>
      <c r="I30" s="17">
        <f t="shared" si="1"/>
        <v>28642.000000000175</v>
      </c>
      <c r="J30" s="23">
        <v>120438.43826848028</v>
      </c>
      <c r="K30" s="20"/>
      <c r="L30" s="20"/>
      <c r="M30" s="23">
        <f>SUM(F30:G30)+SUM(J30:K30)+H30*3.412</f>
        <v>218164.9422684809</v>
      </c>
      <c r="N30" s="24">
        <f>M30/D30</f>
        <v>63.772271928816394</v>
      </c>
      <c r="O30" s="22"/>
      <c r="P30" s="20"/>
      <c r="Q30" s="23">
        <v>24903.999999999956</v>
      </c>
      <c r="R30" s="17">
        <f t="shared" si="2"/>
        <v>24903.999999999956</v>
      </c>
      <c r="S30" s="23">
        <v>109056.26167222306</v>
      </c>
      <c r="T30" s="20"/>
      <c r="U30" s="20"/>
      <c r="V30" s="23">
        <f t="shared" si="0"/>
        <v>194028.7096722229</v>
      </c>
      <c r="W30" s="25">
        <f>V30/D30</f>
        <v>56.716956934294913</v>
      </c>
    </row>
    <row r="31" spans="1:23" ht="12.75" customHeight="1">
      <c r="A31" s="20" t="s">
        <v>64</v>
      </c>
      <c r="B31" s="20" t="s">
        <v>77</v>
      </c>
      <c r="C31" s="20" t="s">
        <v>78</v>
      </c>
      <c r="D31" s="21">
        <v>131672.9</v>
      </c>
      <c r="E31" s="17" t="s">
        <v>255</v>
      </c>
      <c r="F31" s="22"/>
      <c r="G31" s="20"/>
      <c r="H31" s="20"/>
      <c r="I31" s="17">
        <f t="shared" si="1"/>
        <v>0</v>
      </c>
      <c r="J31" s="23">
        <v>11662005.121638969</v>
      </c>
      <c r="K31" s="20"/>
      <c r="L31" s="23">
        <v>9041000.0000001229</v>
      </c>
      <c r="M31" s="23">
        <f>SUM(F31:G31)+SUM(J31:K31)+H31*3.412</f>
        <v>11662005.121638969</v>
      </c>
      <c r="N31" s="24">
        <f>M31/D31</f>
        <v>88.567997831284714</v>
      </c>
      <c r="O31" s="22"/>
      <c r="P31" s="20"/>
      <c r="Q31" s="20"/>
      <c r="R31" s="17">
        <f t="shared" si="2"/>
        <v>0</v>
      </c>
      <c r="S31" s="23">
        <v>10745969.739650061</v>
      </c>
      <c r="T31" s="20"/>
      <c r="U31" s="23">
        <v>15038000.00000011</v>
      </c>
      <c r="V31" s="23">
        <f t="shared" si="0"/>
        <v>10745969.739650061</v>
      </c>
      <c r="W31" s="25">
        <f>V31/D31</f>
        <v>81.611096434042707</v>
      </c>
    </row>
    <row r="32" spans="1:23" ht="12.75" customHeight="1">
      <c r="A32" s="20" t="s">
        <v>64</v>
      </c>
      <c r="B32" s="20" t="s">
        <v>79</v>
      </c>
      <c r="C32" s="20" t="s">
        <v>80</v>
      </c>
      <c r="D32" s="21">
        <v>232323.8</v>
      </c>
      <c r="E32" s="78" t="s">
        <v>255</v>
      </c>
      <c r="F32" s="22"/>
      <c r="G32" s="20"/>
      <c r="H32" s="23">
        <v>617707.00000001607</v>
      </c>
      <c r="I32" s="17">
        <f t="shared" si="1"/>
        <v>617707.00000001607</v>
      </c>
      <c r="J32" s="23">
        <v>14291074.927680593</v>
      </c>
      <c r="K32" s="20"/>
      <c r="L32" s="23">
        <v>6632999.9999999879</v>
      </c>
      <c r="M32" s="23">
        <f>SUM(F32:G32)+SUM(J32:K32)+H32*3.412</f>
        <v>16398691.211680647</v>
      </c>
      <c r="N32" s="24">
        <f>M32/D32</f>
        <v>70.585498393538018</v>
      </c>
      <c r="O32" s="22"/>
      <c r="P32" s="20"/>
      <c r="Q32" s="23">
        <v>600695.99999999162</v>
      </c>
      <c r="R32" s="17">
        <f t="shared" si="2"/>
        <v>600695.99999999162</v>
      </c>
      <c r="S32" s="23">
        <v>13434897.424953792</v>
      </c>
      <c r="T32" s="20"/>
      <c r="U32" s="23">
        <v>6360000.0000000084</v>
      </c>
      <c r="V32" s="23">
        <f t="shared" si="0"/>
        <v>15484472.176953763</v>
      </c>
      <c r="W32" s="25">
        <f>V32/D32</f>
        <v>66.650391294192687</v>
      </c>
    </row>
    <row r="33" spans="1:23" ht="12.75" customHeight="1">
      <c r="A33" s="14" t="s">
        <v>64</v>
      </c>
      <c r="B33" s="14" t="s">
        <v>81</v>
      </c>
      <c r="C33" s="14" t="s">
        <v>82</v>
      </c>
      <c r="D33" s="15">
        <v>4316</v>
      </c>
      <c r="E33" s="17" t="s">
        <v>255</v>
      </c>
      <c r="F33" s="16"/>
      <c r="G33" s="14"/>
      <c r="H33" s="17">
        <v>131402.00000000023</v>
      </c>
      <c r="I33" s="17">
        <f t="shared" si="1"/>
        <v>131402.00000000023</v>
      </c>
      <c r="J33" s="17">
        <v>459442.54953452596</v>
      </c>
      <c r="K33" s="14"/>
      <c r="L33" s="17">
        <v>28372.827946385019</v>
      </c>
      <c r="M33" s="17">
        <f>SUM(F33:G33)+SUM(J33:K33)+H33*3.412</f>
        <v>907786.17353452672</v>
      </c>
      <c r="N33" s="18">
        <f>M33/D33</f>
        <v>210.33043872440379</v>
      </c>
      <c r="O33" s="16"/>
      <c r="P33" s="14"/>
      <c r="Q33" s="17">
        <v>119709.00000000022</v>
      </c>
      <c r="R33" s="17">
        <f t="shared" si="2"/>
        <v>119709.00000000022</v>
      </c>
      <c r="S33" s="17">
        <v>488868.73646634183</v>
      </c>
      <c r="T33" s="14"/>
      <c r="U33" s="17">
        <v>25634.408102141984</v>
      </c>
      <c r="V33" s="17">
        <f t="shared" si="0"/>
        <v>897315.84446634259</v>
      </c>
      <c r="W33" s="19">
        <f>V33/D33</f>
        <v>207.90450520536206</v>
      </c>
    </row>
    <row r="34" spans="1:23" ht="12.75" customHeight="1">
      <c r="A34" s="20" t="s">
        <v>83</v>
      </c>
      <c r="B34" s="20" t="s">
        <v>84</v>
      </c>
      <c r="C34" s="20" t="s">
        <v>85</v>
      </c>
      <c r="D34" s="21">
        <v>11128</v>
      </c>
      <c r="E34" s="78" t="s">
        <v>255</v>
      </c>
      <c r="F34" s="22"/>
      <c r="G34" s="20"/>
      <c r="H34" s="23">
        <v>63132.000000000196</v>
      </c>
      <c r="I34" s="17">
        <f t="shared" si="1"/>
        <v>63132.000000000196</v>
      </c>
      <c r="J34" s="23">
        <v>505971.73614075093</v>
      </c>
      <c r="K34" s="20"/>
      <c r="L34" s="23">
        <v>16000.000000000024</v>
      </c>
      <c r="M34" s="23">
        <f>SUM(F34:G34)+SUM(J34:K34)+H34*3.412</f>
        <v>721378.12014075159</v>
      </c>
      <c r="N34" s="24">
        <f>M34/D34</f>
        <v>64.825496058658487</v>
      </c>
      <c r="O34" s="22"/>
      <c r="P34" s="20"/>
      <c r="Q34" s="23">
        <v>48024.000000000095</v>
      </c>
      <c r="R34" s="17">
        <f t="shared" si="2"/>
        <v>48024.000000000095</v>
      </c>
      <c r="S34" s="23">
        <v>406940.72177170782</v>
      </c>
      <c r="T34" s="20"/>
      <c r="U34" s="23">
        <v>1000.0000000000005</v>
      </c>
      <c r="V34" s="23">
        <f t="shared" si="0"/>
        <v>570798.60977170814</v>
      </c>
      <c r="W34" s="25">
        <f>V34/D34</f>
        <v>51.293908139082326</v>
      </c>
    </row>
    <row r="35" spans="1:23" ht="12.75" customHeight="1">
      <c r="A35" s="14" t="s">
        <v>83</v>
      </c>
      <c r="B35" s="14" t="s">
        <v>86</v>
      </c>
      <c r="C35" s="14" t="s">
        <v>87</v>
      </c>
      <c r="D35" s="15">
        <v>7116</v>
      </c>
      <c r="E35" s="78" t="s">
        <v>255</v>
      </c>
      <c r="F35" s="16"/>
      <c r="G35" s="14"/>
      <c r="H35" s="17">
        <v>31007.999999999978</v>
      </c>
      <c r="I35" s="17">
        <f t="shared" si="1"/>
        <v>31007.999999999978</v>
      </c>
      <c r="J35" s="17">
        <v>327191.58723384055</v>
      </c>
      <c r="K35" s="14"/>
      <c r="L35" s="17">
        <v>21000.000000000007</v>
      </c>
      <c r="M35" s="17">
        <f>SUM(F35:G35)+SUM(J35:K35)+H35*3.412</f>
        <v>432990.88323384046</v>
      </c>
      <c r="N35" s="18">
        <f>M35/D35</f>
        <v>60.847510291433451</v>
      </c>
      <c r="O35" s="16"/>
      <c r="P35" s="14"/>
      <c r="Q35" s="17">
        <v>24825.000000000065</v>
      </c>
      <c r="R35" s="17">
        <f t="shared" si="2"/>
        <v>24825.000000000065</v>
      </c>
      <c r="S35" s="17">
        <v>291629.67705221259</v>
      </c>
      <c r="T35" s="14"/>
      <c r="U35" s="17">
        <v>10000.000000000004</v>
      </c>
      <c r="V35" s="17">
        <f t="shared" si="0"/>
        <v>376332.57705221279</v>
      </c>
      <c r="W35" s="19">
        <f>V35/D35</f>
        <v>52.885409928641479</v>
      </c>
    </row>
    <row r="36" spans="1:23" ht="12.75" customHeight="1">
      <c r="A36" s="20" t="s">
        <v>83</v>
      </c>
      <c r="B36" s="20" t="s">
        <v>88</v>
      </c>
      <c r="C36" s="20" t="s">
        <v>89</v>
      </c>
      <c r="D36" s="21">
        <v>4356</v>
      </c>
      <c r="E36" s="78" t="s">
        <v>255</v>
      </c>
      <c r="F36" s="22"/>
      <c r="G36" s="20"/>
      <c r="H36" s="23">
        <v>27207.999999999873</v>
      </c>
      <c r="I36" s="17">
        <f t="shared" si="1"/>
        <v>27207.999999999873</v>
      </c>
      <c r="J36" s="23">
        <v>268115.18945321761</v>
      </c>
      <c r="K36" s="20"/>
      <c r="L36" s="23">
        <v>56999.999999999898</v>
      </c>
      <c r="M36" s="23">
        <f>SUM(F36:G36)+SUM(J36:K36)+H36*3.412</f>
        <v>360948.8854532172</v>
      </c>
      <c r="N36" s="24">
        <f>M36/D36</f>
        <v>82.862462225256479</v>
      </c>
      <c r="O36" s="22"/>
      <c r="P36" s="20"/>
      <c r="Q36" s="23">
        <v>18112</v>
      </c>
      <c r="R36" s="17">
        <f t="shared" si="2"/>
        <v>18112</v>
      </c>
      <c r="S36" s="23">
        <v>194800.01896903323</v>
      </c>
      <c r="T36" s="20"/>
      <c r="U36" s="23">
        <v>41000.000000000087</v>
      </c>
      <c r="V36" s="23">
        <f t="shared" si="0"/>
        <v>256598.16296903323</v>
      </c>
      <c r="W36" s="25">
        <f>V36/D36</f>
        <v>58.906832637519109</v>
      </c>
    </row>
    <row r="37" spans="1:23" ht="12.75" customHeight="1">
      <c r="A37" s="14" t="s">
        <v>83</v>
      </c>
      <c r="B37" s="14" t="s">
        <v>90</v>
      </c>
      <c r="C37" s="14" t="s">
        <v>91</v>
      </c>
      <c r="D37" s="15">
        <v>10379</v>
      </c>
      <c r="E37" s="78" t="s">
        <v>255</v>
      </c>
      <c r="F37" s="16"/>
      <c r="G37" s="14"/>
      <c r="H37" s="17">
        <v>62392.999999999731</v>
      </c>
      <c r="I37" s="17">
        <f t="shared" si="1"/>
        <v>62392.999999999731</v>
      </c>
      <c r="J37" s="17">
        <v>367556.45658462512</v>
      </c>
      <c r="K37" s="14"/>
      <c r="L37" s="17">
        <v>77000.000000000116</v>
      </c>
      <c r="M37" s="17">
        <f>SUM(F37:G37)+SUM(J37:K37)+H37*3.412</f>
        <v>580441.37258462422</v>
      </c>
      <c r="N37" s="18">
        <f>M37/D37</f>
        <v>55.924595104020064</v>
      </c>
      <c r="O37" s="16"/>
      <c r="P37" s="14"/>
      <c r="Q37" s="17">
        <v>39603.999999999862</v>
      </c>
      <c r="R37" s="17">
        <f t="shared" si="2"/>
        <v>39603.999999999862</v>
      </c>
      <c r="S37" s="17">
        <v>362863.56522976304</v>
      </c>
      <c r="T37" s="14"/>
      <c r="U37" s="17">
        <v>37999.999999999927</v>
      </c>
      <c r="V37" s="17">
        <f t="shared" si="0"/>
        <v>497992.41322976258</v>
      </c>
      <c r="W37" s="19">
        <f>V37/D37</f>
        <v>47.980770134864876</v>
      </c>
    </row>
    <row r="38" spans="1:23" ht="12.75" customHeight="1">
      <c r="A38" s="20" t="s">
        <v>83</v>
      </c>
      <c r="B38" s="20" t="s">
        <v>92</v>
      </c>
      <c r="C38" s="20" t="s">
        <v>93</v>
      </c>
      <c r="D38" s="21">
        <v>10464</v>
      </c>
      <c r="E38" s="78" t="s">
        <v>255</v>
      </c>
      <c r="F38" s="22"/>
      <c r="G38" s="20"/>
      <c r="H38" s="23">
        <v>54408.999999999774</v>
      </c>
      <c r="I38" s="17">
        <f t="shared" si="1"/>
        <v>54408.999999999774</v>
      </c>
      <c r="J38" s="23">
        <v>677717.55109783215</v>
      </c>
      <c r="K38" s="20"/>
      <c r="L38" s="23">
        <v>78999.99999999984</v>
      </c>
      <c r="M38" s="23">
        <f>SUM(F38:G38)+SUM(J38:K38)+H38*3.412</f>
        <v>863361.05909783137</v>
      </c>
      <c r="N38" s="24">
        <f>M38/D38</f>
        <v>82.507746473416603</v>
      </c>
      <c r="O38" s="22"/>
      <c r="P38" s="20"/>
      <c r="Q38" s="23">
        <v>54310.99999999992</v>
      </c>
      <c r="R38" s="17">
        <f t="shared" si="2"/>
        <v>54310.99999999992</v>
      </c>
      <c r="S38" s="23">
        <v>611516.76388296252</v>
      </c>
      <c r="T38" s="20"/>
      <c r="U38" s="23">
        <v>61000.000000000029</v>
      </c>
      <c r="V38" s="23">
        <f t="shared" si="0"/>
        <v>796825.89588296227</v>
      </c>
      <c r="W38" s="25">
        <f>V38/D38</f>
        <v>76.149263750283097</v>
      </c>
    </row>
    <row r="39" spans="1:23" ht="12.75" customHeight="1">
      <c r="A39" s="14" t="s">
        <v>83</v>
      </c>
      <c r="B39" s="14" t="s">
        <v>94</v>
      </c>
      <c r="C39" s="14" t="s">
        <v>95</v>
      </c>
      <c r="D39" s="15">
        <v>13319</v>
      </c>
      <c r="E39" s="78" t="s">
        <v>255</v>
      </c>
      <c r="F39" s="16"/>
      <c r="G39" s="14"/>
      <c r="H39" s="17">
        <v>71245.999999999563</v>
      </c>
      <c r="I39" s="17">
        <f t="shared" si="1"/>
        <v>71245.999999999563</v>
      </c>
      <c r="J39" s="17">
        <v>523942.80836534384</v>
      </c>
      <c r="K39" s="14"/>
      <c r="L39" s="17">
        <v>179999.99999999965</v>
      </c>
      <c r="M39" s="17">
        <f>SUM(F39:G39)+SUM(J39:K39)+H39*3.412</f>
        <v>767034.1603653424</v>
      </c>
      <c r="N39" s="18">
        <f>M39/D39</f>
        <v>57.589470708412222</v>
      </c>
      <c r="O39" s="16"/>
      <c r="P39" s="14"/>
      <c r="Q39" s="17">
        <v>34556.000000000306</v>
      </c>
      <c r="R39" s="17">
        <f t="shared" si="2"/>
        <v>34556.000000000306</v>
      </c>
      <c r="S39" s="17">
        <v>432026.1772656148</v>
      </c>
      <c r="T39" s="14"/>
      <c r="U39" s="17">
        <v>90000.000000000015</v>
      </c>
      <c r="V39" s="17">
        <f t="shared" si="0"/>
        <v>549931.24926561583</v>
      </c>
      <c r="W39" s="19">
        <f>V39/D39</f>
        <v>41.289229616759201</v>
      </c>
    </row>
    <row r="40" spans="1:23" ht="12.75" customHeight="1">
      <c r="A40" s="14" t="s">
        <v>83</v>
      </c>
      <c r="B40" s="14" t="s">
        <v>96</v>
      </c>
      <c r="C40" s="14" t="s">
        <v>97</v>
      </c>
      <c r="D40" s="15">
        <v>110746.9</v>
      </c>
      <c r="E40" s="78" t="s">
        <v>255</v>
      </c>
      <c r="F40" s="16"/>
      <c r="G40" s="14"/>
      <c r="H40" s="17">
        <v>6232523.0000000093</v>
      </c>
      <c r="I40" s="17">
        <f t="shared" si="1"/>
        <v>6232523.0000000093</v>
      </c>
      <c r="J40" s="17">
        <v>27883609.475031935</v>
      </c>
      <c r="K40" s="14"/>
      <c r="L40" s="17">
        <v>8553999.9999999888</v>
      </c>
      <c r="M40" s="17">
        <f>SUM(F40:G40)+SUM(J40:K40)+H40*3.412</f>
        <v>49148977.951031968</v>
      </c>
      <c r="N40" s="18">
        <f>M40/D40</f>
        <v>443.79551889065942</v>
      </c>
      <c r="O40" s="16"/>
      <c r="P40" s="14"/>
      <c r="Q40" s="17">
        <v>6881018.9999999786</v>
      </c>
      <c r="R40" s="17">
        <f t="shared" si="2"/>
        <v>6881018.9999999786</v>
      </c>
      <c r="S40" s="17">
        <v>34727205.908853844</v>
      </c>
      <c r="T40" s="14"/>
      <c r="U40" s="17">
        <v>11315999.999999994</v>
      </c>
      <c r="V40" s="17">
        <f t="shared" si="0"/>
        <v>58205242.736853771</v>
      </c>
      <c r="W40" s="19">
        <f>V40/D40</f>
        <v>525.56995037200841</v>
      </c>
    </row>
    <row r="41" spans="1:23" ht="12.75" customHeight="1">
      <c r="A41" s="14" t="s">
        <v>83</v>
      </c>
      <c r="B41" s="14" t="s">
        <v>98</v>
      </c>
      <c r="C41" s="14" t="s">
        <v>99</v>
      </c>
      <c r="D41" s="15">
        <v>41965</v>
      </c>
      <c r="E41" s="77" t="s">
        <v>255</v>
      </c>
      <c r="F41" s="16"/>
      <c r="G41" s="14"/>
      <c r="H41" s="17">
        <v>7423389.0000000102</v>
      </c>
      <c r="I41" s="17">
        <f t="shared" si="1"/>
        <v>7423389.0000000102</v>
      </c>
      <c r="J41" s="17">
        <v>282063.78337364306</v>
      </c>
      <c r="K41" s="14"/>
      <c r="L41" s="17">
        <v>2983999.9999999958</v>
      </c>
      <c r="M41" s="17">
        <f>SUM(F41:G41)+SUM(J41:K41)+H41*3.412</f>
        <v>25610667.051373675</v>
      </c>
      <c r="N41" s="18">
        <f>M41/D41</f>
        <v>610.28635890322118</v>
      </c>
      <c r="O41" s="16"/>
      <c r="P41" s="14"/>
      <c r="Q41" s="17">
        <v>7495011.9999999972</v>
      </c>
      <c r="R41" s="17">
        <f t="shared" si="2"/>
        <v>7495011.9999999972</v>
      </c>
      <c r="S41" s="17">
        <v>328042.11125338019</v>
      </c>
      <c r="T41" s="14"/>
      <c r="U41" s="17">
        <v>3236000.0000000112</v>
      </c>
      <c r="V41" s="17">
        <f t="shared" si="0"/>
        <v>25901023.055253372</v>
      </c>
      <c r="W41" s="19">
        <f>V41/D41</f>
        <v>617.2053629275199</v>
      </c>
    </row>
    <row r="42" spans="1:23" ht="12.75" customHeight="1">
      <c r="A42" s="14" t="s">
        <v>83</v>
      </c>
      <c r="B42" s="14" t="s">
        <v>100</v>
      </c>
      <c r="C42" s="14" t="s">
        <v>101</v>
      </c>
      <c r="D42" s="15">
        <v>29873</v>
      </c>
      <c r="E42" s="77" t="s">
        <v>255</v>
      </c>
      <c r="F42" s="16"/>
      <c r="G42" s="14"/>
      <c r="H42" s="17">
        <v>389520.00000000087</v>
      </c>
      <c r="I42" s="17">
        <f t="shared" si="1"/>
        <v>389520.00000000087</v>
      </c>
      <c r="J42" s="17">
        <v>1423467.017593785</v>
      </c>
      <c r="K42" s="14"/>
      <c r="L42" s="17">
        <v>210999.99999999913</v>
      </c>
      <c r="M42" s="17">
        <f>SUM(F42:G42)+SUM(J42:K42)+H42*3.412</f>
        <v>2752509.2575937882</v>
      </c>
      <c r="N42" s="18">
        <f>M42/D42</f>
        <v>92.140369483941626</v>
      </c>
      <c r="O42" s="16"/>
      <c r="P42" s="14"/>
      <c r="Q42" s="17">
        <v>344000.00000000111</v>
      </c>
      <c r="R42" s="17">
        <f t="shared" si="2"/>
        <v>344000.00000000111</v>
      </c>
      <c r="S42" s="17">
        <v>1688780.4808649796</v>
      </c>
      <c r="T42" s="14"/>
      <c r="U42" s="17">
        <v>105000.00000000003</v>
      </c>
      <c r="V42" s="17">
        <f t="shared" si="0"/>
        <v>2862508.4808649831</v>
      </c>
      <c r="W42" s="19">
        <f>V42/D42</f>
        <v>95.82259836189813</v>
      </c>
    </row>
    <row r="43" spans="1:23" ht="12.75" customHeight="1">
      <c r="A43" s="20" t="s">
        <v>83</v>
      </c>
      <c r="B43" s="20" t="s">
        <v>102</v>
      </c>
      <c r="C43" s="20" t="s">
        <v>103</v>
      </c>
      <c r="D43" s="21">
        <v>19009</v>
      </c>
      <c r="E43" s="78" t="s">
        <v>255</v>
      </c>
      <c r="F43" s="22"/>
      <c r="G43" s="20"/>
      <c r="H43" s="23">
        <v>2389000.0000000079</v>
      </c>
      <c r="I43" s="17">
        <f t="shared" si="1"/>
        <v>2389000.0000000079</v>
      </c>
      <c r="J43" s="20"/>
      <c r="K43" s="20"/>
      <c r="L43" s="20"/>
      <c r="M43" s="21">
        <f>SUM(F43:G43)+SUM(J43:K43)+H43*3.412</f>
        <v>8151268.000000027</v>
      </c>
      <c r="N43" s="24">
        <f>M43/D43</f>
        <v>428.81098427061011</v>
      </c>
      <c r="O43" s="22"/>
      <c r="P43" s="20"/>
      <c r="Q43" s="23">
        <v>2336999.999999993</v>
      </c>
      <c r="R43" s="17">
        <f t="shared" si="2"/>
        <v>2336999.999999993</v>
      </c>
      <c r="S43" s="20"/>
      <c r="T43" s="20"/>
      <c r="U43" s="20"/>
      <c r="V43" s="20">
        <f t="shared" si="0"/>
        <v>7973843.9999999758</v>
      </c>
      <c r="W43" s="25">
        <f>V43/D43</f>
        <v>419.47730022620738</v>
      </c>
    </row>
    <row r="44" spans="1:23" ht="12.75" customHeight="1">
      <c r="A44" s="20" t="s">
        <v>83</v>
      </c>
      <c r="B44" s="20" t="s">
        <v>104</v>
      </c>
      <c r="C44" s="20" t="s">
        <v>105</v>
      </c>
      <c r="D44" s="21">
        <v>9000</v>
      </c>
      <c r="E44" s="78" t="s">
        <v>255</v>
      </c>
      <c r="F44" s="22"/>
      <c r="G44" s="20"/>
      <c r="H44" s="23">
        <v>71460.000000000276</v>
      </c>
      <c r="I44" s="17">
        <f t="shared" si="1"/>
        <v>71460.000000000276</v>
      </c>
      <c r="J44" s="23">
        <v>832492.91032389912</v>
      </c>
      <c r="K44" s="20"/>
      <c r="L44" s="23">
        <v>17000.000000000029</v>
      </c>
      <c r="M44" s="23">
        <f>SUM(F44:G44)+SUM(J44:K44)+H44*3.412</f>
        <v>1076314.4303239002</v>
      </c>
      <c r="N44" s="24">
        <f>M44/D44</f>
        <v>119.59049225821113</v>
      </c>
      <c r="O44" s="22"/>
      <c r="P44" s="20"/>
      <c r="Q44" s="23">
        <v>57900.000000000124</v>
      </c>
      <c r="R44" s="17">
        <f t="shared" si="2"/>
        <v>57900.000000000124</v>
      </c>
      <c r="S44" s="23">
        <v>756666.19244083948</v>
      </c>
      <c r="T44" s="20"/>
      <c r="U44" s="23">
        <v>6999.9999999999918</v>
      </c>
      <c r="V44" s="23">
        <f t="shared" si="0"/>
        <v>954220.99244083988</v>
      </c>
      <c r="W44" s="25">
        <f>V44/D44</f>
        <v>106.02455471564888</v>
      </c>
    </row>
    <row r="45" spans="1:23" ht="12.75" customHeight="1">
      <c r="A45" s="20" t="s">
        <v>106</v>
      </c>
      <c r="B45" s="20" t="s">
        <v>107</v>
      </c>
      <c r="C45" s="20" t="s">
        <v>108</v>
      </c>
      <c r="D45" s="21">
        <v>313147.7</v>
      </c>
      <c r="E45" s="78" t="s">
        <v>254</v>
      </c>
      <c r="F45" s="27">
        <v>57370305.30400005</v>
      </c>
      <c r="G45" s="23">
        <v>36448359.535956733</v>
      </c>
      <c r="H45" s="23">
        <v>9091619.9840540066</v>
      </c>
      <c r="I45" s="17" t="str">
        <f t="shared" si="1"/>
        <v/>
      </c>
      <c r="J45" s="23">
        <v>44547.446293925081</v>
      </c>
      <c r="K45" s="23">
        <v>12476829.966034066</v>
      </c>
      <c r="L45" s="23">
        <v>4845134</v>
      </c>
      <c r="M45" s="23">
        <f>SUM(F45:G45)+SUM(J45:K45)+H45*3.412</f>
        <v>137360649.63787705</v>
      </c>
      <c r="N45" s="24">
        <f>M45/D45</f>
        <v>438.64492582215053</v>
      </c>
      <c r="O45" s="27">
        <v>59448333.186000057</v>
      </c>
      <c r="P45" s="23">
        <v>44701012.351688072</v>
      </c>
      <c r="Q45" s="23">
        <v>9268084.2843519971</v>
      </c>
      <c r="R45" s="17" t="str">
        <f t="shared" si="2"/>
        <v/>
      </c>
      <c r="S45" s="23">
        <v>42306.065348319047</v>
      </c>
      <c r="T45" s="23">
        <v>17096152.767542969</v>
      </c>
      <c r="U45" s="23">
        <v>4816323.4639999969</v>
      </c>
      <c r="V45" s="23">
        <f t="shared" si="0"/>
        <v>152910507.94878843</v>
      </c>
      <c r="W45" s="25">
        <f>V45/D45</f>
        <v>488.30155210716356</v>
      </c>
    </row>
    <row r="46" spans="1:23" ht="12.75" customHeight="1">
      <c r="A46" s="14" t="s">
        <v>106</v>
      </c>
      <c r="B46" s="14" t="s">
        <v>109</v>
      </c>
      <c r="C46" s="14" t="s">
        <v>110</v>
      </c>
      <c r="D46" s="15">
        <v>108964.9</v>
      </c>
      <c r="E46" s="78" t="s">
        <v>254</v>
      </c>
      <c r="F46" s="26">
        <v>5598888.6584664946</v>
      </c>
      <c r="G46" s="17">
        <v>5927681.408488648</v>
      </c>
      <c r="H46" s="17">
        <v>1702620.5827315003</v>
      </c>
      <c r="I46" s="17" t="str">
        <f t="shared" si="1"/>
        <v/>
      </c>
      <c r="J46" s="14"/>
      <c r="K46" s="14"/>
      <c r="L46" s="17">
        <v>516346.47537608072</v>
      </c>
      <c r="M46" s="17">
        <f>SUM(F46:G46)+SUM(J46:K46)+H46*3.412</f>
        <v>17335911.495235018</v>
      </c>
      <c r="N46" s="18">
        <f>M46/D46</f>
        <v>159.09629151437775</v>
      </c>
      <c r="O46" s="26">
        <v>5427461.9895007052</v>
      </c>
      <c r="P46" s="17">
        <v>5859503.6930586984</v>
      </c>
      <c r="Q46" s="17">
        <v>1632340.4185384009</v>
      </c>
      <c r="R46" s="17" t="str">
        <f t="shared" si="2"/>
        <v/>
      </c>
      <c r="S46" s="14"/>
      <c r="T46" s="14"/>
      <c r="U46" s="17">
        <v>143696.79277771898</v>
      </c>
      <c r="V46" s="17">
        <f t="shared" si="0"/>
        <v>16856511.190612428</v>
      </c>
      <c r="W46" s="19">
        <f>V46/D46</f>
        <v>154.69670683506735</v>
      </c>
    </row>
    <row r="47" spans="1:23" ht="12.75" customHeight="1">
      <c r="A47" s="14" t="s">
        <v>106</v>
      </c>
      <c r="B47" s="14" t="s">
        <v>111</v>
      </c>
      <c r="C47" s="14" t="s">
        <v>112</v>
      </c>
      <c r="D47" s="15">
        <v>60975.9</v>
      </c>
      <c r="E47" s="78" t="s">
        <v>254</v>
      </c>
      <c r="F47" s="26">
        <v>1143999.9999999998</v>
      </c>
      <c r="G47" s="17">
        <v>2334535.831210007</v>
      </c>
      <c r="H47" s="17">
        <v>821481.00005305023</v>
      </c>
      <c r="I47" s="17" t="str">
        <f t="shared" si="1"/>
        <v/>
      </c>
      <c r="J47" s="14"/>
      <c r="K47" s="14"/>
      <c r="L47" s="17">
        <v>249981.16439941199</v>
      </c>
      <c r="M47" s="17">
        <f>SUM(F47:G47)+SUM(J47:K47)+H47*3.412</f>
        <v>6281429.0033910144</v>
      </c>
      <c r="N47" s="18">
        <f>M47/D47</f>
        <v>103.01494530447299</v>
      </c>
      <c r="O47" s="26">
        <v>1747536.1519840402</v>
      </c>
      <c r="P47" s="17">
        <v>2352850.7620416619</v>
      </c>
      <c r="Q47" s="17">
        <v>812811.17491304968</v>
      </c>
      <c r="R47" s="17" t="str">
        <f t="shared" si="2"/>
        <v/>
      </c>
      <c r="S47" s="14"/>
      <c r="T47" s="14"/>
      <c r="U47" s="17">
        <v>170305.75806576305</v>
      </c>
      <c r="V47" s="17">
        <f t="shared" si="0"/>
        <v>6873698.642829027</v>
      </c>
      <c r="W47" s="19">
        <f>V47/D47</f>
        <v>112.72812115653933</v>
      </c>
    </row>
    <row r="48" spans="1:23" ht="12.75" customHeight="1">
      <c r="A48" s="14" t="s">
        <v>106</v>
      </c>
      <c r="B48" s="14" t="s">
        <v>113</v>
      </c>
      <c r="C48" s="14" t="s">
        <v>114</v>
      </c>
      <c r="D48" s="15">
        <v>47286</v>
      </c>
      <c r="E48" s="78" t="s">
        <v>254</v>
      </c>
      <c r="F48" s="26">
        <v>5293707.0203400021</v>
      </c>
      <c r="G48" s="17">
        <v>5146424.7432239857</v>
      </c>
      <c r="H48" s="17">
        <v>1068116.1999999993</v>
      </c>
      <c r="I48" s="17" t="str">
        <f t="shared" si="1"/>
        <v/>
      </c>
      <c r="J48" s="14"/>
      <c r="K48" s="14"/>
      <c r="L48" s="17">
        <v>784133.72709233966</v>
      </c>
      <c r="M48" s="17">
        <f>SUM(F48:G48)+SUM(J48:K48)+H48*3.412</f>
        <v>14084544.237963984</v>
      </c>
      <c r="N48" s="18">
        <f>M48/D48</f>
        <v>297.85865241221467</v>
      </c>
      <c r="O48" s="26">
        <v>4396550.2489177948</v>
      </c>
      <c r="P48" s="17">
        <v>8795623.9930791166</v>
      </c>
      <c r="Q48" s="17">
        <v>980608.93333329819</v>
      </c>
      <c r="R48" s="17" t="str">
        <f t="shared" si="2"/>
        <v/>
      </c>
      <c r="S48" s="14"/>
      <c r="T48" s="14"/>
      <c r="U48" s="17">
        <v>108608.33923284058</v>
      </c>
      <c r="V48" s="17">
        <f t="shared" si="0"/>
        <v>16538011.922530124</v>
      </c>
      <c r="W48" s="19">
        <f>V48/D48</f>
        <v>349.74436244406638</v>
      </c>
    </row>
    <row r="49" spans="1:23" ht="12.75" customHeight="1">
      <c r="A49" s="20" t="s">
        <v>106</v>
      </c>
      <c r="B49" s="20" t="s">
        <v>115</v>
      </c>
      <c r="C49" s="20" t="s">
        <v>116</v>
      </c>
      <c r="D49" s="21">
        <v>4383</v>
      </c>
      <c r="E49" s="78" t="s">
        <v>254</v>
      </c>
      <c r="F49" s="27">
        <v>646999.06046083011</v>
      </c>
      <c r="G49" s="23">
        <v>587160.8496529141</v>
      </c>
      <c r="H49" s="23">
        <v>107300.08984375</v>
      </c>
      <c r="I49" s="17" t="str">
        <f t="shared" si="1"/>
        <v/>
      </c>
      <c r="J49" s="20"/>
      <c r="K49" s="20"/>
      <c r="L49" s="23">
        <v>2192.9880970078011</v>
      </c>
      <c r="M49" s="23">
        <f>SUM(F49:G49)+SUM(J49:K49)+H49*3.412</f>
        <v>1600267.8166606193</v>
      </c>
      <c r="N49" s="24">
        <f>M49/D49</f>
        <v>365.10787512220384</v>
      </c>
      <c r="O49" s="27">
        <v>589035.11164628074</v>
      </c>
      <c r="P49" s="23">
        <v>508836.98571555893</v>
      </c>
      <c r="Q49" s="23">
        <v>107159.83776041004</v>
      </c>
      <c r="R49" s="17" t="str">
        <f t="shared" si="2"/>
        <v/>
      </c>
      <c r="S49" s="20"/>
      <c r="T49" s="20"/>
      <c r="U49" s="23">
        <v>1663.0812209084033</v>
      </c>
      <c r="V49" s="23">
        <f t="shared" si="0"/>
        <v>1463501.4638003586</v>
      </c>
      <c r="W49" s="25">
        <f>V49/D49</f>
        <v>333.90405288623288</v>
      </c>
    </row>
    <row r="50" spans="1:23" ht="12.75" customHeight="1">
      <c r="A50" s="14" t="s">
        <v>106</v>
      </c>
      <c r="B50" s="14" t="s">
        <v>117</v>
      </c>
      <c r="C50" s="14" t="s">
        <v>118</v>
      </c>
      <c r="D50" s="15">
        <v>59913.9</v>
      </c>
      <c r="E50" s="78" t="s">
        <v>254</v>
      </c>
      <c r="F50" s="26">
        <v>3846233.4428685983</v>
      </c>
      <c r="G50" s="17">
        <v>4277585.934830687</v>
      </c>
      <c r="H50" s="17">
        <v>496685.50497901067</v>
      </c>
      <c r="I50" s="17" t="str">
        <f t="shared" si="1"/>
        <v/>
      </c>
      <c r="J50" s="14"/>
      <c r="K50" s="14"/>
      <c r="L50" s="17">
        <v>292866</v>
      </c>
      <c r="M50" s="17">
        <f>SUM(F50:G50)+SUM(J50:K50)+H50*3.412</f>
        <v>9818510.3206876703</v>
      </c>
      <c r="N50" s="18">
        <f>M50/D50</f>
        <v>163.87700217625076</v>
      </c>
      <c r="O50" s="26">
        <v>3886822.9329427034</v>
      </c>
      <c r="P50" s="17">
        <v>4391994.9105409402</v>
      </c>
      <c r="Q50" s="17">
        <v>486218.95806775987</v>
      </c>
      <c r="R50" s="17" t="str">
        <f t="shared" si="2"/>
        <v/>
      </c>
      <c r="S50" s="14"/>
      <c r="T50" s="14"/>
      <c r="U50" s="17">
        <v>291124.53600000014</v>
      </c>
      <c r="V50" s="17">
        <f t="shared" si="0"/>
        <v>9937796.9284108393</v>
      </c>
      <c r="W50" s="19">
        <f>V50/D50</f>
        <v>165.86796934285431</v>
      </c>
    </row>
    <row r="51" spans="1:23" ht="12.75" customHeight="1">
      <c r="A51" s="14" t="s">
        <v>106</v>
      </c>
      <c r="B51" s="14" t="s">
        <v>119</v>
      </c>
      <c r="C51" s="14" t="s">
        <v>120</v>
      </c>
      <c r="D51" s="15">
        <v>113426.9</v>
      </c>
      <c r="E51" s="78" t="s">
        <v>254</v>
      </c>
      <c r="F51" s="26">
        <v>16694316.261600997</v>
      </c>
      <c r="G51" s="17">
        <v>8123208.0303092878</v>
      </c>
      <c r="H51" s="17">
        <v>2559395.1983190048</v>
      </c>
      <c r="I51" s="17" t="str">
        <f t="shared" si="1"/>
        <v/>
      </c>
      <c r="J51" s="14"/>
      <c r="K51" s="17">
        <v>288399.28080300591</v>
      </c>
      <c r="L51" s="17">
        <v>1793845.6019304062</v>
      </c>
      <c r="M51" s="17">
        <f>SUM(F51:G51)+SUM(J51:K51)+H51*3.412</f>
        <v>33838579.989377737</v>
      </c>
      <c r="N51" s="18">
        <f>M51/D51</f>
        <v>298.3294085386953</v>
      </c>
      <c r="O51" s="26">
        <v>18007008.738399014</v>
      </c>
      <c r="P51" s="17">
        <v>7468152.2377388719</v>
      </c>
      <c r="Q51" s="17">
        <v>2740719.3728770004</v>
      </c>
      <c r="R51" s="17" t="str">
        <f t="shared" si="2"/>
        <v/>
      </c>
      <c r="S51" s="14"/>
      <c r="T51" s="17">
        <v>761295.74002762372</v>
      </c>
      <c r="U51" s="17">
        <v>1290886.8312294215</v>
      </c>
      <c r="V51" s="17">
        <f t="shared" si="0"/>
        <v>35587791.216421835</v>
      </c>
      <c r="W51" s="19">
        <f>V51/D51</f>
        <v>313.75089345139327</v>
      </c>
    </row>
    <row r="52" spans="1:23" ht="12.75" customHeight="1">
      <c r="A52" s="20" t="s">
        <v>106</v>
      </c>
      <c r="B52" s="20" t="s">
        <v>121</v>
      </c>
      <c r="C52" s="20" t="s">
        <v>122</v>
      </c>
      <c r="D52" s="21">
        <v>29283</v>
      </c>
      <c r="E52" s="78" t="s">
        <v>254</v>
      </c>
      <c r="F52" s="27">
        <v>2181120.3962677992</v>
      </c>
      <c r="G52" s="23">
        <v>443183.94380279386</v>
      </c>
      <c r="H52" s="23">
        <v>212970.7858477002</v>
      </c>
      <c r="I52" s="17" t="str">
        <f t="shared" si="1"/>
        <v/>
      </c>
      <c r="J52" s="20"/>
      <c r="K52" s="20"/>
      <c r="L52" s="23">
        <v>75206.106852828394</v>
      </c>
      <c r="M52" s="23">
        <f>SUM(F52:G52)+SUM(J52:K52)+H52*3.412</f>
        <v>3350960.6613829462</v>
      </c>
      <c r="N52" s="24">
        <f>M52/D52</f>
        <v>114.43365301994147</v>
      </c>
      <c r="O52" s="27">
        <v>2336023.3617700003</v>
      </c>
      <c r="P52" s="23">
        <v>405306.46224988939</v>
      </c>
      <c r="Q52" s="23">
        <v>238113.76680108998</v>
      </c>
      <c r="R52" s="17" t="str">
        <f t="shared" si="2"/>
        <v/>
      </c>
      <c r="S52" s="20"/>
      <c r="T52" s="20"/>
      <c r="U52" s="23">
        <v>-96265.94891304354</v>
      </c>
      <c r="V52" s="23">
        <f t="shared" si="0"/>
        <v>3553773.996345209</v>
      </c>
      <c r="W52" s="25">
        <f>V52/D52</f>
        <v>121.35962832855954</v>
      </c>
    </row>
    <row r="53" spans="1:23" ht="12.75" customHeight="1">
      <c r="A53" s="20" t="s">
        <v>106</v>
      </c>
      <c r="B53" s="20" t="s">
        <v>123</v>
      </c>
      <c r="C53" s="20" t="s">
        <v>124</v>
      </c>
      <c r="D53" s="21">
        <v>49598</v>
      </c>
      <c r="E53" s="78" t="s">
        <v>254</v>
      </c>
      <c r="F53" s="27">
        <v>1225845.6672102977</v>
      </c>
      <c r="G53" s="23">
        <v>980171.03177274333</v>
      </c>
      <c r="H53" s="23">
        <v>377665.19179398095</v>
      </c>
      <c r="I53" s="17" t="str">
        <f t="shared" si="1"/>
        <v/>
      </c>
      <c r="J53" s="20"/>
      <c r="K53" s="23">
        <v>1435084.7233347422</v>
      </c>
      <c r="L53" s="23">
        <v>1024812.5665493902</v>
      </c>
      <c r="M53" s="23">
        <f>SUM(F53:G53)+SUM(J53:K53)+H53*3.412</f>
        <v>4929695.0567188468</v>
      </c>
      <c r="N53" s="24">
        <f>M53/D53</f>
        <v>99.393021023405112</v>
      </c>
      <c r="O53" s="27">
        <v>1252624.1687686983</v>
      </c>
      <c r="P53" s="23">
        <v>933415.00458031846</v>
      </c>
      <c r="Q53" s="23">
        <v>315502.33432927902</v>
      </c>
      <c r="R53" s="17" t="str">
        <f t="shared" si="2"/>
        <v/>
      </c>
      <c r="S53" s="20"/>
      <c r="T53" s="23">
        <v>1425782.2793976301</v>
      </c>
      <c r="U53" s="23">
        <v>599407.54024170991</v>
      </c>
      <c r="V53" s="23">
        <f t="shared" si="0"/>
        <v>4688315.417478147</v>
      </c>
      <c r="W53" s="25">
        <f>V53/D53</f>
        <v>94.526299799954572</v>
      </c>
    </row>
    <row r="54" spans="1:23" ht="12.75" customHeight="1">
      <c r="A54" s="14" t="s">
        <v>106</v>
      </c>
      <c r="B54" s="14" t="s">
        <v>125</v>
      </c>
      <c r="C54" s="14" t="s">
        <v>126</v>
      </c>
      <c r="D54" s="15">
        <v>122889.9</v>
      </c>
      <c r="E54" s="78" t="s">
        <v>254</v>
      </c>
      <c r="F54" s="16"/>
      <c r="G54" s="17">
        <v>3062191.5722936587</v>
      </c>
      <c r="H54" s="17">
        <v>925762.9428570997</v>
      </c>
      <c r="I54" s="17" t="str">
        <f t="shared" si="1"/>
        <v/>
      </c>
      <c r="J54" s="14"/>
      <c r="K54" s="17">
        <v>4157621.9461724511</v>
      </c>
      <c r="L54" s="17">
        <v>438672.91099682904</v>
      </c>
      <c r="M54" s="17">
        <f>SUM(F54:G54)+SUM(J54:K54)+H54*3.412</f>
        <v>10378516.679494534</v>
      </c>
      <c r="N54" s="18">
        <f>M54/D54</f>
        <v>84.453780819209186</v>
      </c>
      <c r="O54" s="16"/>
      <c r="P54" s="17">
        <v>2522493.424339151</v>
      </c>
      <c r="Q54" s="17">
        <v>876978.46666670032</v>
      </c>
      <c r="R54" s="17" t="str">
        <f t="shared" si="2"/>
        <v/>
      </c>
      <c r="S54" s="14"/>
      <c r="T54" s="17">
        <v>8758315.4237406533</v>
      </c>
      <c r="U54" s="17">
        <v>149175.67545749707</v>
      </c>
      <c r="V54" s="17">
        <f t="shared" si="0"/>
        <v>14273059.376346586</v>
      </c>
      <c r="W54" s="19">
        <f>V54/D54</f>
        <v>116.14509716702989</v>
      </c>
    </row>
    <row r="55" spans="1:23" ht="12.75" customHeight="1">
      <c r="A55" s="20" t="s">
        <v>106</v>
      </c>
      <c r="B55" s="20" t="s">
        <v>127</v>
      </c>
      <c r="C55" s="20" t="s">
        <v>128</v>
      </c>
      <c r="D55" s="21">
        <v>72251.899999999994</v>
      </c>
      <c r="E55" s="78" t="s">
        <v>254</v>
      </c>
      <c r="F55" s="27">
        <v>3108179.0840749973</v>
      </c>
      <c r="G55" s="23">
        <v>1973871.0868950232</v>
      </c>
      <c r="H55" s="23">
        <v>557879.82600431144</v>
      </c>
      <c r="I55" s="17" t="str">
        <f t="shared" si="1"/>
        <v/>
      </c>
      <c r="J55" s="20"/>
      <c r="K55" s="20"/>
      <c r="L55" s="23">
        <v>1335284.7975191008</v>
      </c>
      <c r="M55" s="23">
        <f>SUM(F55:G55)+SUM(J55:K55)+H55*3.412</f>
        <v>6985536.1372967316</v>
      </c>
      <c r="N55" s="24">
        <f>M55/D55</f>
        <v>96.683078746672848</v>
      </c>
      <c r="O55" s="27">
        <v>3005270.5291262018</v>
      </c>
      <c r="P55" s="23">
        <v>1546020.3974790457</v>
      </c>
      <c r="Q55" s="23">
        <v>536388.30875339918</v>
      </c>
      <c r="R55" s="17" t="str">
        <f t="shared" si="2"/>
        <v/>
      </c>
      <c r="S55" s="20"/>
      <c r="T55" s="20"/>
      <c r="U55" s="23">
        <v>1457832.2447030991</v>
      </c>
      <c r="V55" s="23">
        <f t="shared" si="0"/>
        <v>6381447.8360718451</v>
      </c>
      <c r="W55" s="25">
        <f>V55/D55</f>
        <v>88.322214863164092</v>
      </c>
    </row>
    <row r="56" spans="1:23" ht="12.75" customHeight="1">
      <c r="A56" s="14" t="s">
        <v>106</v>
      </c>
      <c r="B56" s="14" t="s">
        <v>129</v>
      </c>
      <c r="C56" s="14" t="s">
        <v>130</v>
      </c>
      <c r="D56" s="15">
        <v>19940</v>
      </c>
      <c r="E56" s="78" t="s">
        <v>254</v>
      </c>
      <c r="F56" s="16"/>
      <c r="G56" s="17">
        <v>885654.02518401621</v>
      </c>
      <c r="H56" s="17">
        <v>202454.44442387996</v>
      </c>
      <c r="I56" s="17" t="str">
        <f t="shared" si="1"/>
        <v/>
      </c>
      <c r="J56" s="14"/>
      <c r="K56" s="17">
        <v>2010889.9523677651</v>
      </c>
      <c r="L56" s="14"/>
      <c r="M56" s="14">
        <f>SUM(F56:G56)+SUM(J56:K56)+H56*3.412</f>
        <v>3587318.5419260599</v>
      </c>
      <c r="N56" s="18">
        <f>M56/D56</f>
        <v>179.90564402838817</v>
      </c>
      <c r="O56" s="16"/>
      <c r="P56" s="17">
        <v>715782.32437565015</v>
      </c>
      <c r="Q56" s="17">
        <v>217436.70209859032</v>
      </c>
      <c r="R56" s="17" t="str">
        <f t="shared" si="2"/>
        <v/>
      </c>
      <c r="S56" s="14"/>
      <c r="T56" s="17">
        <v>2385669.788369549</v>
      </c>
      <c r="U56" s="14"/>
      <c r="V56" s="14">
        <f t="shared" si="0"/>
        <v>3843346.1403055894</v>
      </c>
      <c r="W56" s="19">
        <f>V56/D56</f>
        <v>192.74554364621812</v>
      </c>
    </row>
    <row r="57" spans="1:23" ht="12.75" customHeight="1">
      <c r="A57" s="14" t="s">
        <v>106</v>
      </c>
      <c r="B57" s="14" t="s">
        <v>131</v>
      </c>
      <c r="C57" s="14" t="s">
        <v>132</v>
      </c>
      <c r="D57" s="15">
        <v>79684.899999999994</v>
      </c>
      <c r="E57" s="78" t="s">
        <v>254</v>
      </c>
      <c r="F57" s="16"/>
      <c r="G57" s="17">
        <v>5601031.3781950958</v>
      </c>
      <c r="H57" s="17">
        <v>1293554.994407001</v>
      </c>
      <c r="I57" s="17" t="str">
        <f t="shared" si="1"/>
        <v/>
      </c>
      <c r="J57" s="14"/>
      <c r="K57" s="17">
        <v>10067441.209482117</v>
      </c>
      <c r="L57" s="17">
        <v>1479724.7607072936</v>
      </c>
      <c r="M57" s="17">
        <f>SUM(F57:G57)+SUM(J57:K57)+H57*3.412</f>
        <v>20082082.228593901</v>
      </c>
      <c r="N57" s="18">
        <f>M57/D57</f>
        <v>252.01866637962652</v>
      </c>
      <c r="O57" s="16"/>
      <c r="P57" s="17">
        <v>5482939.7026338521</v>
      </c>
      <c r="Q57" s="17">
        <v>1229757.215136</v>
      </c>
      <c r="R57" s="17" t="str">
        <f t="shared" si="2"/>
        <v/>
      </c>
      <c r="S57" s="14"/>
      <c r="T57" s="17">
        <v>9786527.1407468244</v>
      </c>
      <c r="U57" s="17">
        <v>674916.30684497999</v>
      </c>
      <c r="V57" s="17">
        <f t="shared" si="0"/>
        <v>19465398.461424708</v>
      </c>
      <c r="W57" s="19">
        <f>V57/D57</f>
        <v>244.27963718878621</v>
      </c>
    </row>
    <row r="58" spans="1:23" ht="12.75" customHeight="1">
      <c r="A58" s="14" t="s">
        <v>106</v>
      </c>
      <c r="B58" s="14" t="s">
        <v>133</v>
      </c>
      <c r="C58" s="14" t="s">
        <v>134</v>
      </c>
      <c r="D58" s="15">
        <v>11739</v>
      </c>
      <c r="E58" s="78" t="s">
        <v>254</v>
      </c>
      <c r="F58" s="16"/>
      <c r="G58" s="17">
        <v>439272.93694128067</v>
      </c>
      <c r="H58" s="17">
        <v>219571.20114414999</v>
      </c>
      <c r="I58" s="17" t="str">
        <f t="shared" si="1"/>
        <v/>
      </c>
      <c r="J58" s="14"/>
      <c r="K58" s="17">
        <v>2727783.1857816558</v>
      </c>
      <c r="L58" s="17">
        <v>10633.990961292002</v>
      </c>
      <c r="M58" s="17">
        <f>SUM(F58:G58)+SUM(J58:K58)+H58*3.412</f>
        <v>3916233.0610267762</v>
      </c>
      <c r="N58" s="18">
        <f>M58/D58</f>
        <v>333.60874529574721</v>
      </c>
      <c r="O58" s="16"/>
      <c r="P58" s="17">
        <v>1099446.5897231097</v>
      </c>
      <c r="Q58" s="17">
        <v>184449.28423538012</v>
      </c>
      <c r="R58" s="17" t="str">
        <f t="shared" si="2"/>
        <v/>
      </c>
      <c r="S58" s="14"/>
      <c r="T58" s="17">
        <v>2983375.1643993929</v>
      </c>
      <c r="U58" s="17">
        <v>2314.630471010998</v>
      </c>
      <c r="V58" s="17">
        <f t="shared" si="0"/>
        <v>4712162.7119336193</v>
      </c>
      <c r="W58" s="19">
        <f>V58/D58</f>
        <v>401.41091336004934</v>
      </c>
    </row>
    <row r="59" spans="1:23" ht="12.75" customHeight="1">
      <c r="A59" s="20" t="s">
        <v>106</v>
      </c>
      <c r="B59" s="20" t="s">
        <v>135</v>
      </c>
      <c r="C59" s="20" t="s">
        <v>136</v>
      </c>
      <c r="D59" s="21">
        <v>114227.9</v>
      </c>
      <c r="E59" s="78" t="s">
        <v>254</v>
      </c>
      <c r="F59" s="22"/>
      <c r="G59" s="23">
        <v>5305715.7891780604</v>
      </c>
      <c r="H59" s="23">
        <v>1975159.1797680012</v>
      </c>
      <c r="I59" s="17" t="str">
        <f t="shared" si="1"/>
        <v/>
      </c>
      <c r="J59" s="20"/>
      <c r="K59" s="23">
        <v>9439993.8538400661</v>
      </c>
      <c r="L59" s="23">
        <v>61150.122964333365</v>
      </c>
      <c r="M59" s="23">
        <f>SUM(F59:G59)+SUM(J59:K59)+H59*3.412</f>
        <v>21484952.764386546</v>
      </c>
      <c r="N59" s="24">
        <f>M59/D59</f>
        <v>188.08848595121285</v>
      </c>
      <c r="O59" s="22"/>
      <c r="P59" s="23">
        <v>6207963.3777014725</v>
      </c>
      <c r="Q59" s="23">
        <v>1875472.3801299981</v>
      </c>
      <c r="R59" s="17" t="str">
        <f t="shared" si="2"/>
        <v/>
      </c>
      <c r="S59" s="20"/>
      <c r="T59" s="23">
        <v>7414000.7266901601</v>
      </c>
      <c r="U59" s="23">
        <v>55402.886592666648</v>
      </c>
      <c r="V59" s="23">
        <f t="shared" si="0"/>
        <v>20021075.865395185</v>
      </c>
      <c r="W59" s="25">
        <f>V59/D59</f>
        <v>175.27308009159921</v>
      </c>
    </row>
    <row r="60" spans="1:23" ht="12.75" customHeight="1">
      <c r="A60" s="20" t="s">
        <v>106</v>
      </c>
      <c r="B60" s="20" t="s">
        <v>137</v>
      </c>
      <c r="C60" s="20" t="s">
        <v>138</v>
      </c>
      <c r="D60" s="21">
        <v>130969.9</v>
      </c>
      <c r="E60" s="78" t="s">
        <v>254</v>
      </c>
      <c r="F60" s="27">
        <v>10797333.241971012</v>
      </c>
      <c r="G60" s="23">
        <v>6513998.5422291243</v>
      </c>
      <c r="H60" s="23">
        <v>1902332.2352459519</v>
      </c>
      <c r="I60" s="17" t="str">
        <f t="shared" si="1"/>
        <v/>
      </c>
      <c r="J60" s="20"/>
      <c r="K60" s="23">
        <v>8631344.8915053029</v>
      </c>
      <c r="L60" s="23">
        <v>579298.69793794956</v>
      </c>
      <c r="M60" s="23">
        <f>SUM(F60:G60)+SUM(J60:K60)+H60*3.412</f>
        <v>32433434.262364626</v>
      </c>
      <c r="N60" s="24">
        <f>M60/D60</f>
        <v>247.64036822479537</v>
      </c>
      <c r="O60" s="27">
        <v>10666015.093166986</v>
      </c>
      <c r="P60" s="23">
        <v>7037375.6702802842</v>
      </c>
      <c r="Q60" s="23">
        <v>1902597.5992065817</v>
      </c>
      <c r="R60" s="17" t="str">
        <f t="shared" si="2"/>
        <v/>
      </c>
      <c r="S60" s="20"/>
      <c r="T60" s="23">
        <v>9060706.4531539399</v>
      </c>
      <c r="U60" s="23">
        <v>485745.05113238003</v>
      </c>
      <c r="V60" s="23">
        <f t="shared" si="0"/>
        <v>33255760.225094065</v>
      </c>
      <c r="W60" s="25">
        <f>V60/D60</f>
        <v>253.91910832255402</v>
      </c>
    </row>
    <row r="61" spans="1:23" ht="12.75" customHeight="1">
      <c r="A61" s="20" t="s">
        <v>106</v>
      </c>
      <c r="B61" s="20" t="s">
        <v>139</v>
      </c>
      <c r="C61" s="20" t="s">
        <v>140</v>
      </c>
      <c r="D61" s="21">
        <v>61989.9</v>
      </c>
      <c r="E61" s="78" t="s">
        <v>254</v>
      </c>
      <c r="F61" s="27">
        <v>1331916.7168136993</v>
      </c>
      <c r="G61" s="23">
        <v>761185.00270308624</v>
      </c>
      <c r="H61" s="23">
        <v>335558.64572487958</v>
      </c>
      <c r="I61" s="17" t="str">
        <f t="shared" si="1"/>
        <v/>
      </c>
      <c r="J61" s="20"/>
      <c r="K61" s="23">
        <v>1805372.246645201</v>
      </c>
      <c r="L61" s="23">
        <v>290019.47158977995</v>
      </c>
      <c r="M61" s="23">
        <f>SUM(F61:G61)+SUM(J61:K61)+H61*3.412</f>
        <v>5043400.0653752759</v>
      </c>
      <c r="N61" s="24">
        <f>M61/D61</f>
        <v>81.358415893158011</v>
      </c>
      <c r="O61" s="27">
        <v>1299946.8406712019</v>
      </c>
      <c r="P61" s="23">
        <v>794737.04690093431</v>
      </c>
      <c r="Q61" s="23">
        <v>333912.34102082998</v>
      </c>
      <c r="R61" s="17" t="str">
        <f t="shared" si="2"/>
        <v/>
      </c>
      <c r="S61" s="20"/>
      <c r="T61" s="23">
        <v>28386.395331349064</v>
      </c>
      <c r="U61" s="23">
        <v>281905.7854100503</v>
      </c>
      <c r="V61" s="23">
        <f t="shared" si="0"/>
        <v>3262379.1904665576</v>
      </c>
      <c r="W61" s="25">
        <f>V61/D61</f>
        <v>52.627592405642815</v>
      </c>
    </row>
    <row r="62" spans="1:23" ht="12.75" customHeight="1">
      <c r="A62" s="20" t="s">
        <v>106</v>
      </c>
      <c r="B62" s="20" t="s">
        <v>141</v>
      </c>
      <c r="C62" s="20" t="s">
        <v>142</v>
      </c>
      <c r="D62" s="21">
        <v>41698</v>
      </c>
      <c r="E62" s="78" t="s">
        <v>254</v>
      </c>
      <c r="F62" s="27">
        <v>1166495.7987148017</v>
      </c>
      <c r="G62" s="23">
        <v>519948.45763129293</v>
      </c>
      <c r="H62" s="20">
        <v>272053</v>
      </c>
      <c r="I62" s="17" t="str">
        <f t="shared" si="1"/>
        <v/>
      </c>
      <c r="J62" s="20"/>
      <c r="K62" s="23">
        <v>61735.630347261671</v>
      </c>
      <c r="L62" s="23">
        <v>154894.99167199014</v>
      </c>
      <c r="M62" s="23">
        <f>SUM(F62:G62)+SUM(J62:K62)+H62*3.412</f>
        <v>2676424.7226933562</v>
      </c>
      <c r="N62" s="24">
        <f>M62/D62</f>
        <v>64.185925528643011</v>
      </c>
      <c r="O62" s="27">
        <v>1740154.4722834984</v>
      </c>
      <c r="P62" s="23">
        <v>763807.54313228035</v>
      </c>
      <c r="Q62" s="20">
        <v>293810</v>
      </c>
      <c r="R62" s="17" t="str">
        <f t="shared" si="2"/>
        <v/>
      </c>
      <c r="S62" s="20"/>
      <c r="T62" s="23">
        <v>0</v>
      </c>
      <c r="U62" s="23">
        <v>171326.37674974976</v>
      </c>
      <c r="V62" s="23">
        <f t="shared" si="0"/>
        <v>3506441.7354157791</v>
      </c>
      <c r="W62" s="25">
        <f>V62/D62</f>
        <v>84.091364943541151</v>
      </c>
    </row>
    <row r="63" spans="1:23" ht="12.75" customHeight="1">
      <c r="A63" s="20" t="s">
        <v>106</v>
      </c>
      <c r="B63" s="20" t="s">
        <v>141</v>
      </c>
      <c r="C63" s="20" t="s">
        <v>143</v>
      </c>
      <c r="D63" s="21">
        <v>73180</v>
      </c>
      <c r="E63" s="78" t="s">
        <v>254</v>
      </c>
      <c r="F63" s="27">
        <v>1373133.4328581984</v>
      </c>
      <c r="G63" s="23">
        <v>1109077.4921479786</v>
      </c>
      <c r="H63" s="23">
        <f>994712.353244402-H31</f>
        <v>994712.35324440198</v>
      </c>
      <c r="I63" s="17" t="str">
        <f t="shared" si="1"/>
        <v/>
      </c>
      <c r="J63" s="20"/>
      <c r="K63" s="20"/>
      <c r="L63" s="23">
        <v>484765.82289347984</v>
      </c>
      <c r="M63" s="23">
        <f>SUM(F63:G63)+SUM(J63:K63)+H63*3.412</f>
        <v>5876169.474276077</v>
      </c>
      <c r="N63" s="24">
        <f>M63/D63</f>
        <v>80.297478467833798</v>
      </c>
      <c r="O63" s="27">
        <v>1864767.0138006969</v>
      </c>
      <c r="P63" s="23">
        <v>1237473.3999192645</v>
      </c>
      <c r="Q63" s="23">
        <f>1073331.7467915-H31</f>
        <v>1073331.7467914999</v>
      </c>
      <c r="R63" s="17" t="str">
        <f t="shared" si="2"/>
        <v/>
      </c>
      <c r="S63" s="20"/>
      <c r="T63" s="20"/>
      <c r="U63" s="23">
        <v>122906.89075460006</v>
      </c>
      <c r="V63" s="23">
        <f t="shared" si="0"/>
        <v>6764448.3337725587</v>
      </c>
      <c r="W63" s="25">
        <f>V63/D63</f>
        <v>92.435752032967457</v>
      </c>
    </row>
    <row r="64" spans="1:23" ht="12.75" customHeight="1">
      <c r="A64" s="20" t="s">
        <v>106</v>
      </c>
      <c r="B64" s="20" t="s">
        <v>144</v>
      </c>
      <c r="C64" s="20" t="s">
        <v>145</v>
      </c>
      <c r="D64" s="21">
        <v>54306.9</v>
      </c>
      <c r="E64" s="78" t="s">
        <v>254</v>
      </c>
      <c r="F64" s="22"/>
      <c r="G64" s="23">
        <v>222203.96212724448</v>
      </c>
      <c r="H64" s="23">
        <v>188678.91886656964</v>
      </c>
      <c r="I64" s="17" t="str">
        <f t="shared" si="1"/>
        <v/>
      </c>
      <c r="J64" s="20"/>
      <c r="K64" s="23">
        <v>2148568.0538511383</v>
      </c>
      <c r="L64" s="23">
        <v>123474.00000000003</v>
      </c>
      <c r="M64" s="23">
        <f>SUM(F64:G64)+SUM(J64:K64)+H64*3.412</f>
        <v>3014544.4871511185</v>
      </c>
      <c r="N64" s="24">
        <f>M64/D64</f>
        <v>55.509419376748042</v>
      </c>
      <c r="O64" s="22"/>
      <c r="P64" s="23">
        <v>276626.66361690348</v>
      </c>
      <c r="Q64" s="23">
        <v>225963.92108495999</v>
      </c>
      <c r="R64" s="17" t="str">
        <f t="shared" si="2"/>
        <v/>
      </c>
      <c r="S64" s="20"/>
      <c r="T64" s="23">
        <v>1686506.3701030866</v>
      </c>
      <c r="U64" s="23">
        <v>80514.669291899001</v>
      </c>
      <c r="V64" s="23">
        <f t="shared" si="0"/>
        <v>2734121.9324618736</v>
      </c>
      <c r="W64" s="25">
        <f>V64/D64</f>
        <v>50.345755925340491</v>
      </c>
    </row>
    <row r="65" spans="1:23" ht="12.75" customHeight="1">
      <c r="A65" s="20" t="s">
        <v>106</v>
      </c>
      <c r="B65" s="20" t="s">
        <v>146</v>
      </c>
      <c r="C65" s="20" t="s">
        <v>147</v>
      </c>
      <c r="D65" s="21">
        <v>43131</v>
      </c>
      <c r="E65" s="78" t="s">
        <v>254</v>
      </c>
      <c r="F65" s="22"/>
      <c r="G65" s="20"/>
      <c r="H65" s="23">
        <v>40429.247106249983</v>
      </c>
      <c r="I65" s="17" t="str">
        <f t="shared" si="1"/>
        <v/>
      </c>
      <c r="J65" s="20"/>
      <c r="K65" s="23">
        <v>2488768.1741108932</v>
      </c>
      <c r="L65" s="23">
        <v>387211.26531882986</v>
      </c>
      <c r="M65" s="23">
        <f>SUM(F65:G65)+SUM(J65:K65)+H65*3.412</f>
        <v>2626712.765237418</v>
      </c>
      <c r="N65" s="24">
        <f>M65/D65</f>
        <v>60.900808356806429</v>
      </c>
      <c r="O65" s="22"/>
      <c r="P65" s="20"/>
      <c r="Q65" s="23">
        <v>71401.766666666997</v>
      </c>
      <c r="R65" s="17" t="str">
        <f t="shared" si="2"/>
        <v/>
      </c>
      <c r="S65" s="20"/>
      <c r="T65" s="23">
        <v>2649174.497598724</v>
      </c>
      <c r="U65" s="23">
        <v>402148.25026590499</v>
      </c>
      <c r="V65" s="23">
        <f t="shared" si="0"/>
        <v>2892797.3254653919</v>
      </c>
      <c r="W65" s="25">
        <f>V65/D65</f>
        <v>67.070026789673136</v>
      </c>
    </row>
    <row r="66" spans="1:23" ht="12.75" customHeight="1">
      <c r="A66" s="14" t="s">
        <v>106</v>
      </c>
      <c r="B66" s="14" t="s">
        <v>148</v>
      </c>
      <c r="C66" s="14" t="s">
        <v>149</v>
      </c>
      <c r="D66" s="15">
        <v>81123.899999999994</v>
      </c>
      <c r="E66" s="78" t="s">
        <v>254</v>
      </c>
      <c r="F66" s="26">
        <v>5875309.9242500039</v>
      </c>
      <c r="G66" s="17">
        <v>3510361.5331849465</v>
      </c>
      <c r="H66" s="17">
        <v>974266.48693657131</v>
      </c>
      <c r="I66" s="17" t="str">
        <f t="shared" si="1"/>
        <v/>
      </c>
      <c r="J66" s="14"/>
      <c r="K66" s="14"/>
      <c r="L66" s="17">
        <v>600016.17784448166</v>
      </c>
      <c r="M66" s="17">
        <f>SUM(F66:G66)+SUM(J66:K66)+H66*3.412</f>
        <v>12709868.710862532</v>
      </c>
      <c r="N66" s="18">
        <f>M66/D66</f>
        <v>156.67230878770044</v>
      </c>
      <c r="O66" s="26">
        <v>8028378.2286699861</v>
      </c>
      <c r="P66" s="17">
        <v>5714760.0093210787</v>
      </c>
      <c r="Q66" s="17">
        <v>1118909.4461227311</v>
      </c>
      <c r="R66" s="17" t="str">
        <f t="shared" si="2"/>
        <v/>
      </c>
      <c r="S66" s="14"/>
      <c r="T66" s="14"/>
      <c r="U66" s="17">
        <v>614870.46607695625</v>
      </c>
      <c r="V66" s="17">
        <f t="shared" si="0"/>
        <v>17560857.268161822</v>
      </c>
      <c r="W66" s="19">
        <f>V66/D66</f>
        <v>216.46958871752742</v>
      </c>
    </row>
    <row r="67" spans="1:23" ht="12.75" customHeight="1">
      <c r="A67" s="20" t="s">
        <v>106</v>
      </c>
      <c r="B67" s="20" t="s">
        <v>150</v>
      </c>
      <c r="C67" s="20" t="s">
        <v>151</v>
      </c>
      <c r="D67" s="21">
        <v>79566.899999999994</v>
      </c>
      <c r="E67" s="78" t="s">
        <v>254</v>
      </c>
      <c r="F67" s="27">
        <v>1729514.1356370791</v>
      </c>
      <c r="G67" s="23">
        <v>1751223.0761437605</v>
      </c>
      <c r="H67" s="23">
        <v>533408.99070772994</v>
      </c>
      <c r="I67" s="17" t="str">
        <f t="shared" si="1"/>
        <v/>
      </c>
      <c r="J67" s="20"/>
      <c r="K67" s="20"/>
      <c r="L67" s="23">
        <v>138481.44210548</v>
      </c>
      <c r="M67" s="23">
        <f>SUM(F67:G67)+SUM(J67:K67)+H67*3.412</f>
        <v>5300728.6880756142</v>
      </c>
      <c r="N67" s="24">
        <f>M67/D67</f>
        <v>66.619771388298588</v>
      </c>
      <c r="O67" s="27">
        <v>1396796.9873921988</v>
      </c>
      <c r="P67" s="23">
        <v>1449300.659140802</v>
      </c>
      <c r="Q67" s="23">
        <v>535243.60153639037</v>
      </c>
      <c r="R67" s="17" t="str">
        <f t="shared" si="2"/>
        <v/>
      </c>
      <c r="S67" s="20"/>
      <c r="T67" s="20"/>
      <c r="U67" s="23">
        <v>42225.04109148006</v>
      </c>
      <c r="V67" s="23">
        <f t="shared" si="0"/>
        <v>4672348.8149751648</v>
      </c>
      <c r="W67" s="25">
        <f>V67/D67</f>
        <v>58.722267864842856</v>
      </c>
    </row>
    <row r="68" spans="1:23" ht="12.75" customHeight="1">
      <c r="A68" s="14" t="s">
        <v>106</v>
      </c>
      <c r="B68" s="14" t="s">
        <v>152</v>
      </c>
      <c r="C68" s="14" t="s">
        <v>153</v>
      </c>
      <c r="D68" s="15">
        <v>59680.9</v>
      </c>
      <c r="E68" s="78" t="s">
        <v>254</v>
      </c>
      <c r="F68" s="26">
        <v>1207163.4599717902</v>
      </c>
      <c r="G68" s="17">
        <v>3357972.0317405518</v>
      </c>
      <c r="H68" s="17">
        <v>218210.62598964991</v>
      </c>
      <c r="I68" s="17" t="str">
        <f t="shared" si="1"/>
        <v/>
      </c>
      <c r="J68" s="14"/>
      <c r="K68" s="17">
        <v>2924374.0581249218</v>
      </c>
      <c r="L68" s="17">
        <v>304964.06436982396</v>
      </c>
      <c r="M68" s="17">
        <f>SUM(F68:G68)+SUM(J68:K68)+H68*3.412</f>
        <v>8234044.2057139492</v>
      </c>
      <c r="N68" s="18">
        <f>M68/D68</f>
        <v>137.96782899912617</v>
      </c>
      <c r="O68" s="26">
        <v>1286811.0192362017</v>
      </c>
      <c r="P68" s="17">
        <v>5193287.9032652872</v>
      </c>
      <c r="Q68" s="17">
        <v>223999.8220764501</v>
      </c>
      <c r="R68" s="17" t="str">
        <f t="shared" si="2"/>
        <v/>
      </c>
      <c r="S68" s="14"/>
      <c r="T68" s="17">
        <v>2901809.7462781523</v>
      </c>
      <c r="U68" s="17">
        <v>204811.19761119294</v>
      </c>
      <c r="V68" s="17">
        <f t="shared" si="0"/>
        <v>10146196.061704488</v>
      </c>
      <c r="W68" s="19">
        <f>V68/D68</f>
        <v>170.00742384421966</v>
      </c>
    </row>
    <row r="69" spans="1:23" ht="12.75" customHeight="1">
      <c r="A69" s="20" t="s">
        <v>106</v>
      </c>
      <c r="B69" s="20" t="s">
        <v>154</v>
      </c>
      <c r="C69" s="20" t="s">
        <v>155</v>
      </c>
      <c r="D69" s="21">
        <v>89150.9</v>
      </c>
      <c r="E69" s="78" t="s">
        <v>254</v>
      </c>
      <c r="F69" s="27">
        <v>9289003.4173010085</v>
      </c>
      <c r="G69" s="23">
        <v>4283496.6504161209</v>
      </c>
      <c r="H69" s="23">
        <v>1564788.4588845503</v>
      </c>
      <c r="I69" s="17" t="str">
        <f t="shared" si="1"/>
        <v/>
      </c>
      <c r="J69" s="23">
        <v>935917.06851016486</v>
      </c>
      <c r="K69" s="20"/>
      <c r="L69" s="23">
        <v>4679000</v>
      </c>
      <c r="M69" s="23">
        <f>SUM(F69:G69)+SUM(J69:K69)+H69*3.412</f>
        <v>19847475.357941382</v>
      </c>
      <c r="N69" s="24">
        <f>M69/D69</f>
        <v>222.62787428888976</v>
      </c>
      <c r="O69" s="27">
        <v>9786651.8019109014</v>
      </c>
      <c r="P69" s="23">
        <v>4236107.8728928575</v>
      </c>
      <c r="Q69" s="23">
        <v>1625493.4022399196</v>
      </c>
      <c r="R69" s="17" t="str">
        <f t="shared" si="2"/>
        <v/>
      </c>
      <c r="S69" s="23">
        <v>934557.39077858953</v>
      </c>
      <c r="T69" s="20"/>
      <c r="U69" s="23">
        <v>2594579.2571429163</v>
      </c>
      <c r="V69" s="23">
        <f t="shared" si="0"/>
        <v>20503500.554024957</v>
      </c>
      <c r="W69" s="25">
        <f>V69/D69</f>
        <v>229.9864673718937</v>
      </c>
    </row>
    <row r="70" spans="1:23" ht="12.75" customHeight="1">
      <c r="A70" s="20" t="s">
        <v>106</v>
      </c>
      <c r="B70" s="20" t="s">
        <v>156</v>
      </c>
      <c r="C70" s="20" t="s">
        <v>157</v>
      </c>
      <c r="D70" s="21">
        <v>349283.7</v>
      </c>
      <c r="E70" s="78" t="s">
        <v>254</v>
      </c>
      <c r="F70" s="22"/>
      <c r="G70" s="23">
        <v>8575920.6619781647</v>
      </c>
      <c r="H70" s="23">
        <v>2003661.8987187201</v>
      </c>
      <c r="I70" s="17" t="str">
        <f t="shared" ref="I70:I107" si="3">IF($E70="No",H70,"")</f>
        <v/>
      </c>
      <c r="J70" s="20"/>
      <c r="K70" s="23">
        <v>21351017.651647478</v>
      </c>
      <c r="L70" s="23">
        <v>2057204.3668746985</v>
      </c>
      <c r="M70" s="23">
        <f>SUM(F70:G70)+SUM(J70:K70)+H70*3.412</f>
        <v>36763432.71205391</v>
      </c>
      <c r="N70" s="24">
        <f>M70/D70</f>
        <v>105.25378857374079</v>
      </c>
      <c r="O70" s="22"/>
      <c r="P70" s="23">
        <v>6000529.1441544788</v>
      </c>
      <c r="Q70" s="23">
        <v>1850607.2068351994</v>
      </c>
      <c r="R70" s="17" t="str">
        <f t="shared" ref="R70:R107" si="4">IF($E70="No",Q70,"")</f>
        <v/>
      </c>
      <c r="S70" s="20"/>
      <c r="T70" s="23">
        <v>21225065.942414872</v>
      </c>
      <c r="U70" s="23">
        <v>1050880.7887706012</v>
      </c>
      <c r="V70" s="23">
        <f t="shared" si="0"/>
        <v>33539866.876291052</v>
      </c>
      <c r="W70" s="25">
        <f>V70/D70</f>
        <v>96.024712508173295</v>
      </c>
    </row>
    <row r="71" spans="1:23" ht="12.75" customHeight="1">
      <c r="A71" s="20" t="s">
        <v>106</v>
      </c>
      <c r="B71" s="20" t="s">
        <v>158</v>
      </c>
      <c r="C71" s="20" t="s">
        <v>159</v>
      </c>
      <c r="D71" s="21">
        <v>104337.9</v>
      </c>
      <c r="E71" s="78" t="s">
        <v>254</v>
      </c>
      <c r="F71" s="22"/>
      <c r="G71" s="23">
        <v>5131702.3086926276</v>
      </c>
      <c r="H71" s="23">
        <v>2035435.1019809386</v>
      </c>
      <c r="I71" s="17" t="str">
        <f t="shared" si="3"/>
        <v/>
      </c>
      <c r="J71" s="20"/>
      <c r="K71" s="23">
        <v>6258924.3845252562</v>
      </c>
      <c r="L71" s="23">
        <v>4089000</v>
      </c>
      <c r="M71" s="23">
        <f>SUM(F71:G71)+SUM(J71:K71)+H71*3.412</f>
        <v>18335531.261176847</v>
      </c>
      <c r="N71" s="24">
        <f>M71/D71</f>
        <v>175.73222444746202</v>
      </c>
      <c r="O71" s="22"/>
      <c r="P71" s="23">
        <v>4983913.8617143482</v>
      </c>
      <c r="Q71" s="23">
        <v>2059215.4666216616</v>
      </c>
      <c r="R71" s="17" t="str">
        <f t="shared" si="4"/>
        <v/>
      </c>
      <c r="S71" s="20"/>
      <c r="T71" s="23">
        <v>5494633.2573512448</v>
      </c>
      <c r="U71" s="23">
        <v>5400644.4444444031</v>
      </c>
      <c r="V71" s="23">
        <f t="shared" si="0"/>
        <v>17504590.291178703</v>
      </c>
      <c r="W71" s="25">
        <f>V71/D71</f>
        <v>167.76828258167649</v>
      </c>
    </row>
    <row r="72" spans="1:23" ht="12.75" customHeight="1">
      <c r="A72" s="20" t="s">
        <v>106</v>
      </c>
      <c r="B72" s="20" t="s">
        <v>160</v>
      </c>
      <c r="C72" s="20" t="s">
        <v>161</v>
      </c>
      <c r="D72" s="21">
        <v>20605</v>
      </c>
      <c r="E72" s="78" t="s">
        <v>254</v>
      </c>
      <c r="F72" s="27">
        <v>935275.75400000019</v>
      </c>
      <c r="G72" s="23">
        <v>1605245.9595449721</v>
      </c>
      <c r="H72" s="23">
        <v>337536.47677522991</v>
      </c>
      <c r="I72" s="17" t="str">
        <f t="shared" si="3"/>
        <v/>
      </c>
      <c r="J72" s="20"/>
      <c r="K72" s="20"/>
      <c r="L72" s="20"/>
      <c r="M72" s="23">
        <f>SUM(F72:G72)+SUM(J72:K72)+H72*3.412</f>
        <v>3692196.1723020566</v>
      </c>
      <c r="N72" s="24">
        <f>M72/D72</f>
        <v>179.18933134200711</v>
      </c>
      <c r="O72" s="27">
        <v>787753.28900000069</v>
      </c>
      <c r="P72" s="23">
        <v>1511699.2966231711</v>
      </c>
      <c r="Q72" s="23">
        <v>379336.17166336998</v>
      </c>
      <c r="R72" s="17" t="str">
        <f t="shared" si="4"/>
        <v/>
      </c>
      <c r="S72" s="20"/>
      <c r="T72" s="20"/>
      <c r="U72" s="20"/>
      <c r="V72" s="23">
        <f t="shared" si="0"/>
        <v>3593747.6033385899</v>
      </c>
      <c r="W72" s="25">
        <f>V72/D72</f>
        <v>174.41143427996067</v>
      </c>
    </row>
    <row r="73" spans="1:23" ht="12.75" customHeight="1">
      <c r="A73" s="14" t="s">
        <v>106</v>
      </c>
      <c r="B73" s="14" t="s">
        <v>162</v>
      </c>
      <c r="C73" s="14" t="s">
        <v>163</v>
      </c>
      <c r="D73" s="15">
        <v>40950</v>
      </c>
      <c r="E73" s="78" t="s">
        <v>254</v>
      </c>
      <c r="F73" s="26">
        <v>2279284.1034612982</v>
      </c>
      <c r="G73" s="14"/>
      <c r="H73" s="17">
        <v>196456.52013099985</v>
      </c>
      <c r="I73" s="17" t="str">
        <f t="shared" si="3"/>
        <v/>
      </c>
      <c r="J73" s="14"/>
      <c r="K73" s="14"/>
      <c r="L73" s="17">
        <v>429796.61443295999</v>
      </c>
      <c r="M73" s="17">
        <f>SUM(F73:G73)+SUM(J73:K73)+H73*3.412</f>
        <v>2949593.7501482698</v>
      </c>
      <c r="N73" s="18">
        <f>M73/D73</f>
        <v>72.029151407772162</v>
      </c>
      <c r="O73" s="26">
        <v>2096492.3652623063</v>
      </c>
      <c r="P73" s="14"/>
      <c r="Q73" s="17">
        <v>197485.93081300007</v>
      </c>
      <c r="R73" s="17" t="str">
        <f t="shared" si="4"/>
        <v/>
      </c>
      <c r="S73" s="14"/>
      <c r="T73" s="14"/>
      <c r="U73" s="17">
        <v>242769.45405240022</v>
      </c>
      <c r="V73" s="17">
        <f t="shared" si="0"/>
        <v>2770314.3611962628</v>
      </c>
      <c r="W73" s="19">
        <f>V73/D73</f>
        <v>67.651144351557093</v>
      </c>
    </row>
    <row r="74" spans="1:23" ht="12.75" customHeight="1">
      <c r="A74" s="20" t="s">
        <v>106</v>
      </c>
      <c r="B74" s="20" t="s">
        <v>164</v>
      </c>
      <c r="C74" s="20" t="s">
        <v>165</v>
      </c>
      <c r="D74" s="21">
        <v>42622</v>
      </c>
      <c r="E74" s="78" t="s">
        <v>254</v>
      </c>
      <c r="F74" s="27">
        <v>1912556.032416502</v>
      </c>
      <c r="G74" s="20"/>
      <c r="H74" s="23">
        <v>261947.45944800042</v>
      </c>
      <c r="I74" s="17" t="str">
        <f t="shared" si="3"/>
        <v/>
      </c>
      <c r="J74" s="20"/>
      <c r="K74" s="20"/>
      <c r="L74" s="23">
        <v>1092758.7763147843</v>
      </c>
      <c r="M74" s="23">
        <f>SUM(F74:G74)+SUM(J74:K74)+H74*3.412</f>
        <v>2806320.7640530793</v>
      </c>
      <c r="N74" s="24">
        <f>M74/D74</f>
        <v>65.842071325913366</v>
      </c>
      <c r="O74" s="27">
        <v>1927966.3353480012</v>
      </c>
      <c r="P74" s="20"/>
      <c r="Q74" s="23">
        <v>258415.31366300024</v>
      </c>
      <c r="R74" s="17" t="str">
        <f t="shared" si="4"/>
        <v/>
      </c>
      <c r="S74" s="20"/>
      <c r="T74" s="20"/>
      <c r="U74" s="23">
        <v>742401.26055211667</v>
      </c>
      <c r="V74" s="23">
        <f t="shared" si="0"/>
        <v>2809679.3855661582</v>
      </c>
      <c r="W74" s="25">
        <f>V74/D74</f>
        <v>65.92087151157051</v>
      </c>
    </row>
    <row r="75" spans="1:23" ht="12.75" customHeight="1">
      <c r="A75" s="20" t="s">
        <v>106</v>
      </c>
      <c r="B75" s="20" t="s">
        <v>166</v>
      </c>
      <c r="C75" s="20" t="s">
        <v>167</v>
      </c>
      <c r="D75" s="21">
        <v>33449</v>
      </c>
      <c r="E75" s="78" t="s">
        <v>254</v>
      </c>
      <c r="F75" s="27">
        <v>1646981.1729497006</v>
      </c>
      <c r="G75" s="20"/>
      <c r="H75" s="23">
        <v>168537.61124200048</v>
      </c>
      <c r="I75" s="17" t="str">
        <f t="shared" si="3"/>
        <v/>
      </c>
      <c r="J75" s="20"/>
      <c r="K75" s="20"/>
      <c r="L75" s="23">
        <v>699203.62005165033</v>
      </c>
      <c r="M75" s="23">
        <f>SUM(F75:G75)+SUM(J75:K75)+H75*3.412</f>
        <v>2222031.5025074063</v>
      </c>
      <c r="N75" s="24">
        <f>M75/D75</f>
        <v>66.430431477993551</v>
      </c>
      <c r="O75" s="27">
        <v>1693687.570267099</v>
      </c>
      <c r="P75" s="20"/>
      <c r="Q75" s="23">
        <v>168543.73256799998</v>
      </c>
      <c r="R75" s="17" t="str">
        <f t="shared" si="4"/>
        <v/>
      </c>
      <c r="S75" s="20"/>
      <c r="T75" s="20"/>
      <c r="U75" s="23">
        <v>573207.98697638977</v>
      </c>
      <c r="V75" s="23">
        <f t="shared" si="0"/>
        <v>2268758.7857891149</v>
      </c>
      <c r="W75" s="25">
        <f>V75/D75</f>
        <v>67.8274024870434</v>
      </c>
    </row>
    <row r="76" spans="1:23" ht="12.75" customHeight="1">
      <c r="A76" s="14" t="s">
        <v>106</v>
      </c>
      <c r="B76" s="14" t="s">
        <v>168</v>
      </c>
      <c r="C76" s="14" t="s">
        <v>169</v>
      </c>
      <c r="D76" s="15">
        <v>72774.899999999994</v>
      </c>
      <c r="E76" s="78" t="s">
        <v>254</v>
      </c>
      <c r="F76" s="26">
        <v>2838059.5019021998</v>
      </c>
      <c r="G76" s="14"/>
      <c r="H76" s="17">
        <v>391743.17084546015</v>
      </c>
      <c r="I76" s="17" t="str">
        <f t="shared" si="3"/>
        <v/>
      </c>
      <c r="J76" s="14"/>
      <c r="K76" s="14"/>
      <c r="L76" s="17">
        <v>764082.87010304036</v>
      </c>
      <c r="M76" s="17">
        <f>SUM(F76:G76)+SUM(J76:K76)+H76*3.412</f>
        <v>4174687.2008269099</v>
      </c>
      <c r="N76" s="18">
        <f>M76/D76</f>
        <v>57.364382511372881</v>
      </c>
      <c r="O76" s="26">
        <v>3186365.728111499</v>
      </c>
      <c r="P76" s="14"/>
      <c r="Q76" s="17">
        <v>377134.50512565952</v>
      </c>
      <c r="R76" s="17" t="str">
        <f t="shared" si="4"/>
        <v/>
      </c>
      <c r="S76" s="14"/>
      <c r="T76" s="14"/>
      <c r="U76" s="17">
        <v>431590.14053760038</v>
      </c>
      <c r="V76" s="17">
        <f t="shared" si="0"/>
        <v>4473148.6596002495</v>
      </c>
      <c r="W76" s="19">
        <f>V76/D76</f>
        <v>61.46554182280223</v>
      </c>
    </row>
    <row r="77" spans="1:23" ht="12.75" customHeight="1">
      <c r="A77" s="14" t="s">
        <v>106</v>
      </c>
      <c r="B77" s="14" t="s">
        <v>170</v>
      </c>
      <c r="C77" s="14" t="s">
        <v>171</v>
      </c>
      <c r="D77" s="15">
        <v>43377</v>
      </c>
      <c r="E77" s="78" t="s">
        <v>254</v>
      </c>
      <c r="F77" s="26">
        <v>2614978.9547915994</v>
      </c>
      <c r="G77" s="14"/>
      <c r="H77" s="17">
        <v>150208.42399999965</v>
      </c>
      <c r="I77" s="17" t="str">
        <f t="shared" si="3"/>
        <v/>
      </c>
      <c r="J77" s="14"/>
      <c r="K77" s="14"/>
      <c r="L77" s="17">
        <v>1112117.5908182145</v>
      </c>
      <c r="M77" s="17">
        <f>SUM(F77:G77)+SUM(J77:K77)+H77*3.412</f>
        <v>3127490.0974795981</v>
      </c>
      <c r="N77" s="18">
        <f>M77/D77</f>
        <v>72.100193592908639</v>
      </c>
      <c r="O77" s="26">
        <v>2631921.2260899944</v>
      </c>
      <c r="P77" s="14"/>
      <c r="Q77" s="17">
        <v>150545.22933333041</v>
      </c>
      <c r="R77" s="17" t="str">
        <f t="shared" si="4"/>
        <v/>
      </c>
      <c r="S77" s="14"/>
      <c r="T77" s="14"/>
      <c r="U77" s="17">
        <v>755553.30160788354</v>
      </c>
      <c r="V77" s="17">
        <f t="shared" si="0"/>
        <v>3145581.548575318</v>
      </c>
      <c r="W77" s="19">
        <f>V77/D77</f>
        <v>72.517268335184966</v>
      </c>
    </row>
    <row r="78" spans="1:23" ht="12.75" customHeight="1">
      <c r="A78" s="20" t="s">
        <v>106</v>
      </c>
      <c r="B78" s="20" t="s">
        <v>172</v>
      </c>
      <c r="C78" s="20" t="s">
        <v>173</v>
      </c>
      <c r="D78" s="21">
        <v>32247</v>
      </c>
      <c r="E78" s="78" t="s">
        <v>254</v>
      </c>
      <c r="F78" s="27">
        <v>1887405.1780959989</v>
      </c>
      <c r="G78" s="20"/>
      <c r="H78" s="23">
        <v>123453.00222221995</v>
      </c>
      <c r="I78" s="17" t="str">
        <f t="shared" si="3"/>
        <v/>
      </c>
      <c r="J78" s="20"/>
      <c r="K78" s="20"/>
      <c r="L78" s="23">
        <v>701181.52493346017</v>
      </c>
      <c r="M78" s="23">
        <f>SUM(F78:G78)+SUM(J78:K78)+H78*3.412</f>
        <v>2308626.8216782133</v>
      </c>
      <c r="N78" s="24">
        <f>M78/D78</f>
        <v>71.59198752374526</v>
      </c>
      <c r="O78" s="27">
        <v>1804921.1010015968</v>
      </c>
      <c r="P78" s="20"/>
      <c r="Q78" s="23">
        <v>123002.87777777994</v>
      </c>
      <c r="R78" s="17" t="str">
        <f t="shared" si="4"/>
        <v/>
      </c>
      <c r="S78" s="20"/>
      <c r="T78" s="20"/>
      <c r="U78" s="23">
        <v>544993.10094196908</v>
      </c>
      <c r="V78" s="23">
        <f t="shared" si="0"/>
        <v>2224606.9199793818</v>
      </c>
      <c r="W78" s="25">
        <f>V78/D78</f>
        <v>68.986476880930994</v>
      </c>
    </row>
    <row r="79" spans="1:23" ht="12.75" customHeight="1">
      <c r="A79" s="14" t="s">
        <v>106</v>
      </c>
      <c r="B79" s="14" t="s">
        <v>174</v>
      </c>
      <c r="C79" s="14" t="s">
        <v>175</v>
      </c>
      <c r="D79" s="15">
        <v>244043.8</v>
      </c>
      <c r="E79" s="78" t="s">
        <v>254</v>
      </c>
      <c r="F79" s="26">
        <v>5629548.0771313012</v>
      </c>
      <c r="G79" s="17">
        <v>2340492.1974871824</v>
      </c>
      <c r="H79" s="17">
        <v>2397381.5252309991</v>
      </c>
      <c r="I79" s="17" t="str">
        <f t="shared" si="3"/>
        <v/>
      </c>
      <c r="J79" s="14"/>
      <c r="K79" s="17">
        <v>688935.40058586537</v>
      </c>
      <c r="L79" s="17">
        <v>2022407.6595929991</v>
      </c>
      <c r="M79" s="17">
        <f>SUM(F79:G79)+SUM(J79:K79)+H79*3.412</f>
        <v>16838841.43929252</v>
      </c>
      <c r="N79" s="18">
        <f>M79/D79</f>
        <v>68.999259310388226</v>
      </c>
      <c r="O79" s="26">
        <v>10722011.57178339</v>
      </c>
      <c r="P79" s="17">
        <v>2465526.3603187087</v>
      </c>
      <c r="Q79" s="17">
        <v>2032902.3241830058</v>
      </c>
      <c r="R79" s="17" t="str">
        <f t="shared" si="4"/>
        <v/>
      </c>
      <c r="S79" s="14"/>
      <c r="T79" s="17">
        <v>348646.68452525313</v>
      </c>
      <c r="U79" s="17">
        <v>906716.91839816235</v>
      </c>
      <c r="V79" s="17">
        <f t="shared" si="0"/>
        <v>20472447.346739769</v>
      </c>
      <c r="W79" s="19">
        <f>V79/D79</f>
        <v>83.888414074603702</v>
      </c>
    </row>
    <row r="80" spans="1:23" ht="12.75" customHeight="1">
      <c r="A80" s="14" t="s">
        <v>106</v>
      </c>
      <c r="B80" s="14" t="s">
        <v>176</v>
      </c>
      <c r="C80" s="14" t="s">
        <v>177</v>
      </c>
      <c r="D80" s="15">
        <v>63096.9</v>
      </c>
      <c r="E80" s="78" t="s">
        <v>254</v>
      </c>
      <c r="F80" s="26">
        <v>1727318.5843098997</v>
      </c>
      <c r="G80" s="17">
        <v>223430.48688235731</v>
      </c>
      <c r="H80" s="17">
        <v>413019.02383466903</v>
      </c>
      <c r="I80" s="17" t="str">
        <f t="shared" si="3"/>
        <v/>
      </c>
      <c r="J80" s="14"/>
      <c r="K80" s="14"/>
      <c r="L80" s="17">
        <v>567041.00694074016</v>
      </c>
      <c r="M80" s="17">
        <f>SUM(F80:G80)+SUM(J80:K80)+H80*3.412</f>
        <v>3359969.9805161478</v>
      </c>
      <c r="N80" s="18">
        <f>M80/D80</f>
        <v>53.250951798204788</v>
      </c>
      <c r="O80" s="26">
        <v>1664703.5592447899</v>
      </c>
      <c r="P80" s="17">
        <v>242643.14854013378</v>
      </c>
      <c r="Q80" s="17">
        <v>347936.68263468612</v>
      </c>
      <c r="R80" s="17" t="str">
        <f t="shared" si="4"/>
        <v/>
      </c>
      <c r="S80" s="14"/>
      <c r="T80" s="14"/>
      <c r="U80" s="17">
        <v>457131.51886563981</v>
      </c>
      <c r="V80" s="17">
        <f t="shared" si="0"/>
        <v>3094506.6689344728</v>
      </c>
      <c r="W80" s="19">
        <f>V80/D80</f>
        <v>49.043719563631065</v>
      </c>
    </row>
    <row r="81" spans="1:23" ht="12.75" customHeight="1">
      <c r="A81" s="14" t="s">
        <v>106</v>
      </c>
      <c r="B81" s="14" t="s">
        <v>178</v>
      </c>
      <c r="C81" s="14" t="s">
        <v>179</v>
      </c>
      <c r="D81" s="15">
        <v>27790</v>
      </c>
      <c r="E81" s="78" t="s">
        <v>254</v>
      </c>
      <c r="F81" s="26">
        <v>2178602.5556589304</v>
      </c>
      <c r="G81" s="17">
        <v>1000334.5459036514</v>
      </c>
      <c r="H81" s="17">
        <v>277824.24467639398</v>
      </c>
      <c r="I81" s="17" t="str">
        <f t="shared" si="3"/>
        <v/>
      </c>
      <c r="J81" s="14"/>
      <c r="K81" s="14"/>
      <c r="L81" s="17">
        <v>149003.45553320704</v>
      </c>
      <c r="M81" s="17">
        <f>SUM(F81:G81)+SUM(J81:K81)+H81*3.412</f>
        <v>4126873.4243984381</v>
      </c>
      <c r="N81" s="18">
        <f>M81/D81</f>
        <v>148.50210235330832</v>
      </c>
      <c r="O81" s="26">
        <v>3089726.889653571</v>
      </c>
      <c r="P81" s="17">
        <v>2061819.9136658949</v>
      </c>
      <c r="Q81" s="17">
        <v>306098.26256324188</v>
      </c>
      <c r="R81" s="17" t="str">
        <f t="shared" si="4"/>
        <v/>
      </c>
      <c r="S81" s="14"/>
      <c r="T81" s="14"/>
      <c r="U81" s="17">
        <v>110102.94429460296</v>
      </c>
      <c r="V81" s="17">
        <f t="shared" si="0"/>
        <v>6195954.0751852468</v>
      </c>
      <c r="W81" s="19">
        <f>V81/D81</f>
        <v>222.95624595844717</v>
      </c>
    </row>
    <row r="82" spans="1:23" ht="12.75" customHeight="1">
      <c r="A82" s="14" t="s">
        <v>106</v>
      </c>
      <c r="B82" s="14" t="s">
        <v>180</v>
      </c>
      <c r="C82" s="14" t="s">
        <v>181</v>
      </c>
      <c r="D82" s="15">
        <v>35128</v>
      </c>
      <c r="E82" s="78" t="s">
        <v>254</v>
      </c>
      <c r="F82" s="26">
        <v>5361906.4528627694</v>
      </c>
      <c r="G82" s="17">
        <v>2904325.4504041388</v>
      </c>
      <c r="H82" s="17">
        <v>867673.89731119946</v>
      </c>
      <c r="I82" s="17" t="str">
        <f t="shared" si="3"/>
        <v/>
      </c>
      <c r="J82" s="17">
        <v>86601.924344181898</v>
      </c>
      <c r="K82" s="14"/>
      <c r="L82" s="17">
        <v>1377159.660307091</v>
      </c>
      <c r="M82" s="17">
        <f>SUM(F82:G82)+SUM(J82:K82)+H82*3.412</f>
        <v>11313337.165236903</v>
      </c>
      <c r="N82" s="18">
        <f>M82/D82</f>
        <v>322.06038388854768</v>
      </c>
      <c r="O82" s="26">
        <v>3988798.0357207647</v>
      </c>
      <c r="P82" s="17">
        <v>1419662.4388436242</v>
      </c>
      <c r="Q82" s="17">
        <v>889594.95278060064</v>
      </c>
      <c r="R82" s="17" t="str">
        <f t="shared" si="4"/>
        <v/>
      </c>
      <c r="S82" s="17">
        <v>92652.308970356913</v>
      </c>
      <c r="T82" s="14"/>
      <c r="U82" s="17">
        <v>409137.91975622141</v>
      </c>
      <c r="V82" s="17">
        <f t="shared" si="0"/>
        <v>8536410.7624221556</v>
      </c>
      <c r="W82" s="19">
        <f>V82/D82</f>
        <v>243.00873270388738</v>
      </c>
    </row>
    <row r="83" spans="1:23" ht="12.75" customHeight="1">
      <c r="A83" s="14" t="s">
        <v>106</v>
      </c>
      <c r="B83" s="14" t="s">
        <v>182</v>
      </c>
      <c r="C83" s="14" t="s">
        <v>183</v>
      </c>
      <c r="D83" s="15">
        <v>56011.9</v>
      </c>
      <c r="E83" s="78" t="s">
        <v>254</v>
      </c>
      <c r="F83" s="26">
        <v>2796416.2597656203</v>
      </c>
      <c r="G83" s="14"/>
      <c r="H83" s="17">
        <v>150157.83825133997</v>
      </c>
      <c r="I83" s="17" t="str">
        <f t="shared" si="3"/>
        <v/>
      </c>
      <c r="J83" s="14"/>
      <c r="K83" s="14"/>
      <c r="L83" s="17">
        <v>70574.630434463033</v>
      </c>
      <c r="M83" s="17">
        <f>SUM(F83:G83)+SUM(J83:K83)+H83*3.412</f>
        <v>3308754.8038791921</v>
      </c>
      <c r="N83" s="18">
        <f>M83/D83</f>
        <v>59.07235433683185</v>
      </c>
      <c r="O83" s="26">
        <v>3549263.5712594721</v>
      </c>
      <c r="P83" s="14"/>
      <c r="Q83" s="17">
        <v>167378.12318678969</v>
      </c>
      <c r="R83" s="17" t="str">
        <f t="shared" si="4"/>
        <v/>
      </c>
      <c r="S83" s="14"/>
      <c r="T83" s="14"/>
      <c r="U83" s="17">
        <v>230001.28325100895</v>
      </c>
      <c r="V83" s="17">
        <f t="shared" si="0"/>
        <v>4120357.7275727987</v>
      </c>
      <c r="W83" s="19">
        <f>V83/D83</f>
        <v>73.562184599572561</v>
      </c>
    </row>
    <row r="84" spans="1:23" ht="12.75" customHeight="1">
      <c r="A84" s="20" t="s">
        <v>106</v>
      </c>
      <c r="B84" s="20" t="s">
        <v>184</v>
      </c>
      <c r="C84" s="20" t="s">
        <v>185</v>
      </c>
      <c r="D84" s="21">
        <v>179431.8</v>
      </c>
      <c r="E84" s="78" t="s">
        <v>254</v>
      </c>
      <c r="F84" s="27">
        <v>7190748.6639999915</v>
      </c>
      <c r="G84" s="23">
        <v>1538452.9599560976</v>
      </c>
      <c r="H84" s="23">
        <v>1225820.0025139977</v>
      </c>
      <c r="I84" s="17" t="str">
        <f t="shared" si="3"/>
        <v/>
      </c>
      <c r="J84" s="20"/>
      <c r="K84" s="20"/>
      <c r="L84" s="23">
        <v>5017637.8494620174</v>
      </c>
      <c r="M84" s="23">
        <f>SUM(F84:G84)+SUM(J84:K84)+H84*3.412</f>
        <v>12911699.47253385</v>
      </c>
      <c r="N84" s="24">
        <f>M84/D84</f>
        <v>71.958813724957622</v>
      </c>
      <c r="O84" s="27">
        <v>7610322.668000021</v>
      </c>
      <c r="P84" s="23">
        <v>1423710.7082929183</v>
      </c>
      <c r="Q84" s="23">
        <v>1114579.1750899986</v>
      </c>
      <c r="R84" s="17" t="str">
        <f t="shared" si="4"/>
        <v/>
      </c>
      <c r="S84" s="20"/>
      <c r="T84" s="20"/>
      <c r="U84" s="23">
        <v>4052498.3079669964</v>
      </c>
      <c r="V84" s="23">
        <f t="shared" si="0"/>
        <v>12836977.521700015</v>
      </c>
      <c r="W84" s="25">
        <f>V84/D84</f>
        <v>71.542377224661493</v>
      </c>
    </row>
    <row r="85" spans="1:23" ht="12.75" customHeight="1">
      <c r="A85" s="14" t="s">
        <v>106</v>
      </c>
      <c r="B85" s="14" t="s">
        <v>186</v>
      </c>
      <c r="C85" s="14" t="s">
        <v>187</v>
      </c>
      <c r="D85" s="15">
        <v>78821.899999999994</v>
      </c>
      <c r="E85" s="78" t="s">
        <v>254</v>
      </c>
      <c r="F85" s="26">
        <v>4444874.3310584016</v>
      </c>
      <c r="G85" s="14"/>
      <c r="H85" s="17">
        <v>318729.15294418018</v>
      </c>
      <c r="I85" s="17" t="str">
        <f t="shared" si="3"/>
        <v/>
      </c>
      <c r="J85" s="14"/>
      <c r="K85" s="14"/>
      <c r="L85" s="17">
        <v>1525824.6657707002</v>
      </c>
      <c r="M85" s="17">
        <f>SUM(F85:G85)+SUM(J85:K85)+H85*3.412</f>
        <v>5532378.2009039447</v>
      </c>
      <c r="N85" s="18">
        <f>M85/D85</f>
        <v>70.188338531600294</v>
      </c>
      <c r="O85" s="26">
        <v>3389045.9472656315</v>
      </c>
      <c r="P85" s="14"/>
      <c r="Q85" s="17">
        <v>304627.31618800014</v>
      </c>
      <c r="R85" s="17" t="str">
        <f t="shared" si="4"/>
        <v/>
      </c>
      <c r="S85" s="14"/>
      <c r="T85" s="14"/>
      <c r="U85" s="17">
        <v>1479677.7417050973</v>
      </c>
      <c r="V85" s="17">
        <f t="shared" si="0"/>
        <v>4428434.3500990877</v>
      </c>
      <c r="W85" s="19">
        <f>V85/D85</f>
        <v>56.18279120522454</v>
      </c>
    </row>
    <row r="86" spans="1:23" ht="12.75" customHeight="1">
      <c r="A86" s="20" t="s">
        <v>106</v>
      </c>
      <c r="B86" s="20" t="s">
        <v>188</v>
      </c>
      <c r="C86" s="20" t="s">
        <v>189</v>
      </c>
      <c r="D86" s="21">
        <v>29821</v>
      </c>
      <c r="E86" s="78" t="s">
        <v>254</v>
      </c>
      <c r="F86" s="27">
        <v>2535632.9033983536</v>
      </c>
      <c r="G86" s="20"/>
      <c r="H86" s="23">
        <v>266823.74284500012</v>
      </c>
      <c r="I86" s="17" t="str">
        <f t="shared" si="3"/>
        <v/>
      </c>
      <c r="J86" s="20"/>
      <c r="K86" s="20"/>
      <c r="L86" s="23">
        <v>261706.76273346896</v>
      </c>
      <c r="M86" s="23">
        <f>SUM(F86:G86)+SUM(J86:K86)+H86*3.412</f>
        <v>3446035.5139854942</v>
      </c>
      <c r="N86" s="24">
        <f>M86/D86</f>
        <v>115.55734261042534</v>
      </c>
      <c r="O86" s="27">
        <v>2634111.3233506088</v>
      </c>
      <c r="P86" s="20"/>
      <c r="Q86" s="23">
        <v>289156.58754100045</v>
      </c>
      <c r="R86" s="17" t="str">
        <f t="shared" si="4"/>
        <v/>
      </c>
      <c r="S86" s="20"/>
      <c r="T86" s="20"/>
      <c r="U86" s="23">
        <v>151413.047746344</v>
      </c>
      <c r="V86" s="23">
        <f t="shared" si="0"/>
        <v>3620713.6000405024</v>
      </c>
      <c r="W86" s="25">
        <f>V86/D86</f>
        <v>121.41489554476719</v>
      </c>
    </row>
    <row r="87" spans="1:23" ht="12.75" customHeight="1">
      <c r="A87" s="20" t="s">
        <v>106</v>
      </c>
      <c r="B87" s="20" t="s">
        <v>190</v>
      </c>
      <c r="C87" s="20" t="s">
        <v>191</v>
      </c>
      <c r="D87" s="21">
        <v>74852.899999999994</v>
      </c>
      <c r="E87" s="78" t="s">
        <v>254</v>
      </c>
      <c r="F87" s="27">
        <v>3934947.0634571593</v>
      </c>
      <c r="G87" s="20"/>
      <c r="H87" s="23">
        <v>338753.6035559997</v>
      </c>
      <c r="I87" s="17" t="str">
        <f t="shared" si="3"/>
        <v/>
      </c>
      <c r="J87" s="20"/>
      <c r="K87" s="20"/>
      <c r="L87" s="23">
        <v>2074728.0545080053</v>
      </c>
      <c r="M87" s="23">
        <f>SUM(F87:G87)+SUM(J87:K87)+H87*3.412</f>
        <v>5090774.35879023</v>
      </c>
      <c r="N87" s="24">
        <f>M87/D87</f>
        <v>68.010382480708572</v>
      </c>
      <c r="O87" s="27">
        <v>3487554.674622369</v>
      </c>
      <c r="P87" s="20"/>
      <c r="Q87" s="23">
        <v>324906.26882600086</v>
      </c>
      <c r="R87" s="17" t="str">
        <f t="shared" si="4"/>
        <v/>
      </c>
      <c r="S87" s="20"/>
      <c r="T87" s="20"/>
      <c r="U87" s="23">
        <v>1647918.7793660003</v>
      </c>
      <c r="V87" s="23">
        <f t="shared" si="0"/>
        <v>4596134.8638566844</v>
      </c>
      <c r="W87" s="25">
        <f>V87/D87</f>
        <v>61.402228422101011</v>
      </c>
    </row>
    <row r="88" spans="1:23" ht="12.75" customHeight="1">
      <c r="A88" s="14" t="s">
        <v>106</v>
      </c>
      <c r="B88" s="14" t="s">
        <v>192</v>
      </c>
      <c r="C88" s="14" t="s">
        <v>193</v>
      </c>
      <c r="D88" s="15">
        <v>54380.9</v>
      </c>
      <c r="E88" s="78" t="s">
        <v>254</v>
      </c>
      <c r="F88" s="26">
        <v>1732362.6822455996</v>
      </c>
      <c r="G88" s="17">
        <v>809580.26337152882</v>
      </c>
      <c r="H88" s="17">
        <v>296634.15701118018</v>
      </c>
      <c r="I88" s="17" t="str">
        <f t="shared" si="3"/>
        <v/>
      </c>
      <c r="J88" s="14"/>
      <c r="K88" s="14"/>
      <c r="L88" s="17">
        <v>714303.2544298498</v>
      </c>
      <c r="M88" s="17">
        <f>SUM(F88:G88)+SUM(J88:K88)+H88*3.412</f>
        <v>3554058.689339275</v>
      </c>
      <c r="N88" s="18">
        <f>M88/D88</f>
        <v>65.354907501333642</v>
      </c>
      <c r="O88" s="26">
        <v>1913472.5856827041</v>
      </c>
      <c r="P88" s="17">
        <v>938414.21881576441</v>
      </c>
      <c r="Q88" s="17">
        <v>293916.24156532995</v>
      </c>
      <c r="R88" s="17" t="str">
        <f t="shared" si="4"/>
        <v/>
      </c>
      <c r="S88" s="14"/>
      <c r="T88" s="14"/>
      <c r="U88" s="17">
        <v>605009.6898505101</v>
      </c>
      <c r="V88" s="17">
        <f t="shared" si="0"/>
        <v>3854729.0207193745</v>
      </c>
      <c r="W88" s="19">
        <f>V88/D88</f>
        <v>70.883876889116848</v>
      </c>
    </row>
    <row r="89" spans="1:23" ht="12.75" customHeight="1">
      <c r="A89" s="20" t="s">
        <v>106</v>
      </c>
      <c r="B89" s="20" t="s">
        <v>194</v>
      </c>
      <c r="C89" s="20" t="s">
        <v>195</v>
      </c>
      <c r="D89" s="21">
        <v>71402.899999999994</v>
      </c>
      <c r="E89" s="78" t="s">
        <v>254</v>
      </c>
      <c r="F89" s="27">
        <v>4972000.0000000009</v>
      </c>
      <c r="G89" s="23">
        <v>1918104.6097183428</v>
      </c>
      <c r="H89" s="23">
        <v>484319.80066635017</v>
      </c>
      <c r="I89" s="17" t="str">
        <f t="shared" si="3"/>
        <v/>
      </c>
      <c r="J89" s="20"/>
      <c r="K89" s="20"/>
      <c r="L89" s="23">
        <v>2049508.5714350091</v>
      </c>
      <c r="M89" s="23">
        <f>SUM(F89:G89)+SUM(J89:K89)+H89*3.412</f>
        <v>8542603.7695919294</v>
      </c>
      <c r="N89" s="24">
        <f>M89/D89</f>
        <v>119.6394511930458</v>
      </c>
      <c r="O89" s="27">
        <v>4453319.3316624993</v>
      </c>
      <c r="P89" s="23">
        <v>2082625.1577840333</v>
      </c>
      <c r="Q89" s="23">
        <v>492477.2502621999</v>
      </c>
      <c r="R89" s="17" t="str">
        <f t="shared" si="4"/>
        <v/>
      </c>
      <c r="S89" s="20"/>
      <c r="T89" s="20"/>
      <c r="U89" s="23">
        <v>2313631.5950984005</v>
      </c>
      <c r="V89" s="23">
        <f t="shared" si="0"/>
        <v>8216276.8673411589</v>
      </c>
      <c r="W89" s="25">
        <f>V89/D89</f>
        <v>115.06923202476594</v>
      </c>
    </row>
    <row r="90" spans="1:23" ht="12.75" customHeight="1">
      <c r="A90" s="20" t="s">
        <v>106</v>
      </c>
      <c r="B90" s="20" t="s">
        <v>196</v>
      </c>
      <c r="C90" s="20" t="s">
        <v>197</v>
      </c>
      <c r="D90" s="21">
        <v>28572</v>
      </c>
      <c r="E90" s="78" t="s">
        <v>255</v>
      </c>
      <c r="F90" s="27">
        <v>1242422.1423101174</v>
      </c>
      <c r="G90" s="20"/>
      <c r="H90" s="23">
        <v>419631.00000000012</v>
      </c>
      <c r="I90" s="17">
        <f t="shared" si="3"/>
        <v>419631.00000000012</v>
      </c>
      <c r="J90" s="20"/>
      <c r="K90" s="20"/>
      <c r="L90" s="23">
        <v>146482.59548555897</v>
      </c>
      <c r="M90" s="23">
        <f>SUM(F90:G90)+SUM(J90:K90)+H90*3.412</f>
        <v>2674203.1143101174</v>
      </c>
      <c r="N90" s="24">
        <f>M90/D90</f>
        <v>93.595237096112186</v>
      </c>
      <c r="O90" s="27">
        <v>1252468.0198868616</v>
      </c>
      <c r="P90" s="20"/>
      <c r="Q90" s="23">
        <v>357917.0000000014</v>
      </c>
      <c r="R90" s="17">
        <f t="shared" si="4"/>
        <v>357917.0000000014</v>
      </c>
      <c r="S90" s="20"/>
      <c r="T90" s="20"/>
      <c r="U90" s="23">
        <v>117820.48444267001</v>
      </c>
      <c r="V90" s="23">
        <f t="shared" si="0"/>
        <v>2473680.8238868662</v>
      </c>
      <c r="W90" s="25">
        <f>V90/D90</f>
        <v>86.577097294094429</v>
      </c>
    </row>
    <row r="91" spans="1:23" ht="12.75" customHeight="1">
      <c r="A91" s="14" t="s">
        <v>106</v>
      </c>
      <c r="B91" s="14" t="s">
        <v>198</v>
      </c>
      <c r="C91" s="14" t="s">
        <v>199</v>
      </c>
      <c r="D91" s="15">
        <v>10221</v>
      </c>
      <c r="E91" s="78" t="s">
        <v>254</v>
      </c>
      <c r="F91" s="26">
        <v>431796.63629752013</v>
      </c>
      <c r="G91" s="14"/>
      <c r="H91" s="17">
        <v>31027.661465720972</v>
      </c>
      <c r="I91" s="17" t="str">
        <f t="shared" si="3"/>
        <v/>
      </c>
      <c r="J91" s="14"/>
      <c r="K91" s="14"/>
      <c r="L91" s="17">
        <v>126007.99094095896</v>
      </c>
      <c r="M91" s="17">
        <f>SUM(F91:G91)+SUM(J91:K91)+H91*3.412</f>
        <v>537663.0172185601</v>
      </c>
      <c r="N91" s="18">
        <f>M91/D91</f>
        <v>52.603758655567958</v>
      </c>
      <c r="O91" s="26">
        <v>438906.42516925023</v>
      </c>
      <c r="P91" s="14"/>
      <c r="Q91" s="17">
        <v>32078.008888890094</v>
      </c>
      <c r="R91" s="17" t="str">
        <f t="shared" si="4"/>
        <v/>
      </c>
      <c r="S91" s="14"/>
      <c r="T91" s="14"/>
      <c r="U91" s="17">
        <v>110657.97843476292</v>
      </c>
      <c r="V91" s="17">
        <f t="shared" si="0"/>
        <v>548356.59149814327</v>
      </c>
      <c r="W91" s="19">
        <f>V91/D91</f>
        <v>53.649994276307922</v>
      </c>
    </row>
    <row r="92" spans="1:23" ht="12.75" customHeight="1">
      <c r="A92" s="20" t="s">
        <v>106</v>
      </c>
      <c r="B92" s="20" t="s">
        <v>200</v>
      </c>
      <c r="C92" s="20" t="s">
        <v>201</v>
      </c>
      <c r="D92" s="21">
        <v>9066</v>
      </c>
      <c r="E92" s="78" t="s">
        <v>254</v>
      </c>
      <c r="F92" s="27">
        <v>379988.28970361961</v>
      </c>
      <c r="G92" s="20"/>
      <c r="H92" s="23">
        <v>31900.358510573977</v>
      </c>
      <c r="I92" s="17" t="str">
        <f t="shared" si="3"/>
        <v/>
      </c>
      <c r="J92" s="20"/>
      <c r="K92" s="20"/>
      <c r="L92" s="23">
        <v>361962.36391224741</v>
      </c>
      <c r="M92" s="23">
        <f>SUM(F92:G92)+SUM(J92:K92)+H92*3.412</f>
        <v>488832.31294169801</v>
      </c>
      <c r="N92" s="24">
        <f>M92/D92</f>
        <v>53.919293287193689</v>
      </c>
      <c r="O92" s="27">
        <v>374408.28517318034</v>
      </c>
      <c r="P92" s="20"/>
      <c r="Q92" s="23">
        <v>31296.991613061982</v>
      </c>
      <c r="R92" s="17" t="str">
        <f t="shared" si="4"/>
        <v/>
      </c>
      <c r="S92" s="20"/>
      <c r="T92" s="20"/>
      <c r="U92" s="23">
        <v>391469.59237912309</v>
      </c>
      <c r="V92" s="23">
        <f t="shared" si="0"/>
        <v>481193.62055694783</v>
      </c>
      <c r="W92" s="25">
        <f>V92/D92</f>
        <v>53.076728497346991</v>
      </c>
    </row>
    <row r="93" spans="1:23" ht="12.75" customHeight="1">
      <c r="A93" s="14" t="s">
        <v>106</v>
      </c>
      <c r="B93" s="14" t="s">
        <v>202</v>
      </c>
      <c r="C93" s="14" t="s">
        <v>203</v>
      </c>
      <c r="D93" s="15">
        <v>10546</v>
      </c>
      <c r="E93" s="78" t="s">
        <v>254</v>
      </c>
      <c r="F93" s="26">
        <v>442929.23536109971</v>
      </c>
      <c r="G93" s="14"/>
      <c r="H93" s="17">
        <v>59021.776620171033</v>
      </c>
      <c r="I93" s="17" t="str">
        <f t="shared" si="3"/>
        <v/>
      </c>
      <c r="J93" s="14"/>
      <c r="K93" s="14"/>
      <c r="L93" s="17">
        <v>156312.64178120997</v>
      </c>
      <c r="M93" s="17">
        <f>SUM(F93:G93)+SUM(J93:K93)+H93*3.412</f>
        <v>644311.53718912322</v>
      </c>
      <c r="N93" s="18">
        <f>M93/D93</f>
        <v>61.095347732706543</v>
      </c>
      <c r="O93" s="26">
        <v>511580.40011899977</v>
      </c>
      <c r="P93" s="14"/>
      <c r="Q93" s="17">
        <v>52434.797324927989</v>
      </c>
      <c r="R93" s="17" t="str">
        <f t="shared" si="4"/>
        <v/>
      </c>
      <c r="S93" s="14"/>
      <c r="T93" s="14"/>
      <c r="U93" s="17">
        <v>98172.138704609824</v>
      </c>
      <c r="V93" s="17">
        <f t="shared" si="0"/>
        <v>690487.92859165405</v>
      </c>
      <c r="W93" s="19">
        <f>V93/D93</f>
        <v>65.473916991433157</v>
      </c>
    </row>
    <row r="94" spans="1:23" ht="12.75" customHeight="1">
      <c r="A94" s="20" t="s">
        <v>106</v>
      </c>
      <c r="B94" s="20" t="s">
        <v>204</v>
      </c>
      <c r="C94" s="20" t="s">
        <v>205</v>
      </c>
      <c r="D94" s="21">
        <v>8389</v>
      </c>
      <c r="E94" s="78" t="s">
        <v>254</v>
      </c>
      <c r="F94" s="27">
        <v>420330.48800341034</v>
      </c>
      <c r="G94" s="20"/>
      <c r="H94" s="23">
        <v>33228.898007748998</v>
      </c>
      <c r="I94" s="17" t="str">
        <f t="shared" si="3"/>
        <v/>
      </c>
      <c r="J94" s="20"/>
      <c r="K94" s="20"/>
      <c r="L94" s="23">
        <v>143649.48684719694</v>
      </c>
      <c r="M94" s="23">
        <f>SUM(F94:G94)+SUM(J94:K94)+H94*3.412</f>
        <v>533707.48800584988</v>
      </c>
      <c r="N94" s="24">
        <f>M94/D94</f>
        <v>63.619917511723671</v>
      </c>
      <c r="O94" s="27">
        <v>357672.79835573019</v>
      </c>
      <c r="P94" s="20"/>
      <c r="Q94" s="23">
        <v>33909.708595128963</v>
      </c>
      <c r="R94" s="17" t="str">
        <f t="shared" si="4"/>
        <v/>
      </c>
      <c r="S94" s="20"/>
      <c r="T94" s="20"/>
      <c r="U94" s="23">
        <v>114620.68472909997</v>
      </c>
      <c r="V94" s="23">
        <f t="shared" si="0"/>
        <v>473372.72408231022</v>
      </c>
      <c r="W94" s="25">
        <f>V94/D94</f>
        <v>56.427789257636213</v>
      </c>
    </row>
    <row r="95" spans="1:23" ht="12.75" customHeight="1">
      <c r="A95" s="20" t="s">
        <v>106</v>
      </c>
      <c r="B95" s="20" t="s">
        <v>206</v>
      </c>
      <c r="C95" s="20" t="s">
        <v>207</v>
      </c>
      <c r="D95" s="21">
        <v>8909</v>
      </c>
      <c r="E95" s="78" t="s">
        <v>254</v>
      </c>
      <c r="F95" s="27">
        <v>553999.99999999977</v>
      </c>
      <c r="G95" s="20"/>
      <c r="H95" s="23">
        <v>54349.387305950047</v>
      </c>
      <c r="I95" s="17" t="str">
        <f t="shared" si="3"/>
        <v/>
      </c>
      <c r="J95" s="20"/>
      <c r="K95" s="20"/>
      <c r="L95" s="23">
        <v>193650</v>
      </c>
      <c r="M95" s="23">
        <f>SUM(F95:G95)+SUM(J95:K95)+H95*3.412</f>
        <v>739440.10948790133</v>
      </c>
      <c r="N95" s="24">
        <f>M95/D95</f>
        <v>82.999226567280431</v>
      </c>
      <c r="O95" s="27">
        <v>474550.20069908019</v>
      </c>
      <c r="P95" s="20"/>
      <c r="Q95" s="23">
        <v>39783.404744850239</v>
      </c>
      <c r="R95" s="17" t="str">
        <f t="shared" si="4"/>
        <v/>
      </c>
      <c r="S95" s="20"/>
      <c r="T95" s="20"/>
      <c r="U95" s="23">
        <v>186278.7666666701</v>
      </c>
      <c r="V95" s="23">
        <f t="shared" si="0"/>
        <v>610291.17768850923</v>
      </c>
      <c r="W95" s="25">
        <f>V95/D95</f>
        <v>68.502769972893617</v>
      </c>
    </row>
    <row r="96" spans="1:23" ht="12.75" customHeight="1">
      <c r="A96" s="20" t="s">
        <v>106</v>
      </c>
      <c r="B96" s="20" t="s">
        <v>208</v>
      </c>
      <c r="C96" s="20" t="s">
        <v>209</v>
      </c>
      <c r="D96" s="21">
        <v>7611</v>
      </c>
      <c r="E96" s="78" t="s">
        <v>254</v>
      </c>
      <c r="F96" s="27">
        <v>410629.76831733994</v>
      </c>
      <c r="G96" s="20"/>
      <c r="H96" s="23">
        <v>50182.69235941302</v>
      </c>
      <c r="I96" s="17" t="str">
        <f t="shared" si="3"/>
        <v/>
      </c>
      <c r="J96" s="20"/>
      <c r="K96" s="20"/>
      <c r="L96" s="23">
        <v>167247.68087747996</v>
      </c>
      <c r="M96" s="23">
        <f>SUM(F96:G96)+SUM(J96:K96)+H96*3.412</f>
        <v>581853.11464765714</v>
      </c>
      <c r="N96" s="24">
        <f>M96/D96</f>
        <v>76.448970522619518</v>
      </c>
      <c r="O96" s="27">
        <v>475682.49855958013</v>
      </c>
      <c r="P96" s="20"/>
      <c r="Q96" s="23">
        <v>31104.246117246919</v>
      </c>
      <c r="R96" s="17" t="str">
        <f t="shared" si="4"/>
        <v/>
      </c>
      <c r="S96" s="20"/>
      <c r="T96" s="20"/>
      <c r="U96" s="23">
        <v>115784.93104388006</v>
      </c>
      <c r="V96" s="23">
        <f t="shared" si="0"/>
        <v>581810.18631162657</v>
      </c>
      <c r="W96" s="25">
        <f>V96/D96</f>
        <v>76.443330220946862</v>
      </c>
    </row>
    <row r="97" spans="1:23" ht="12.75" customHeight="1">
      <c r="A97" s="14" t="s">
        <v>106</v>
      </c>
      <c r="B97" s="14" t="s">
        <v>210</v>
      </c>
      <c r="C97" s="14" t="s">
        <v>211</v>
      </c>
      <c r="D97" s="15">
        <v>13670</v>
      </c>
      <c r="E97" s="78" t="s">
        <v>254</v>
      </c>
      <c r="F97" s="26">
        <v>551443.50713872898</v>
      </c>
      <c r="G97" s="14"/>
      <c r="H97" s="17">
        <v>48269.192108756048</v>
      </c>
      <c r="I97" s="17" t="str">
        <f t="shared" si="3"/>
        <v/>
      </c>
      <c r="J97" s="14"/>
      <c r="K97" s="14"/>
      <c r="L97" s="17">
        <v>441541.62239948008</v>
      </c>
      <c r="M97" s="17">
        <f>SUM(F97:G97)+SUM(J97:K97)+H97*3.412</f>
        <v>716137.99061380466</v>
      </c>
      <c r="N97" s="18">
        <f>M97/D97</f>
        <v>52.387563322151038</v>
      </c>
      <c r="O97" s="26">
        <v>568108.19625323988</v>
      </c>
      <c r="P97" s="14"/>
      <c r="Q97" s="17">
        <v>50801.717061185263</v>
      </c>
      <c r="R97" s="17" t="str">
        <f t="shared" si="4"/>
        <v/>
      </c>
      <c r="S97" s="14"/>
      <c r="T97" s="14"/>
      <c r="U97" s="17">
        <v>228610.69770977972</v>
      </c>
      <c r="V97" s="17">
        <f t="shared" si="0"/>
        <v>741443.65486600401</v>
      </c>
      <c r="W97" s="19">
        <f>V97/D97</f>
        <v>54.238745783906658</v>
      </c>
    </row>
    <row r="98" spans="1:23" ht="12.75" customHeight="1">
      <c r="A98" s="14" t="s">
        <v>106</v>
      </c>
      <c r="B98" s="14" t="s">
        <v>212</v>
      </c>
      <c r="C98" s="14" t="s">
        <v>213</v>
      </c>
      <c r="D98" s="15">
        <v>11532</v>
      </c>
      <c r="E98" s="78" t="s">
        <v>254</v>
      </c>
      <c r="F98" s="26">
        <v>402928.44124435954</v>
      </c>
      <c r="G98" s="14"/>
      <c r="H98" s="17">
        <v>36821.430351880146</v>
      </c>
      <c r="I98" s="17" t="str">
        <f t="shared" si="3"/>
        <v/>
      </c>
      <c r="J98" s="14"/>
      <c r="K98" s="14"/>
      <c r="L98" s="17">
        <v>250125.6143358699</v>
      </c>
      <c r="M98" s="17">
        <f>SUM(F98:G98)+SUM(J98:K98)+H98*3.412</f>
        <v>528563.16160497465</v>
      </c>
      <c r="N98" s="18">
        <f>M98/D98</f>
        <v>45.834474644898947</v>
      </c>
      <c r="O98" s="26">
        <v>322979.21841134969</v>
      </c>
      <c r="P98" s="14"/>
      <c r="Q98" s="17">
        <v>28794.436354609905</v>
      </c>
      <c r="R98" s="17" t="str">
        <f t="shared" si="4"/>
        <v/>
      </c>
      <c r="S98" s="14"/>
      <c r="T98" s="14"/>
      <c r="U98" s="17">
        <v>95891.138840980129</v>
      </c>
      <c r="V98" s="17">
        <f t="shared" si="0"/>
        <v>421225.83525327867</v>
      </c>
      <c r="W98" s="19">
        <f>V98/D98</f>
        <v>36.526694003926352</v>
      </c>
    </row>
    <row r="99" spans="1:23" ht="12.75" customHeight="1">
      <c r="A99" s="14" t="s">
        <v>106</v>
      </c>
      <c r="B99" s="14" t="s">
        <v>214</v>
      </c>
      <c r="C99" s="14" t="s">
        <v>215</v>
      </c>
      <c r="D99" s="15">
        <v>12650</v>
      </c>
      <c r="E99" s="78" t="s">
        <v>254</v>
      </c>
      <c r="F99" s="26">
        <v>574691.63968805072</v>
      </c>
      <c r="G99" s="14"/>
      <c r="H99" s="17">
        <v>46677.196422459907</v>
      </c>
      <c r="I99" s="17" t="str">
        <f t="shared" si="3"/>
        <v/>
      </c>
      <c r="J99" s="14"/>
      <c r="K99" s="14"/>
      <c r="L99" s="17">
        <v>211498.85623346991</v>
      </c>
      <c r="M99" s="17">
        <f>SUM(F99:G99)+SUM(J99:K99)+H99*3.412</f>
        <v>733954.2338814839</v>
      </c>
      <c r="N99" s="18">
        <f>M99/D99</f>
        <v>58.02009754003825</v>
      </c>
      <c r="O99" s="26">
        <v>462367.00458269042</v>
      </c>
      <c r="P99" s="14"/>
      <c r="Q99" s="17">
        <v>48640.304221051978</v>
      </c>
      <c r="R99" s="17" t="str">
        <f t="shared" si="4"/>
        <v/>
      </c>
      <c r="S99" s="14"/>
      <c r="T99" s="14"/>
      <c r="U99" s="17">
        <v>173208.94381412002</v>
      </c>
      <c r="V99" s="17">
        <f t="shared" si="0"/>
        <v>628327.72258491977</v>
      </c>
      <c r="W99" s="19">
        <f>V99/D99</f>
        <v>49.670175698412628</v>
      </c>
    </row>
    <row r="100" spans="1:23" ht="12.75" customHeight="1">
      <c r="A100" s="20" t="s">
        <v>106</v>
      </c>
      <c r="B100" s="20" t="s">
        <v>216</v>
      </c>
      <c r="C100" s="20" t="s">
        <v>217</v>
      </c>
      <c r="D100" s="21">
        <v>359143.7</v>
      </c>
      <c r="E100" s="78" t="s">
        <v>255</v>
      </c>
      <c r="F100" s="27">
        <v>14361000.000000006</v>
      </c>
      <c r="G100" s="20"/>
      <c r="H100" s="23">
        <v>1382717.9999999981</v>
      </c>
      <c r="I100" s="17">
        <f t="shared" si="3"/>
        <v>1382717.9999999981</v>
      </c>
      <c r="J100" s="20"/>
      <c r="K100" s="20"/>
      <c r="L100" s="23">
        <v>11084999.99999997</v>
      </c>
      <c r="M100" s="23">
        <f>SUM(F100:G100)+SUM(J100:K100)+H100*3.412</f>
        <v>19078833.816</v>
      </c>
      <c r="N100" s="24">
        <f>M100/D100</f>
        <v>53.123119843115717</v>
      </c>
      <c r="O100" s="27">
        <v>13964664.403864179</v>
      </c>
      <c r="P100" s="20"/>
      <c r="Q100" s="23">
        <v>1476683.0000000009</v>
      </c>
      <c r="R100" s="17">
        <f t="shared" si="4"/>
        <v>1476683.0000000009</v>
      </c>
      <c r="S100" s="20"/>
      <c r="T100" s="20"/>
      <c r="U100" s="23">
        <v>5104000.0000000335</v>
      </c>
      <c r="V100" s="23">
        <f t="shared" si="0"/>
        <v>19003106.79986418</v>
      </c>
      <c r="W100" s="25">
        <f>V100/D100</f>
        <v>52.912265479985251</v>
      </c>
    </row>
    <row r="101" spans="1:23" ht="12.75" customHeight="1">
      <c r="A101" s="20" t="s">
        <v>106</v>
      </c>
      <c r="B101" s="20" t="s">
        <v>218</v>
      </c>
      <c r="C101" s="20" t="s">
        <v>219</v>
      </c>
      <c r="D101" s="21">
        <v>151493.9</v>
      </c>
      <c r="E101" s="78" t="s">
        <v>254</v>
      </c>
      <c r="F101" s="27">
        <v>9589509.3481450137</v>
      </c>
      <c r="G101" s="20"/>
      <c r="H101" s="23">
        <v>616587.01964999945</v>
      </c>
      <c r="I101" s="17" t="str">
        <f t="shared" si="3"/>
        <v/>
      </c>
      <c r="J101" s="20"/>
      <c r="K101" s="20"/>
      <c r="L101" s="20"/>
      <c r="M101" s="23">
        <f>SUM(F101:G101)+SUM(J101:K101)+H101*3.412</f>
        <v>11693304.259190813</v>
      </c>
      <c r="N101" s="24">
        <f>M101/D101</f>
        <v>77.186634307987404</v>
      </c>
      <c r="O101" s="27">
        <v>9395666.9004929643</v>
      </c>
      <c r="P101" s="20"/>
      <c r="Q101" s="23">
        <v>631774.3118780005</v>
      </c>
      <c r="R101" s="17" t="str">
        <f t="shared" si="4"/>
        <v/>
      </c>
      <c r="S101" s="20"/>
      <c r="T101" s="20"/>
      <c r="U101" s="20"/>
      <c r="V101" s="23">
        <f t="shared" si="0"/>
        <v>11551280.852620702</v>
      </c>
      <c r="W101" s="25">
        <f>V101/D101</f>
        <v>76.249148332841798</v>
      </c>
    </row>
    <row r="102" spans="1:23" ht="12.75" customHeight="1">
      <c r="A102" s="14" t="s">
        <v>220</v>
      </c>
      <c r="B102" s="14" t="s">
        <v>221</v>
      </c>
      <c r="C102" s="14" t="s">
        <v>222</v>
      </c>
      <c r="D102" s="15">
        <v>41046</v>
      </c>
      <c r="E102" s="78" t="s">
        <v>254</v>
      </c>
      <c r="F102" s="16"/>
      <c r="G102" s="14"/>
      <c r="H102" s="17">
        <v>305410</v>
      </c>
      <c r="I102" s="17" t="str">
        <f t="shared" si="3"/>
        <v/>
      </c>
      <c r="J102" s="17">
        <v>1332190.7810499351</v>
      </c>
      <c r="K102" s="14"/>
      <c r="L102" s="17">
        <v>442000.00000000099</v>
      </c>
      <c r="M102" s="17">
        <f>SUM(F102:G102)+SUM(J102:K102)+H102*3.412</f>
        <v>2374249.7010499351</v>
      </c>
      <c r="N102" s="18">
        <f>M102/D102</f>
        <v>57.843631560930056</v>
      </c>
      <c r="O102" s="16"/>
      <c r="P102" s="14"/>
      <c r="Q102" s="17">
        <v>300789.86666665995</v>
      </c>
      <c r="R102" s="17" t="str">
        <f t="shared" si="4"/>
        <v/>
      </c>
      <c r="S102" s="17">
        <v>1381741.3098117358</v>
      </c>
      <c r="T102" s="14"/>
      <c r="U102" s="17">
        <v>439000.00000000087</v>
      </c>
      <c r="V102" s="17">
        <f t="shared" si="0"/>
        <v>2408036.3348783795</v>
      </c>
      <c r="W102" s="19">
        <f>V102/D102</f>
        <v>58.666772276918081</v>
      </c>
    </row>
    <row r="103" spans="1:23" ht="12.75" customHeight="1">
      <c r="A103" s="14" t="s">
        <v>220</v>
      </c>
      <c r="B103" s="14" t="s">
        <v>223</v>
      </c>
      <c r="C103" s="14" t="s">
        <v>224</v>
      </c>
      <c r="D103" s="15">
        <v>98090.9</v>
      </c>
      <c r="E103" s="78" t="s">
        <v>254</v>
      </c>
      <c r="F103" s="16"/>
      <c r="G103" s="14"/>
      <c r="H103" s="17">
        <v>3244130.8860094799</v>
      </c>
      <c r="I103" s="17" t="str">
        <f t="shared" si="3"/>
        <v/>
      </c>
      <c r="J103" s="14"/>
      <c r="K103" s="14"/>
      <c r="L103" s="14"/>
      <c r="M103" s="14">
        <f>SUM(F103:G103)+SUM(J103:K103)+H103*3.412</f>
        <v>11068974.583064346</v>
      </c>
      <c r="N103" s="18">
        <f>M103/D103</f>
        <v>112.84405162012324</v>
      </c>
      <c r="O103" s="16"/>
      <c r="P103" s="14"/>
      <c r="Q103" s="17">
        <v>3828121.1933333306</v>
      </c>
      <c r="R103" s="17" t="str">
        <f t="shared" si="4"/>
        <v/>
      </c>
      <c r="S103" s="14"/>
      <c r="T103" s="14"/>
      <c r="U103" s="14"/>
      <c r="V103" s="14">
        <f t="shared" si="0"/>
        <v>13061549.511653323</v>
      </c>
      <c r="W103" s="19">
        <f>V103/D103</f>
        <v>133.15760699161007</v>
      </c>
    </row>
    <row r="104" spans="1:23" ht="12.75" customHeight="1">
      <c r="A104" s="20" t="s">
        <v>220</v>
      </c>
      <c r="B104" s="20" t="s">
        <v>225</v>
      </c>
      <c r="C104" s="20" t="s">
        <v>226</v>
      </c>
      <c r="D104" s="21">
        <v>199479.8</v>
      </c>
      <c r="E104" s="78" t="s">
        <v>254</v>
      </c>
      <c r="F104" s="22"/>
      <c r="G104" s="20"/>
      <c r="H104" s="23">
        <v>17343802.491846997</v>
      </c>
      <c r="I104" s="17" t="str">
        <f t="shared" si="3"/>
        <v/>
      </c>
      <c r="J104" s="23">
        <v>34996691.942903139</v>
      </c>
      <c r="K104" s="20"/>
      <c r="L104" s="23">
        <v>9743999.999999987</v>
      </c>
      <c r="M104" s="23">
        <f>SUM(F104:G104)+SUM(J104:K104)+H104*3.412</f>
        <v>94173746.045085102</v>
      </c>
      <c r="N104" s="24">
        <f>M104/D104</f>
        <v>472.09665362149502</v>
      </c>
      <c r="O104" s="22"/>
      <c r="P104" s="20"/>
      <c r="Q104" s="23">
        <v>16916622.839999996</v>
      </c>
      <c r="R104" s="17" t="str">
        <f t="shared" si="4"/>
        <v/>
      </c>
      <c r="S104" s="23">
        <v>37334532.318490058</v>
      </c>
      <c r="T104" s="20"/>
      <c r="U104" s="23">
        <v>11242000.000000052</v>
      </c>
      <c r="V104" s="23">
        <f t="shared" si="0"/>
        <v>95054049.448570043</v>
      </c>
      <c r="W104" s="25">
        <f>V104/D104</f>
        <v>476.50964883948171</v>
      </c>
    </row>
    <row r="105" spans="1:23" ht="12.75" customHeight="1">
      <c r="A105" s="20" t="s">
        <v>220</v>
      </c>
      <c r="B105" s="20" t="s">
        <v>227</v>
      </c>
      <c r="C105" s="20" t="s">
        <v>228</v>
      </c>
      <c r="D105" s="21">
        <v>92077.9</v>
      </c>
      <c r="E105" s="78" t="s">
        <v>254</v>
      </c>
      <c r="F105" s="22"/>
      <c r="G105" s="20"/>
      <c r="H105" s="23">
        <v>2115468.4999999939</v>
      </c>
      <c r="I105" s="17" t="str">
        <f t="shared" si="3"/>
        <v/>
      </c>
      <c r="J105" s="23">
        <v>1109053.3029828819</v>
      </c>
      <c r="K105" s="20"/>
      <c r="L105" s="23">
        <v>3388573.6077368935</v>
      </c>
      <c r="M105" s="23">
        <f>SUM(F105:G105)+SUM(J105:K105)+H105*3.412</f>
        <v>8327031.8249828611</v>
      </c>
      <c r="N105" s="24">
        <f>M105/D105</f>
        <v>90.434640939713674</v>
      </c>
      <c r="O105" s="22"/>
      <c r="P105" s="20"/>
      <c r="Q105" s="23">
        <v>2295156.5666666701</v>
      </c>
      <c r="R105" s="17" t="str">
        <f t="shared" si="4"/>
        <v/>
      </c>
      <c r="S105" s="23">
        <v>1313739.4129084318</v>
      </c>
      <c r="T105" s="20"/>
      <c r="U105" s="23">
        <v>3111911.0285482397</v>
      </c>
      <c r="V105" s="23">
        <f t="shared" si="0"/>
        <v>9144813.6183751095</v>
      </c>
      <c r="W105" s="25">
        <f>V105/D105</f>
        <v>99.316053237260078</v>
      </c>
    </row>
    <row r="106" spans="1:23" ht="12.75" customHeight="1">
      <c r="A106" s="20" t="s">
        <v>220</v>
      </c>
      <c r="B106" s="20" t="s">
        <v>229</v>
      </c>
      <c r="C106" s="20" t="s">
        <v>230</v>
      </c>
      <c r="D106" s="21">
        <v>338597.7</v>
      </c>
      <c r="E106" s="78" t="s">
        <v>255</v>
      </c>
      <c r="F106" s="22"/>
      <c r="G106" s="20"/>
      <c r="H106" s="23">
        <v>349875.00000000483</v>
      </c>
      <c r="I106" s="17">
        <f t="shared" si="3"/>
        <v>349875.00000000483</v>
      </c>
      <c r="J106" s="23">
        <v>19055190.164556362</v>
      </c>
      <c r="K106" s="20"/>
      <c r="L106" s="23">
        <v>11144999.999999931</v>
      </c>
      <c r="M106" s="23">
        <f>SUM(F106:G106)+SUM(J106:K106)+H106*3.412</f>
        <v>20248963.664556377</v>
      </c>
      <c r="N106" s="24">
        <f>M106/D106</f>
        <v>59.802425310497902</v>
      </c>
      <c r="O106" s="22"/>
      <c r="P106" s="20"/>
      <c r="Q106" s="23">
        <v>347873.00000000099</v>
      </c>
      <c r="R106" s="17">
        <f t="shared" si="4"/>
        <v>347873.00000000099</v>
      </c>
      <c r="S106" s="23">
        <v>16377350.310617849</v>
      </c>
      <c r="T106" s="20"/>
      <c r="U106" s="23">
        <v>10424000.000000067</v>
      </c>
      <c r="V106" s="23">
        <f t="shared" si="0"/>
        <v>17564292.986617852</v>
      </c>
      <c r="W106" s="25">
        <f>V106/D106</f>
        <v>51.873633478957039</v>
      </c>
    </row>
    <row r="107" spans="1:23" ht="12.75" customHeight="1">
      <c r="A107" s="28" t="s">
        <v>220</v>
      </c>
      <c r="B107" s="28" t="s">
        <v>231</v>
      </c>
      <c r="C107" s="28" t="s">
        <v>232</v>
      </c>
      <c r="D107" s="29">
        <v>133190.9</v>
      </c>
      <c r="E107" s="79" t="s">
        <v>255</v>
      </c>
      <c r="F107" s="30"/>
      <c r="G107" s="28"/>
      <c r="H107" s="31">
        <v>902277.00000000512</v>
      </c>
      <c r="I107" s="81">
        <f t="shared" si="3"/>
        <v>902277.00000000512</v>
      </c>
      <c r="J107" s="31">
        <v>5403058.8988476293</v>
      </c>
      <c r="K107" s="28"/>
      <c r="L107" s="31">
        <v>594000.00000000233</v>
      </c>
      <c r="M107" s="31">
        <f>SUM(F107:G107)+SUM(J107:K107)+H107*3.412</f>
        <v>8481628.0228476468</v>
      </c>
      <c r="N107" s="32">
        <f>M107/D107</f>
        <v>63.680236584088306</v>
      </c>
      <c r="O107" s="30"/>
      <c r="P107" s="28"/>
      <c r="Q107" s="31">
        <v>615600.99999999988</v>
      </c>
      <c r="R107" s="81">
        <f t="shared" si="4"/>
        <v>615600.99999999988</v>
      </c>
      <c r="S107" s="31">
        <v>4958825.2003604164</v>
      </c>
      <c r="T107" s="28"/>
      <c r="U107" s="31">
        <v>292999.99999999959</v>
      </c>
      <c r="V107" s="31">
        <f t="shared" si="0"/>
        <v>7059255.8123604162</v>
      </c>
      <c r="W107" s="33">
        <f>V107/D107</f>
        <v>53.001036950425416</v>
      </c>
    </row>
    <row r="108" spans="1:23" ht="12.75" customHeight="1">
      <c r="A108" s="2"/>
      <c r="D108" s="34"/>
      <c r="E108" s="34"/>
      <c r="F108" s="63">
        <f t="shared" ref="F108:G108" si="5">SUM(F5:F107)</f>
        <v>486610351.86295241</v>
      </c>
      <c r="G108" s="63">
        <f t="shared" si="5"/>
        <v>568415216.55268264</v>
      </c>
      <c r="H108" s="64"/>
      <c r="I108" s="80">
        <f>SUM(I5:I107)</f>
        <v>30071842.759448245</v>
      </c>
      <c r="J108" s="80">
        <f t="shared" ref="J108:K108" si="6">SUM(J5:J107)</f>
        <v>147119515.07526535</v>
      </c>
      <c r="K108" s="63">
        <f t="shared" si="6"/>
        <v>600360256.89101875</v>
      </c>
      <c r="L108" s="64"/>
      <c r="M108" s="65">
        <f>SUM(F108:G108)+SUM(J108:K108)+H108*3.412</f>
        <v>1802505340.3819191</v>
      </c>
      <c r="N108" s="65"/>
      <c r="O108" s="63">
        <f t="shared" ref="O108:P108" si="7">SUM(O5:O107)</f>
        <v>502370147.53059477</v>
      </c>
      <c r="P108" s="63">
        <f t="shared" si="7"/>
        <v>602508075.02200365</v>
      </c>
      <c r="Q108" s="64"/>
      <c r="R108" s="80">
        <f>SUM(R5:R107)</f>
        <v>29963200.442802917</v>
      </c>
      <c r="S108" s="80">
        <f t="shared" ref="S108:T108" si="8">SUM(S5:S107)</f>
        <v>150549397.98332411</v>
      </c>
      <c r="T108" s="65">
        <f t="shared" si="8"/>
        <v>530677529.30362028</v>
      </c>
      <c r="U108" s="64"/>
      <c r="V108" s="65">
        <f t="shared" si="0"/>
        <v>1786105149.8395429</v>
      </c>
    </row>
    <row r="109" spans="1:23" ht="12.75" customHeight="1">
      <c r="A109" s="35" t="s">
        <v>233</v>
      </c>
      <c r="D109" s="34"/>
      <c r="E109" s="34"/>
      <c r="F109" s="64"/>
      <c r="G109" s="64"/>
      <c r="H109" s="64"/>
      <c r="I109" s="64"/>
      <c r="J109" s="64"/>
      <c r="K109" s="64"/>
      <c r="L109" s="64"/>
      <c r="M109" s="64"/>
      <c r="N109" s="64"/>
      <c r="O109" s="64"/>
      <c r="P109" s="64"/>
      <c r="Q109" s="66" t="s">
        <v>234</v>
      </c>
      <c r="R109" s="66"/>
      <c r="S109" s="67">
        <f>S108/1000</f>
        <v>150549.3979833241</v>
      </c>
      <c r="T109" s="64"/>
      <c r="U109" s="64"/>
      <c r="V109" s="68"/>
    </row>
    <row r="110" spans="1:23" ht="12.75" customHeight="1">
      <c r="A110" s="2"/>
      <c r="D110" s="34"/>
      <c r="E110" s="34"/>
      <c r="G110" s="37">
        <v>44012</v>
      </c>
      <c r="H110" s="37">
        <v>44378</v>
      </c>
      <c r="I110" s="37"/>
      <c r="Q110" s="34"/>
      <c r="R110" s="34"/>
      <c r="S110" s="69">
        <f>'[1]fy21 cu plant gas'!$D$17</f>
        <v>2304265.7300000004</v>
      </c>
    </row>
    <row r="111" spans="1:23" ht="12.75" customHeight="1">
      <c r="A111" s="2"/>
      <c r="D111" s="34"/>
      <c r="E111" s="34"/>
      <c r="P111" s="36" t="s">
        <v>235</v>
      </c>
      <c r="Q111" s="34">
        <f>SUM(O108,P108,T108,S108)/1000</f>
        <v>1786105.1498395428</v>
      </c>
      <c r="R111" s="34"/>
      <c r="S111" s="70">
        <f>SUM(S109:S110)</f>
        <v>2454815.1279833247</v>
      </c>
    </row>
    <row r="112" spans="1:23" ht="12.75" customHeight="1">
      <c r="A112" s="2"/>
      <c r="D112" s="34"/>
      <c r="E112" s="34"/>
      <c r="K112" s="63">
        <f>SUM(F108,G108,J108,K108)/1000</f>
        <v>1802505.3403819194</v>
      </c>
      <c r="Q112" s="34"/>
      <c r="R112" s="34"/>
    </row>
    <row r="113" spans="1:20" ht="12.75" customHeight="1">
      <c r="A113" s="2"/>
      <c r="D113" s="34"/>
      <c r="E113" s="34"/>
      <c r="Q113" s="34"/>
      <c r="R113" s="34"/>
    </row>
    <row r="114" spans="1:20" ht="12.75" customHeight="1">
      <c r="A114" s="2"/>
      <c r="D114" s="34"/>
      <c r="E114" s="34"/>
      <c r="Q114" s="34"/>
      <c r="R114" s="34"/>
      <c r="S114" s="70">
        <f>S109/0.06</f>
        <v>2509156.633055402</v>
      </c>
      <c r="T114" s="73"/>
    </row>
    <row r="115" spans="1:20" ht="12.75" customHeight="1">
      <c r="A115" s="2"/>
      <c r="D115" s="34"/>
      <c r="E115" s="34"/>
      <c r="Q115" s="34"/>
      <c r="R115" s="34"/>
      <c r="T115" s="68"/>
    </row>
    <row r="116" spans="1:20" ht="12.75" customHeight="1">
      <c r="A116" s="2"/>
      <c r="D116" s="34"/>
      <c r="E116" s="34"/>
      <c r="Q116" s="34"/>
      <c r="R116" s="34"/>
    </row>
    <row r="117" spans="1:20" ht="12.75" customHeight="1">
      <c r="A117" s="2"/>
      <c r="D117" s="34"/>
      <c r="E117" s="34"/>
      <c r="Q117" s="34"/>
      <c r="R117" s="34"/>
    </row>
    <row r="118" spans="1:20" ht="12.75" customHeight="1">
      <c r="A118" s="2"/>
      <c r="D118" s="34"/>
      <c r="E118" s="34"/>
    </row>
    <row r="119" spans="1:20" ht="12.75" customHeight="1">
      <c r="A119" s="2"/>
      <c r="D119" s="34"/>
      <c r="E119" s="34"/>
    </row>
    <row r="120" spans="1:20" ht="12.75" customHeight="1">
      <c r="A120" s="2"/>
      <c r="D120" s="34"/>
      <c r="E120" s="34"/>
    </row>
    <row r="121" spans="1:20" ht="12.75" customHeight="1">
      <c r="A121" s="2"/>
      <c r="D121" s="34"/>
      <c r="E121" s="34"/>
    </row>
    <row r="122" spans="1:20" ht="12.75" customHeight="1">
      <c r="A122" s="2"/>
      <c r="D122" s="34"/>
      <c r="E122" s="34"/>
    </row>
    <row r="123" spans="1:20" ht="12.75" customHeight="1">
      <c r="A123" s="2"/>
      <c r="D123" s="34"/>
      <c r="E123" s="34"/>
    </row>
    <row r="124" spans="1:20" ht="12.75" customHeight="1">
      <c r="A124" s="2"/>
      <c r="D124" s="34"/>
      <c r="E124" s="34"/>
    </row>
    <row r="125" spans="1:20" ht="12.75" customHeight="1">
      <c r="A125" s="2"/>
      <c r="D125" s="34"/>
      <c r="E125" s="34"/>
    </row>
    <row r="126" spans="1:20" ht="12.75" customHeight="1">
      <c r="A126" s="2"/>
      <c r="D126" s="34"/>
      <c r="E126" s="34"/>
    </row>
    <row r="127" spans="1:20" ht="12.75" customHeight="1">
      <c r="A127" s="2"/>
      <c r="D127" s="34"/>
      <c r="E127" s="34"/>
    </row>
    <row r="128" spans="1:20" ht="12.75" customHeight="1">
      <c r="A128" s="2"/>
      <c r="D128" s="34"/>
      <c r="E128" s="34"/>
    </row>
    <row r="129" spans="1:5" ht="12.75" customHeight="1">
      <c r="A129" s="2"/>
      <c r="D129" s="34"/>
      <c r="E129" s="34"/>
    </row>
    <row r="130" spans="1:5" ht="12.75" customHeight="1">
      <c r="A130" s="2"/>
      <c r="D130" s="34"/>
      <c r="E130" s="34"/>
    </row>
    <row r="131" spans="1:5" ht="12.75" customHeight="1">
      <c r="A131" s="2"/>
      <c r="D131" s="34"/>
      <c r="E131" s="34"/>
    </row>
    <row r="132" spans="1:5" ht="12.75" customHeight="1">
      <c r="A132" s="2"/>
      <c r="D132" s="34"/>
      <c r="E132" s="34"/>
    </row>
    <row r="133" spans="1:5" ht="12.75" customHeight="1">
      <c r="A133" s="2"/>
      <c r="D133" s="34"/>
      <c r="E133" s="34"/>
    </row>
    <row r="134" spans="1:5" ht="12.75" customHeight="1">
      <c r="A134" s="2"/>
      <c r="D134" s="34"/>
      <c r="E134" s="34"/>
    </row>
    <row r="135" spans="1:5" ht="12.75" customHeight="1">
      <c r="A135" s="2"/>
      <c r="D135" s="34"/>
      <c r="E135" s="34"/>
    </row>
    <row r="136" spans="1:5" ht="12.75" customHeight="1">
      <c r="A136" s="2"/>
      <c r="D136" s="34"/>
      <c r="E136" s="34"/>
    </row>
    <row r="137" spans="1:5" ht="12.75" customHeight="1">
      <c r="A137" s="2"/>
      <c r="D137" s="34"/>
      <c r="E137" s="34"/>
    </row>
    <row r="138" spans="1:5" ht="12.75" customHeight="1">
      <c r="A138" s="2"/>
      <c r="D138" s="34"/>
      <c r="E138" s="34"/>
    </row>
    <row r="139" spans="1:5" ht="12.75" customHeight="1">
      <c r="A139" s="2"/>
    </row>
    <row r="140" spans="1:5" ht="12.75" customHeight="1">
      <c r="A140" s="2"/>
    </row>
    <row r="141" spans="1:5" ht="12.75" customHeight="1">
      <c r="A141" s="2"/>
    </row>
    <row r="142" spans="1:5" ht="12.75" customHeight="1">
      <c r="A142" s="2"/>
    </row>
    <row r="143" spans="1:5" ht="12.75" customHeight="1">
      <c r="A143" s="2"/>
    </row>
    <row r="144" spans="1:5"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sheetData>
  <mergeCells count="2">
    <mergeCell ref="F2:N2"/>
    <mergeCell ref="O2:W2"/>
  </mergeCells>
  <dataValidations disablePrompts="1" count="1">
    <dataValidation type="list" allowBlank="1" showInputMessage="1" showErrorMessage="1" sqref="E5:E31 E33" xr:uid="{68A8353A-2316-4EA4-99EA-652E0ABCF239}">
      <formula1>"Yes, No"</formula1>
    </dataValidation>
  </dataValidations>
  <pageMargins left="1" right="1" top="1" bottom="1.45" header="0" footer="0"/>
  <pageSetup orientation="landscape" r:id="rId1"/>
  <headerFooter>
    <oddFooter>&amp;C 7/22/2021 3:37:00 PM</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A9" sqref="A9"/>
    </sheetView>
  </sheetViews>
  <sheetFormatPr defaultColWidth="14.42578125" defaultRowHeight="15" customHeight="1"/>
  <cols>
    <col min="1" max="1" width="18.28515625" customWidth="1"/>
    <col min="2" max="2" width="11" customWidth="1"/>
    <col min="3" max="3" width="11.28515625" customWidth="1"/>
    <col min="4" max="4" width="14" customWidth="1"/>
    <col min="5" max="5" width="11.7109375" customWidth="1"/>
    <col min="6" max="6" width="14" customWidth="1"/>
    <col min="7" max="7" width="11.7109375" customWidth="1"/>
    <col min="8" max="26" width="8.7109375" customWidth="1"/>
  </cols>
  <sheetData>
    <row r="1" spans="1:26" ht="18">
      <c r="A1" s="1" t="s">
        <v>236</v>
      </c>
      <c r="B1" s="2"/>
      <c r="C1" s="2"/>
      <c r="D1" s="2"/>
      <c r="E1" s="2"/>
      <c r="F1" s="2"/>
      <c r="G1" s="2"/>
      <c r="H1" s="2"/>
      <c r="I1" s="2"/>
      <c r="J1" s="2"/>
      <c r="K1" s="2"/>
      <c r="L1" s="2"/>
      <c r="M1" s="2"/>
      <c r="N1" s="2"/>
      <c r="O1" s="2"/>
      <c r="P1" s="2"/>
      <c r="Q1" s="2"/>
      <c r="R1" s="2"/>
      <c r="S1" s="2"/>
      <c r="T1" s="2"/>
      <c r="U1" s="2"/>
      <c r="V1" s="2"/>
      <c r="W1" s="2"/>
      <c r="X1" s="2"/>
      <c r="Y1" s="2"/>
      <c r="Z1" s="2"/>
    </row>
    <row r="2" spans="1:26" ht="12.75" customHeight="1">
      <c r="A2" s="2" t="s">
        <v>1</v>
      </c>
      <c r="B2" s="2"/>
      <c r="C2" s="2"/>
      <c r="D2" s="2"/>
      <c r="E2" s="2"/>
      <c r="F2" s="2"/>
      <c r="G2" s="2"/>
      <c r="H2" s="2"/>
      <c r="I2" s="2"/>
      <c r="J2" s="2"/>
      <c r="K2" s="2"/>
      <c r="L2" s="2"/>
      <c r="M2" s="2"/>
      <c r="N2" s="2"/>
      <c r="O2" s="2"/>
      <c r="P2" s="2"/>
      <c r="Q2" s="2"/>
      <c r="R2" s="2"/>
      <c r="S2" s="2"/>
      <c r="T2" s="2"/>
      <c r="U2" s="2"/>
      <c r="V2" s="2"/>
      <c r="W2" s="2"/>
      <c r="X2" s="2"/>
      <c r="Y2" s="2"/>
      <c r="Z2" s="2"/>
    </row>
    <row r="3" spans="1:26" ht="12.75" customHeight="1">
      <c r="D3" s="60" t="s">
        <v>237</v>
      </c>
      <c r="E3" s="61"/>
      <c r="F3" s="62" t="s">
        <v>238</v>
      </c>
      <c r="G3" s="61"/>
    </row>
    <row r="4" spans="1:26" ht="12.75" customHeight="1">
      <c r="C4" s="38" t="s">
        <v>239</v>
      </c>
      <c r="D4" s="39" t="s">
        <v>5</v>
      </c>
      <c r="E4" s="39" t="s">
        <v>240</v>
      </c>
      <c r="F4" s="40" t="s">
        <v>5</v>
      </c>
      <c r="G4" s="40" t="s">
        <v>240</v>
      </c>
    </row>
    <row r="5" spans="1:26" ht="12.75" customHeight="1">
      <c r="A5" s="41" t="s">
        <v>9</v>
      </c>
      <c r="B5" s="42" t="s">
        <v>241</v>
      </c>
      <c r="C5" s="43" t="s">
        <v>12</v>
      </c>
      <c r="D5" s="44" t="s">
        <v>242</v>
      </c>
      <c r="E5" s="44" t="s">
        <v>243</v>
      </c>
      <c r="F5" s="45" t="s">
        <v>242</v>
      </c>
      <c r="G5" s="45" t="s">
        <v>243</v>
      </c>
    </row>
    <row r="6" spans="1:26" ht="12.75" customHeight="1">
      <c r="A6" s="2" t="s">
        <v>244</v>
      </c>
      <c r="B6" s="2" t="s">
        <v>21</v>
      </c>
      <c r="C6" s="34">
        <f>SUM(Building!D5:D8)</f>
        <v>585275.9</v>
      </c>
      <c r="D6" s="46">
        <f>SUM(Building!M5:M8)</f>
        <v>29515867.920107294</v>
      </c>
      <c r="E6" s="47">
        <f t="shared" ref="E6:E13" si="0">D6/$C6</f>
        <v>50.430690756457409</v>
      </c>
      <c r="F6" s="48">
        <f>SUM(Building!V5:V8)</f>
        <v>28063415.655382514</v>
      </c>
      <c r="G6" s="49">
        <f t="shared" ref="G6:G13" si="1">F6/$C6</f>
        <v>47.949036779717929</v>
      </c>
    </row>
    <row r="7" spans="1:26" ht="12.75" customHeight="1">
      <c r="A7" s="2" t="s">
        <v>245</v>
      </c>
      <c r="B7" s="2" t="s">
        <v>30</v>
      </c>
      <c r="C7" s="34">
        <f>SUM(Building!D9)</f>
        <v>134047</v>
      </c>
      <c r="D7" s="46">
        <f>SUM(Building!M9)</f>
        <v>15230704.456508012</v>
      </c>
      <c r="E7" s="47">
        <f t="shared" si="0"/>
        <v>113.62212102104495</v>
      </c>
      <c r="F7" s="48">
        <f>SUM(Building!V9)</f>
        <v>14513734.148477513</v>
      </c>
      <c r="G7" s="49">
        <f t="shared" si="1"/>
        <v>108.27347235281292</v>
      </c>
    </row>
    <row r="8" spans="1:26" ht="12.75" customHeight="1">
      <c r="A8" s="2" t="s">
        <v>246</v>
      </c>
      <c r="B8" s="2" t="s">
        <v>33</v>
      </c>
      <c r="C8" s="34">
        <f>SUM(Building!D10:D24)</f>
        <v>5963058.2000000002</v>
      </c>
      <c r="D8" s="46">
        <f>SUM(Building!M10:M24)</f>
        <v>1529610671.2246122</v>
      </c>
      <c r="E8" s="47">
        <f t="shared" si="0"/>
        <v>256.51446286816588</v>
      </c>
      <c r="F8" s="48">
        <f>SUM(Building!V10:V24)</f>
        <v>1477809224.3696971</v>
      </c>
      <c r="G8" s="49">
        <f t="shared" si="1"/>
        <v>247.82740245092646</v>
      </c>
    </row>
    <row r="9" spans="1:26" ht="12.75" customHeight="1">
      <c r="A9" s="2" t="s">
        <v>247</v>
      </c>
      <c r="B9" s="2" t="s">
        <v>64</v>
      </c>
      <c r="C9" s="34">
        <f>SUM(Building!D25:D33)</f>
        <v>808074.2</v>
      </c>
      <c r="D9" s="46">
        <f>SUM(Building!M25:M33)</f>
        <v>64240455.622790337</v>
      </c>
      <c r="E9" s="47">
        <f t="shared" si="0"/>
        <v>79.498213929847452</v>
      </c>
      <c r="F9" s="48">
        <f>SUM(Building!V25:V33)</f>
        <v>65980358.76861234</v>
      </c>
      <c r="G9" s="49">
        <f t="shared" si="1"/>
        <v>81.651361680167909</v>
      </c>
    </row>
    <row r="10" spans="1:26" ht="12.75" customHeight="1">
      <c r="A10" s="2" t="s">
        <v>248</v>
      </c>
      <c r="B10" s="2" t="s">
        <v>83</v>
      </c>
      <c r="C10" s="34">
        <f>SUM(Building!D34:D44)</f>
        <v>267355.90000000002</v>
      </c>
      <c r="D10" s="46">
        <f>SUM(Building!M34:M44)</f>
        <v>90465891.171198964</v>
      </c>
      <c r="E10" s="47">
        <f t="shared" si="0"/>
        <v>338.37252580249384</v>
      </c>
      <c r="F10" s="48">
        <f>SUM(Building!V34:V44)</f>
        <v>98945318.173584223</v>
      </c>
      <c r="G10" s="49">
        <f t="shared" si="1"/>
        <v>370.08840341127393</v>
      </c>
    </row>
    <row r="11" spans="1:26" ht="12.75" customHeight="1">
      <c r="A11" s="2" t="s">
        <v>249</v>
      </c>
      <c r="B11" s="2" t="s">
        <v>106</v>
      </c>
      <c r="C11" s="34">
        <f>SUM(Building!D45:D101)</f>
        <v>4208743.2999999989</v>
      </c>
      <c r="D11" s="46">
        <f>SUM(Building!M45:M101)</f>
        <v>586154031.62749684</v>
      </c>
      <c r="E11" s="47">
        <f t="shared" si="0"/>
        <v>139.27055889284028</v>
      </c>
      <c r="F11" s="48">
        <f>SUM(Building!V45:V101)</f>
        <v>612913065.71416783</v>
      </c>
      <c r="G11" s="49">
        <f t="shared" si="1"/>
        <v>145.62852187116474</v>
      </c>
    </row>
    <row r="12" spans="1:26" ht="12.75" customHeight="1">
      <c r="A12" s="41" t="s">
        <v>250</v>
      </c>
      <c r="B12" s="41" t="s">
        <v>220</v>
      </c>
      <c r="C12" s="50">
        <f>SUM(Building!D102:D107)</f>
        <v>902483.20000000007</v>
      </c>
      <c r="D12" s="51">
        <f>SUM(Building!M102:M107)</f>
        <v>144674593.84158629</v>
      </c>
      <c r="E12" s="52">
        <f t="shared" si="0"/>
        <v>160.30724321692225</v>
      </c>
      <c r="F12" s="53">
        <f>SUM(Building!V102:V107)</f>
        <v>144291997.71245512</v>
      </c>
      <c r="G12" s="54">
        <f t="shared" si="1"/>
        <v>159.88330609639615</v>
      </c>
    </row>
    <row r="13" spans="1:26" ht="12.75" customHeight="1">
      <c r="A13" s="2" t="s">
        <v>251</v>
      </c>
      <c r="C13" s="34">
        <f t="shared" ref="C13:D13" si="2">SUM(C6:C12)</f>
        <v>12869037.699999999</v>
      </c>
      <c r="D13" s="46">
        <f t="shared" si="2"/>
        <v>2459892215.8642998</v>
      </c>
      <c r="E13" s="47">
        <f t="shared" si="0"/>
        <v>191.14810860055994</v>
      </c>
      <c r="F13" s="48">
        <f>SUM(F6:F12)</f>
        <v>2442517114.542377</v>
      </c>
      <c r="G13" s="49">
        <f t="shared" si="1"/>
        <v>189.79796092619864</v>
      </c>
    </row>
    <row r="14" spans="1:26" ht="12.75" customHeight="1"/>
    <row r="15" spans="1:26" ht="12.75" customHeight="1">
      <c r="A15" s="2" t="s">
        <v>252</v>
      </c>
    </row>
    <row r="16" spans="1:26" ht="12.75" customHeight="1">
      <c r="A16" s="2" t="s">
        <v>253</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D3:E3"/>
    <mergeCell ref="F3:G3"/>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C1F67-E71F-46F9-813F-39633E4A4EC7}">
  <dimension ref="B1:F14"/>
  <sheetViews>
    <sheetView tabSelected="1" workbookViewId="0">
      <selection activeCell="B13" sqref="B13"/>
    </sheetView>
  </sheetViews>
  <sheetFormatPr defaultRowHeight="12.75"/>
  <cols>
    <col min="2" max="2" width="27" bestFit="1" customWidth="1"/>
    <col min="3" max="3" width="15" bestFit="1" customWidth="1"/>
    <col min="4" max="4" width="14.42578125" bestFit="1" customWidth="1"/>
  </cols>
  <sheetData>
    <row r="1" spans="2:6">
      <c r="C1" s="83" t="s">
        <v>237</v>
      </c>
      <c r="D1" s="83" t="s">
        <v>238</v>
      </c>
    </row>
    <row r="2" spans="2:6">
      <c r="B2" s="82" t="s">
        <v>259</v>
      </c>
      <c r="C2" s="64">
        <f>Building!I108</f>
        <v>30071842.759448245</v>
      </c>
      <c r="D2" s="64">
        <f>Building!R108</f>
        <v>29963200.442802917</v>
      </c>
      <c r="E2" s="82" t="s">
        <v>6</v>
      </c>
      <c r="F2" s="82" t="s">
        <v>269</v>
      </c>
    </row>
    <row r="3" spans="2:6">
      <c r="B3" s="82" t="s">
        <v>258</v>
      </c>
      <c r="C3" s="64">
        <f>Building!J108/1000</f>
        <v>147119.51507526534</v>
      </c>
      <c r="D3" s="64">
        <f>Building!S108/1000</f>
        <v>150549.3979833241</v>
      </c>
      <c r="E3" s="82" t="s">
        <v>264</v>
      </c>
      <c r="F3" s="82" t="s">
        <v>269</v>
      </c>
    </row>
    <row r="4" spans="2:6">
      <c r="B4" s="82" t="s">
        <v>260</v>
      </c>
      <c r="C4" s="64">
        <f>116150190+45496368</f>
        <v>161646558</v>
      </c>
      <c r="D4" s="84">
        <f>89717346+39990016+38137128</f>
        <v>167844490</v>
      </c>
      <c r="E4" s="82" t="s">
        <v>6</v>
      </c>
      <c r="F4" s="82" t="s">
        <v>266</v>
      </c>
    </row>
    <row r="5" spans="2:6">
      <c r="B5" s="82" t="s">
        <v>261</v>
      </c>
      <c r="C5" s="64">
        <v>2312890.8699999996</v>
      </c>
      <c r="D5" s="64">
        <v>2304265.7300000004</v>
      </c>
      <c r="E5" s="82" t="s">
        <v>264</v>
      </c>
      <c r="F5" s="82" t="s">
        <v>265</v>
      </c>
    </row>
    <row r="7" spans="2:6">
      <c r="B7" s="85" t="s">
        <v>272</v>
      </c>
    </row>
    <row r="8" spans="2:6">
      <c r="B8" s="82" t="s">
        <v>271</v>
      </c>
      <c r="C8" s="70">
        <f>C2+C4</f>
        <v>191718400.75944823</v>
      </c>
      <c r="D8" s="70">
        <f>D2+D4</f>
        <v>197807690.44280291</v>
      </c>
      <c r="E8" s="82" t="s">
        <v>6</v>
      </c>
    </row>
    <row r="9" spans="2:6">
      <c r="B9" s="82" t="s">
        <v>270</v>
      </c>
      <c r="C9" s="70">
        <f>C3+C5</f>
        <v>2460010.3850752651</v>
      </c>
      <c r="D9" s="70">
        <f>D3+D5</f>
        <v>2454815.1279833247</v>
      </c>
      <c r="E9" s="82" t="s">
        <v>264</v>
      </c>
    </row>
    <row r="10" spans="2:6">
      <c r="B10" s="82" t="s">
        <v>262</v>
      </c>
      <c r="C10" s="64">
        <f>SUM('[2]Monthly Input'!FV33:GG33)</f>
        <v>13674</v>
      </c>
      <c r="D10" s="64">
        <f>SUM('[2]Monthly Input'!GH33:GS33)</f>
        <v>15378</v>
      </c>
      <c r="E10" s="82" t="s">
        <v>268</v>
      </c>
      <c r="F10" s="82" t="s">
        <v>267</v>
      </c>
    </row>
    <row r="11" spans="2:6">
      <c r="B11" s="82" t="s">
        <v>263</v>
      </c>
      <c r="C11" s="64">
        <f>SUM('[2]Monthly Input'!$FV35:$GG35)</f>
        <v>3909.420000000001</v>
      </c>
      <c r="D11" s="64">
        <f>SUM('[2]Monthly Input'!GH35:GS35)</f>
        <v>5947.8</v>
      </c>
      <c r="E11" s="82" t="s">
        <v>268</v>
      </c>
      <c r="F11" s="82" t="s">
        <v>267</v>
      </c>
    </row>
    <row r="12" spans="2:6">
      <c r="D12" s="71"/>
    </row>
    <row r="13" spans="2:6">
      <c r="B13" s="82" t="s">
        <v>273</v>
      </c>
      <c r="D13" s="64"/>
      <c r="E13" s="82"/>
    </row>
    <row r="14" spans="2:6">
      <c r="D14" s="7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Building</vt:lpstr>
      <vt:lpstr>Campus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Vann, Tim</dc:creator>
  <cp:lastModifiedBy>University of Rochester</cp:lastModifiedBy>
  <dcterms:created xsi:type="dcterms:W3CDTF">2021-07-22T19:40:23Z</dcterms:created>
  <dcterms:modified xsi:type="dcterms:W3CDTF">2022-01-31T20:13:58Z</dcterms:modified>
</cp:coreProperties>
</file>