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xml" ContentType="application/vnd.openxmlformats-officedocument.drawing+xml"/>
  <Override PartName="/xl/comments5.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ables/table1.xml" ContentType="application/vnd.openxmlformats-officedocument.spreadsheetml.table+xml"/>
  <Override PartName="/xl/comments6.xml" ContentType="application/vnd.openxmlformats-officedocument.spreadsheetml.comments+xml"/>
  <Override PartName="/xl/comments7.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Q:\Sustainability\Energy Benchmarking\GHG Inventory-Dpt of Ecology Reports\CY2016 Report Documents\North\"/>
    </mc:Choice>
  </mc:AlternateContent>
  <bookViews>
    <workbookView xWindow="0" yWindow="0" windowWidth="21570" windowHeight="10245" tabRatio="1000" firstSheet="2" activeTab="2"/>
  </bookViews>
  <sheets>
    <sheet name="Contents &amp; Notes" sheetId="18" r:id="rId1"/>
    <sheet name="1-General Agency Info" sheetId="24" r:id="rId2"/>
    <sheet name="2-Building Energy Use" sheetId="19" r:id="rId3"/>
    <sheet name="3-Fleet Energy" sheetId="32" r:id="rId4"/>
    <sheet name="4-Travel &amp; CTR" sheetId="20" r:id="rId5"/>
    <sheet name="5-GHG Emissions Summary" sheetId="30" r:id="rId6"/>
    <sheet name="6-Energy Use by Facility" sheetId="25" r:id="rId7"/>
    <sheet name="7-Emissions Factors" sheetId="11" r:id="rId8"/>
    <sheet name="8-Conversion Factors" sheetId="28" r:id="rId9"/>
    <sheet name="Sheet1" sheetId="33" r:id="rId10"/>
  </sheets>
  <definedNames>
    <definedName name="Agency">'Contents &amp; Notes'!$B$3</definedName>
    <definedName name="_xlnm.Print_Area" localSheetId="1">'1-General Agency Info'!$A$1:$B$18</definedName>
    <definedName name="_xlnm.Print_Area" localSheetId="3">'3-Fleet Energy'!$A$1:$S$90</definedName>
    <definedName name="Year">'Contents &amp; Notes'!$B$4</definedName>
  </definedNames>
  <calcPr calcId="162913"/>
</workbook>
</file>

<file path=xl/calcChain.xml><?xml version="1.0" encoding="utf-8"?>
<calcChain xmlns="http://schemas.openxmlformats.org/spreadsheetml/2006/main">
  <c r="E21" i="19" l="1"/>
  <c r="G21" i="19"/>
  <c r="AP69" i="32"/>
  <c r="O69" i="32" s="1"/>
  <c r="AP68" i="32"/>
  <c r="O68" i="32" s="1"/>
  <c r="O70" i="32" s="1"/>
  <c r="J19" i="30" s="1"/>
  <c r="AP60" i="32"/>
  <c r="AP56" i="32"/>
  <c r="AP53" i="32"/>
  <c r="O53" i="32" s="1"/>
  <c r="AP51" i="32"/>
  <c r="AP50" i="32"/>
  <c r="AP46" i="32"/>
  <c r="AP43" i="32"/>
  <c r="AP35" i="32"/>
  <c r="AP30" i="32"/>
  <c r="O30" i="32" s="1"/>
  <c r="AP27" i="32"/>
  <c r="O27" i="32" s="1"/>
  <c r="AP24" i="32"/>
  <c r="AP18" i="32"/>
  <c r="AP17" i="32"/>
  <c r="O17" i="32" s="1"/>
  <c r="AP9" i="32"/>
  <c r="AP8" i="32"/>
  <c r="O8" i="32" s="1"/>
  <c r="G19" i="11"/>
  <c r="AG21" i="19" s="1"/>
  <c r="E19" i="11"/>
  <c r="AH24" i="32" s="1"/>
  <c r="C19" i="11"/>
  <c r="J19" i="11" s="1"/>
  <c r="E54" i="32"/>
  <c r="AB49" i="32"/>
  <c r="AC49" i="32"/>
  <c r="AB48" i="32"/>
  <c r="AC48" i="32"/>
  <c r="AB33" i="32"/>
  <c r="AH78" i="32" s="1"/>
  <c r="AC33" i="32"/>
  <c r="AB32" i="32"/>
  <c r="AC32" i="32"/>
  <c r="AB16" i="32"/>
  <c r="AC16" i="32"/>
  <c r="AB15" i="32"/>
  <c r="AC15" i="32"/>
  <c r="J24" i="32"/>
  <c r="AB24" i="32"/>
  <c r="AD24" i="32"/>
  <c r="AN24" i="32"/>
  <c r="AO24" i="32"/>
  <c r="C25" i="32"/>
  <c r="M24" i="32"/>
  <c r="AL69" i="32"/>
  <c r="AM69" i="32"/>
  <c r="AL68" i="32"/>
  <c r="AM68" i="32" s="1"/>
  <c r="AH69" i="32"/>
  <c r="AI69" i="32" s="1"/>
  <c r="AH68" i="32"/>
  <c r="AI68" i="32" s="1"/>
  <c r="AD69" i="32"/>
  <c r="AE69" i="32"/>
  <c r="AD68" i="32"/>
  <c r="AE68" i="32" s="1"/>
  <c r="AM65" i="32"/>
  <c r="AM64" i="32"/>
  <c r="AM62" i="32"/>
  <c r="AM61" i="32"/>
  <c r="AM60" i="32"/>
  <c r="AL65" i="32"/>
  <c r="AL64" i="32"/>
  <c r="AL62" i="32"/>
  <c r="AL61" i="32"/>
  <c r="N61" i="32" s="1"/>
  <c r="AL60" i="32"/>
  <c r="AM56" i="32"/>
  <c r="AM53" i="32"/>
  <c r="AM52" i="32"/>
  <c r="AM51" i="32"/>
  <c r="AM47" i="32"/>
  <c r="AM50" i="32"/>
  <c r="AM46" i="32"/>
  <c r="AM44" i="32"/>
  <c r="AL50" i="32"/>
  <c r="AL47" i="32"/>
  <c r="AL46" i="32"/>
  <c r="AL43" i="32"/>
  <c r="AI65" i="32"/>
  <c r="AI64" i="32"/>
  <c r="AI62" i="32"/>
  <c r="AI61" i="32"/>
  <c r="AI60" i="32"/>
  <c r="M60" i="32" s="1"/>
  <c r="AI56" i="32"/>
  <c r="AI53" i="32"/>
  <c r="AI52" i="32"/>
  <c r="AI51" i="32"/>
  <c r="AI47" i="32"/>
  <c r="AI50" i="32"/>
  <c r="AI46" i="32"/>
  <c r="AI44" i="32"/>
  <c r="AI43" i="32"/>
  <c r="AH65" i="32"/>
  <c r="AH64" i="32"/>
  <c r="AH62" i="32"/>
  <c r="AH61" i="32"/>
  <c r="AH60" i="32"/>
  <c r="AH57" i="32"/>
  <c r="AH56" i="32"/>
  <c r="AH53" i="32"/>
  <c r="AH52" i="32"/>
  <c r="AH51" i="32"/>
  <c r="AH47" i="32"/>
  <c r="AH50" i="32"/>
  <c r="AH46" i="32"/>
  <c r="AH44" i="32"/>
  <c r="M44" i="32" s="1"/>
  <c r="AH43" i="32"/>
  <c r="AE65" i="32"/>
  <c r="AE64" i="32"/>
  <c r="AE62" i="32"/>
  <c r="AE61" i="32"/>
  <c r="P61" i="32" s="1"/>
  <c r="AE60" i="32"/>
  <c r="AE56" i="32"/>
  <c r="AE53" i="32"/>
  <c r="AE52" i="32"/>
  <c r="AE51" i="32"/>
  <c r="AE47" i="32"/>
  <c r="AE50" i="32"/>
  <c r="AE46" i="32"/>
  <c r="AE44" i="32"/>
  <c r="AE43" i="32"/>
  <c r="AD65" i="32"/>
  <c r="AD64" i="32"/>
  <c r="L64" i="32" s="1"/>
  <c r="AD62" i="32"/>
  <c r="AD61" i="32"/>
  <c r="AD60" i="32"/>
  <c r="L60" i="32" s="1"/>
  <c r="AD57" i="32"/>
  <c r="L57" i="32" s="1"/>
  <c r="AD56" i="32"/>
  <c r="AD53" i="32"/>
  <c r="AD52" i="32"/>
  <c r="L52" i="32" s="1"/>
  <c r="AD51" i="32"/>
  <c r="AD47" i="32"/>
  <c r="AD50" i="32"/>
  <c r="AD46" i="32"/>
  <c r="AD44" i="32"/>
  <c r="AD43" i="32"/>
  <c r="AM38" i="32"/>
  <c r="AM37" i="32"/>
  <c r="AM36" i="32"/>
  <c r="AM35" i="32"/>
  <c r="AM31" i="32"/>
  <c r="AM34" i="32"/>
  <c r="AM30" i="32"/>
  <c r="AM28" i="32"/>
  <c r="AM27" i="32"/>
  <c r="AL38" i="32"/>
  <c r="N38" i="32" s="1"/>
  <c r="AL37" i="32"/>
  <c r="AL53" i="32" s="1"/>
  <c r="AL36" i="32"/>
  <c r="AL52" i="32"/>
  <c r="AL35" i="32"/>
  <c r="AL51" i="32" s="1"/>
  <c r="AL31" i="32"/>
  <c r="N31" i="32" s="1"/>
  <c r="AL34" i="32"/>
  <c r="AL30" i="32"/>
  <c r="AL28" i="32"/>
  <c r="AL27" i="32"/>
  <c r="AK36" i="32"/>
  <c r="AK35" i="32"/>
  <c r="AK31" i="32"/>
  <c r="AK34" i="32"/>
  <c r="AK30" i="32"/>
  <c r="AK28" i="32"/>
  <c r="AK27" i="32"/>
  <c r="AJ36" i="32"/>
  <c r="AJ35" i="32"/>
  <c r="AJ31" i="32"/>
  <c r="AJ34" i="32"/>
  <c r="AJ30" i="32"/>
  <c r="AJ28" i="32"/>
  <c r="AJ27" i="32"/>
  <c r="AI38" i="32"/>
  <c r="AI37" i="32"/>
  <c r="AI36" i="32"/>
  <c r="AI35" i="32"/>
  <c r="M35" i="32" s="1"/>
  <c r="AI31" i="32"/>
  <c r="AI34" i="32"/>
  <c r="AI30" i="32"/>
  <c r="AI28" i="32"/>
  <c r="AI27" i="32"/>
  <c r="AH38" i="32"/>
  <c r="AH37" i="32"/>
  <c r="AH36" i="32"/>
  <c r="AH35" i="32"/>
  <c r="AH31" i="32"/>
  <c r="M31" i="32" s="1"/>
  <c r="AH34" i="32"/>
  <c r="AH30" i="32"/>
  <c r="AH28" i="32"/>
  <c r="AH27" i="32"/>
  <c r="AG36" i="32"/>
  <c r="AG35" i="32"/>
  <c r="AG31" i="32"/>
  <c r="AG34" i="32"/>
  <c r="AG30" i="32"/>
  <c r="AG28" i="32"/>
  <c r="AG27" i="32"/>
  <c r="AF36" i="32"/>
  <c r="AF35" i="32"/>
  <c r="AF31" i="32"/>
  <c r="AF34" i="32"/>
  <c r="AF30" i="32"/>
  <c r="AF28" i="32"/>
  <c r="AF27" i="32"/>
  <c r="AE38" i="32"/>
  <c r="AE37" i="32"/>
  <c r="AE36" i="32"/>
  <c r="AE35" i="32"/>
  <c r="AE31" i="32"/>
  <c r="AE34" i="32"/>
  <c r="AE30" i="32"/>
  <c r="AE28" i="32"/>
  <c r="AE27" i="32"/>
  <c r="AD38" i="32"/>
  <c r="L38" i="32" s="1"/>
  <c r="AD37" i="32"/>
  <c r="AD36" i="32"/>
  <c r="AD35" i="32"/>
  <c r="AD31" i="32"/>
  <c r="AD34" i="32"/>
  <c r="AD30" i="32"/>
  <c r="AD28" i="32"/>
  <c r="AD27" i="32"/>
  <c r="AE22" i="32"/>
  <c r="AE21" i="32"/>
  <c r="P21" i="32" s="1"/>
  <c r="AE20" i="32"/>
  <c r="AE19" i="32"/>
  <c r="AE18" i="32"/>
  <c r="AD23" i="32"/>
  <c r="L23" i="32" s="1"/>
  <c r="AD22" i="32"/>
  <c r="AD21" i="32"/>
  <c r="L21" i="32" s="1"/>
  <c r="AD20" i="32"/>
  <c r="AD19" i="32"/>
  <c r="AD18" i="32"/>
  <c r="AM22" i="32"/>
  <c r="AM21" i="32"/>
  <c r="AM20" i="32"/>
  <c r="AM19" i="32"/>
  <c r="AM18" i="32"/>
  <c r="AM14" i="32"/>
  <c r="AM17" i="32"/>
  <c r="AM13" i="32"/>
  <c r="AL22" i="32"/>
  <c r="AL21" i="32"/>
  <c r="AL20" i="32"/>
  <c r="AL19" i="32"/>
  <c r="N19" i="32" s="1"/>
  <c r="AL18" i="32"/>
  <c r="AL14" i="32"/>
  <c r="AL17" i="32"/>
  <c r="AL13" i="32"/>
  <c r="N13" i="32" s="1"/>
  <c r="AK22" i="32"/>
  <c r="AK19" i="32"/>
  <c r="AK18" i="32"/>
  <c r="AK14" i="32"/>
  <c r="AK17" i="32"/>
  <c r="AK13" i="32"/>
  <c r="AJ22" i="32"/>
  <c r="AJ19" i="32"/>
  <c r="AJ18" i="32"/>
  <c r="AJ14" i="32"/>
  <c r="AJ17" i="32"/>
  <c r="AJ13" i="32"/>
  <c r="AJ9" i="32"/>
  <c r="AJ10" i="32"/>
  <c r="AJ11" i="32"/>
  <c r="AJ8" i="32"/>
  <c r="AI22" i="32"/>
  <c r="AI21" i="32"/>
  <c r="AI20" i="32"/>
  <c r="AI19" i="32"/>
  <c r="AI18" i="32"/>
  <c r="AI14" i="32"/>
  <c r="AI17" i="32"/>
  <c r="AI13" i="32"/>
  <c r="AH23" i="32"/>
  <c r="M23" i="32" s="1"/>
  <c r="AH22" i="32"/>
  <c r="AH21" i="32"/>
  <c r="AH20" i="32"/>
  <c r="AH19" i="32"/>
  <c r="AH18" i="32"/>
  <c r="AH14" i="32"/>
  <c r="AH17" i="32"/>
  <c r="AH13" i="32"/>
  <c r="AG22" i="32"/>
  <c r="AG19" i="32"/>
  <c r="AG18" i="32"/>
  <c r="AG14" i="32"/>
  <c r="AG17" i="32"/>
  <c r="AG13" i="32"/>
  <c r="AF22" i="32"/>
  <c r="AF19" i="32"/>
  <c r="AF18" i="32"/>
  <c r="AF14" i="32"/>
  <c r="AF17" i="32"/>
  <c r="AF13" i="32"/>
  <c r="AE14" i="32"/>
  <c r="AE17" i="32"/>
  <c r="AE13" i="32"/>
  <c r="AD14" i="32"/>
  <c r="AD17" i="32"/>
  <c r="AD13" i="32"/>
  <c r="L13" i="32" s="1"/>
  <c r="AM8" i="32"/>
  <c r="AL8" i="32"/>
  <c r="AK8" i="32"/>
  <c r="AI8" i="32"/>
  <c r="AH8" i="32"/>
  <c r="AG8" i="32"/>
  <c r="AF8" i="32"/>
  <c r="AE8" i="32"/>
  <c r="AD8" i="32"/>
  <c r="L8" i="32" s="1"/>
  <c r="AD9" i="32"/>
  <c r="AM10" i="32"/>
  <c r="AM11" i="32"/>
  <c r="AM9" i="32"/>
  <c r="AL10" i="32"/>
  <c r="AL11" i="32"/>
  <c r="AL9" i="32"/>
  <c r="AK10" i="32"/>
  <c r="AK11" i="32"/>
  <c r="AK9" i="32"/>
  <c r="AI10" i="32"/>
  <c r="AI11" i="32"/>
  <c r="AI9" i="32"/>
  <c r="AH10" i="32"/>
  <c r="AH11" i="32"/>
  <c r="AH9" i="32"/>
  <c r="AG10" i="32"/>
  <c r="AG11" i="32"/>
  <c r="AG9" i="32"/>
  <c r="AF10" i="32"/>
  <c r="AF11" i="32"/>
  <c r="AF9" i="32"/>
  <c r="AE10" i="32"/>
  <c r="P10" i="32" s="1"/>
  <c r="AE11" i="32"/>
  <c r="AE9" i="32"/>
  <c r="AD10" i="32"/>
  <c r="AD11" i="32"/>
  <c r="B4" i="32"/>
  <c r="B3" i="32"/>
  <c r="B4" i="24"/>
  <c r="H70" i="32"/>
  <c r="G70" i="32"/>
  <c r="F70" i="32"/>
  <c r="E70" i="32"/>
  <c r="C70" i="32"/>
  <c r="AC69" i="32"/>
  <c r="AB69" i="32"/>
  <c r="N69" i="32" s="1"/>
  <c r="J69" i="32"/>
  <c r="AC68" i="32"/>
  <c r="P68" i="32"/>
  <c r="AB68" i="32"/>
  <c r="J68" i="32"/>
  <c r="H66" i="32"/>
  <c r="G66" i="32"/>
  <c r="G72" i="32" s="1"/>
  <c r="F66" i="32"/>
  <c r="E66" i="32"/>
  <c r="C66" i="32"/>
  <c r="AO65" i="32"/>
  <c r="AP65" i="32"/>
  <c r="O65" i="32" s="1"/>
  <c r="AN65" i="32"/>
  <c r="AC65" i="32"/>
  <c r="P65" i="32"/>
  <c r="AB65" i="32"/>
  <c r="J65" i="32"/>
  <c r="AO64" i="32"/>
  <c r="AP64" i="32"/>
  <c r="O64" i="32" s="1"/>
  <c r="AN64" i="32"/>
  <c r="AC64" i="32"/>
  <c r="AB64" i="32"/>
  <c r="J64" i="32"/>
  <c r="AO62" i="32"/>
  <c r="AP62" i="32" s="1"/>
  <c r="O62" i="32" s="1"/>
  <c r="AN62" i="32"/>
  <c r="AC62" i="32"/>
  <c r="P62" i="32"/>
  <c r="AB62" i="32"/>
  <c r="J62" i="32"/>
  <c r="AO61" i="32"/>
  <c r="AP61" i="32"/>
  <c r="AN61" i="32"/>
  <c r="AC61" i="32"/>
  <c r="AB61" i="32"/>
  <c r="J61" i="32"/>
  <c r="O60" i="32"/>
  <c r="AC60" i="32"/>
  <c r="P60" i="32" s="1"/>
  <c r="AB60" i="32"/>
  <c r="J60" i="32"/>
  <c r="H58" i="32"/>
  <c r="H72" i="32" s="1"/>
  <c r="G58" i="32"/>
  <c r="F58" i="32"/>
  <c r="E58" i="32"/>
  <c r="C58" i="32"/>
  <c r="AB57" i="32"/>
  <c r="AJ84" i="32"/>
  <c r="O56" i="32"/>
  <c r="O58" i="32"/>
  <c r="J17" i="30" s="1"/>
  <c r="AC56" i="32"/>
  <c r="AJ79" i="32"/>
  <c r="AB56" i="32"/>
  <c r="J56" i="32"/>
  <c r="H54" i="32"/>
  <c r="G54" i="32"/>
  <c r="F54" i="32"/>
  <c r="C54" i="32"/>
  <c r="AC53" i="32"/>
  <c r="AB53" i="32"/>
  <c r="AI82" i="32"/>
  <c r="J53" i="32"/>
  <c r="AP52" i="32"/>
  <c r="O52" i="32"/>
  <c r="AC52" i="32"/>
  <c r="P52" i="32" s="1"/>
  <c r="AB52" i="32"/>
  <c r="AI81" i="32"/>
  <c r="J52" i="32"/>
  <c r="O51" i="32"/>
  <c r="AC51" i="32"/>
  <c r="P51" i="32"/>
  <c r="AB51" i="32"/>
  <c r="J51" i="32"/>
  <c r="AO50" i="32"/>
  <c r="AN50" i="32"/>
  <c r="O50" i="32" s="1"/>
  <c r="AC50" i="32"/>
  <c r="AB50" i="32"/>
  <c r="J50" i="32"/>
  <c r="AO47" i="32"/>
  <c r="AP47" i="32" s="1"/>
  <c r="AN47" i="32"/>
  <c r="AC47" i="32"/>
  <c r="P47" i="32"/>
  <c r="AB47" i="32"/>
  <c r="J47" i="32"/>
  <c r="AO46" i="32"/>
  <c r="AN46" i="32"/>
  <c r="AC46" i="32"/>
  <c r="AB46" i="32"/>
  <c r="J46" i="32"/>
  <c r="AO44" i="32"/>
  <c r="AP44" i="32" s="1"/>
  <c r="O44" i="32" s="1"/>
  <c r="AN44" i="32"/>
  <c r="AC44" i="32"/>
  <c r="P44" i="32"/>
  <c r="AB44" i="32"/>
  <c r="J44" i="32"/>
  <c r="O43" i="32"/>
  <c r="AC43" i="32"/>
  <c r="AI77" i="32" s="1"/>
  <c r="AB43" i="32"/>
  <c r="L43" i="32" s="1"/>
  <c r="J43" i="32"/>
  <c r="P42" i="32"/>
  <c r="O42" i="32"/>
  <c r="N42" i="32"/>
  <c r="M42" i="32"/>
  <c r="L42" i="32"/>
  <c r="K42" i="32"/>
  <c r="I42" i="32"/>
  <c r="H42" i="32"/>
  <c r="G42" i="32"/>
  <c r="F42" i="32"/>
  <c r="E42" i="32"/>
  <c r="D42" i="32"/>
  <c r="C42" i="32"/>
  <c r="B41" i="32"/>
  <c r="H39" i="32"/>
  <c r="G39" i="32"/>
  <c r="F39" i="32"/>
  <c r="E39" i="32"/>
  <c r="C39" i="32"/>
  <c r="AO38" i="32"/>
  <c r="AP38" i="32"/>
  <c r="O38" i="32" s="1"/>
  <c r="AN38" i="32"/>
  <c r="AC38" i="32"/>
  <c r="P38" i="32" s="1"/>
  <c r="AB38" i="32"/>
  <c r="J38" i="32"/>
  <c r="AO37" i="32"/>
  <c r="AP37" i="32" s="1"/>
  <c r="AN37" i="32"/>
  <c r="AC37" i="32"/>
  <c r="P37" i="32"/>
  <c r="AB37" i="32"/>
  <c r="J37" i="32"/>
  <c r="AO36" i="32"/>
  <c r="AP36" i="32"/>
  <c r="AN36" i="32"/>
  <c r="AC36" i="32"/>
  <c r="P36" i="32"/>
  <c r="AB36" i="32"/>
  <c r="AH81" i="32" s="1"/>
  <c r="J36" i="32"/>
  <c r="AO35" i="32"/>
  <c r="AN35" i="32"/>
  <c r="AC35" i="32"/>
  <c r="P35" i="32"/>
  <c r="AB35" i="32"/>
  <c r="L35" i="32" s="1"/>
  <c r="AH80" i="32"/>
  <c r="J35" i="32"/>
  <c r="AO34" i="32"/>
  <c r="AP34" i="32" s="1"/>
  <c r="O34" i="32" s="1"/>
  <c r="AN34" i="32"/>
  <c r="AC34" i="32"/>
  <c r="AB34" i="32"/>
  <c r="J34" i="32"/>
  <c r="AO31" i="32"/>
  <c r="AP31" i="32" s="1"/>
  <c r="AN31" i="32"/>
  <c r="O31" i="32" s="1"/>
  <c r="AC31" i="32"/>
  <c r="P31" i="32" s="1"/>
  <c r="AB31" i="32"/>
  <c r="L31" i="32"/>
  <c r="J31" i="32"/>
  <c r="AO30" i="32"/>
  <c r="AN30" i="32"/>
  <c r="AC30" i="32"/>
  <c r="AH79" i="32" s="1"/>
  <c r="P30" i="32"/>
  <c r="AB30" i="32"/>
  <c r="J30" i="32"/>
  <c r="AO28" i="32"/>
  <c r="AP28" i="32"/>
  <c r="O28" i="32" s="1"/>
  <c r="AN28" i="32"/>
  <c r="AC28" i="32"/>
  <c r="AB28" i="32"/>
  <c r="J28" i="32"/>
  <c r="AC27" i="32"/>
  <c r="P27" i="32"/>
  <c r="AB27" i="32"/>
  <c r="J27" i="32"/>
  <c r="G25" i="32"/>
  <c r="F25" i="32"/>
  <c r="E25" i="32"/>
  <c r="E72" i="32" s="1"/>
  <c r="B88" i="32" s="1"/>
  <c r="AB23" i="32"/>
  <c r="AG84" i="32"/>
  <c r="AC22" i="32"/>
  <c r="P22" i="32"/>
  <c r="AB22" i="32"/>
  <c r="AO21" i="32"/>
  <c r="AP21" i="32"/>
  <c r="AN21" i="32"/>
  <c r="AC21" i="32"/>
  <c r="AB21" i="32"/>
  <c r="AG83" i="32"/>
  <c r="J21" i="32"/>
  <c r="AO20" i="32"/>
  <c r="AP20" i="32" s="1"/>
  <c r="AN20" i="32"/>
  <c r="O20" i="32" s="1"/>
  <c r="AC20" i="32"/>
  <c r="P20" i="32" s="1"/>
  <c r="AB20" i="32"/>
  <c r="J20" i="32"/>
  <c r="AO19" i="32"/>
  <c r="AP19" i="32"/>
  <c r="O19" i="32" s="1"/>
  <c r="AN19" i="32"/>
  <c r="AC19" i="32"/>
  <c r="AB19" i="32"/>
  <c r="AG81" i="32"/>
  <c r="J19" i="32"/>
  <c r="AO18" i="32"/>
  <c r="AN18" i="32"/>
  <c r="AC18" i="32"/>
  <c r="P18" i="32" s="1"/>
  <c r="AB18" i="32"/>
  <c r="AG80" i="32"/>
  <c r="J18" i="32"/>
  <c r="AO17" i="32"/>
  <c r="AN17" i="32"/>
  <c r="AC17" i="32"/>
  <c r="M17" i="32" s="1"/>
  <c r="K17" i="32" s="1"/>
  <c r="AB17" i="32"/>
  <c r="L17" i="32" s="1"/>
  <c r="J17" i="32"/>
  <c r="AO14" i="32"/>
  <c r="AP14" i="32" s="1"/>
  <c r="O14" i="32" s="1"/>
  <c r="AN14" i="32"/>
  <c r="AC14" i="32"/>
  <c r="P14" i="32"/>
  <c r="AB14" i="32"/>
  <c r="J14" i="32"/>
  <c r="AO13" i="32"/>
  <c r="AP13" i="32" s="1"/>
  <c r="AN13" i="32"/>
  <c r="O13" i="32" s="1"/>
  <c r="AC13" i="32"/>
  <c r="AB13" i="32"/>
  <c r="J13" i="32"/>
  <c r="AO11" i="32"/>
  <c r="AP11" i="32" s="1"/>
  <c r="AN11" i="32"/>
  <c r="AC11" i="32"/>
  <c r="P11" i="32"/>
  <c r="AB11" i="32"/>
  <c r="J11" i="32"/>
  <c r="AO10" i="32"/>
  <c r="AP10" i="32"/>
  <c r="O10" i="32" s="1"/>
  <c r="AN10" i="32"/>
  <c r="AC10" i="32"/>
  <c r="AB10" i="32"/>
  <c r="L10" i="32"/>
  <c r="J10" i="32"/>
  <c r="AO9" i="32"/>
  <c r="AN9" i="32"/>
  <c r="AC9" i="32"/>
  <c r="P9" i="32" s="1"/>
  <c r="AB9" i="32"/>
  <c r="L9" i="32" s="1"/>
  <c r="J9" i="32"/>
  <c r="AC8" i="32"/>
  <c r="AB8" i="32"/>
  <c r="J8" i="32"/>
  <c r="AI79" i="32"/>
  <c r="O47" i="32"/>
  <c r="P56" i="32"/>
  <c r="P58" i="32" s="1"/>
  <c r="K17" i="30"/>
  <c r="N64" i="32"/>
  <c r="AK77" i="32"/>
  <c r="L18" i="32"/>
  <c r="L19" i="32"/>
  <c r="AL86" i="32"/>
  <c r="C84" i="32" s="1"/>
  <c r="AH77" i="32"/>
  <c r="AK78" i="32"/>
  <c r="AK79" i="32"/>
  <c r="P28" i="32"/>
  <c r="O36" i="32"/>
  <c r="M64" i="32"/>
  <c r="L61" i="32"/>
  <c r="C88" i="32"/>
  <c r="O37" i="32"/>
  <c r="O11" i="32"/>
  <c r="M47" i="32"/>
  <c r="M22" i="32"/>
  <c r="M28" i="32"/>
  <c r="N35" i="32"/>
  <c r="M61" i="32"/>
  <c r="N17" i="32"/>
  <c r="M18" i="32"/>
  <c r="C82" i="32"/>
  <c r="L22" i="32"/>
  <c r="M57" i="32"/>
  <c r="K57" i="32" s="1"/>
  <c r="N57" i="32"/>
  <c r="M51" i="32"/>
  <c r="M13" i="32"/>
  <c r="L46" i="32"/>
  <c r="N46" i="32"/>
  <c r="N51" i="32"/>
  <c r="K31" i="32"/>
  <c r="E48" i="19"/>
  <c r="E49" i="19"/>
  <c r="E50" i="19"/>
  <c r="E51" i="19"/>
  <c r="E52" i="19"/>
  <c r="E53" i="19"/>
  <c r="E54" i="19"/>
  <c r="E55" i="19"/>
  <c r="E56" i="19"/>
  <c r="E57" i="19"/>
  <c r="E58" i="19"/>
  <c r="E59" i="19"/>
  <c r="E60" i="19"/>
  <c r="E61" i="19"/>
  <c r="E62" i="19"/>
  <c r="E47" i="19"/>
  <c r="E63" i="19" s="1"/>
  <c r="K10" i="30"/>
  <c r="K9" i="30"/>
  <c r="E22" i="19"/>
  <c r="AC22" i="19"/>
  <c r="J22" i="19" s="1"/>
  <c r="I10" i="30" s="1"/>
  <c r="AC21" i="19"/>
  <c r="E10" i="19"/>
  <c r="AC10" i="19"/>
  <c r="E11" i="19"/>
  <c r="AC11" i="19"/>
  <c r="E12" i="19"/>
  <c r="AC12" i="19"/>
  <c r="E13" i="19"/>
  <c r="AC13" i="19"/>
  <c r="E14" i="19"/>
  <c r="AC14" i="19"/>
  <c r="K14" i="19" s="1"/>
  <c r="E15" i="19"/>
  <c r="AC15" i="19"/>
  <c r="J15" i="19" s="1"/>
  <c r="E16" i="19"/>
  <c r="AC16" i="19"/>
  <c r="I16" i="19" s="1"/>
  <c r="E17" i="19"/>
  <c r="AC17" i="19"/>
  <c r="E18" i="19"/>
  <c r="AC18" i="19"/>
  <c r="E9" i="19"/>
  <c r="AC9" i="19" s="1"/>
  <c r="B4" i="25"/>
  <c r="B3" i="25"/>
  <c r="B4" i="30"/>
  <c r="B3" i="30"/>
  <c r="B4" i="20"/>
  <c r="B3" i="20"/>
  <c r="B4" i="19"/>
  <c r="B3" i="19"/>
  <c r="B5" i="24"/>
  <c r="B18" i="24"/>
  <c r="T53" i="11"/>
  <c r="T37" i="11"/>
  <c r="T52" i="11"/>
  <c r="T36" i="11"/>
  <c r="T50" i="11"/>
  <c r="T34" i="11"/>
  <c r="T49" i="11"/>
  <c r="T33" i="11"/>
  <c r="T48" i="11"/>
  <c r="T32" i="11"/>
  <c r="T47" i="11"/>
  <c r="T31" i="11"/>
  <c r="T46" i="11"/>
  <c r="T30" i="11"/>
  <c r="T45" i="11"/>
  <c r="T29" i="11"/>
  <c r="T44" i="11"/>
  <c r="T28" i="11"/>
  <c r="T43" i="11"/>
  <c r="S206" i="25"/>
  <c r="R206" i="25"/>
  <c r="Q206" i="25"/>
  <c r="P206" i="25"/>
  <c r="O206" i="25"/>
  <c r="M206" i="25"/>
  <c r="L206" i="25"/>
  <c r="K206" i="25"/>
  <c r="J206" i="25"/>
  <c r="I206" i="25"/>
  <c r="H206" i="25"/>
  <c r="G206" i="25"/>
  <c r="F206" i="25"/>
  <c r="E206" i="25"/>
  <c r="F24" i="30"/>
  <c r="G24" i="30" s="1"/>
  <c r="I24" i="30"/>
  <c r="E42" i="20"/>
  <c r="D14" i="20" s="1"/>
  <c r="AC14" i="20"/>
  <c r="H14" i="20" s="1"/>
  <c r="E41" i="20"/>
  <c r="D13" i="20"/>
  <c r="AC13" i="20" s="1"/>
  <c r="E40" i="20"/>
  <c r="D12" i="20"/>
  <c r="AC12" i="20" s="1"/>
  <c r="G13" i="20"/>
  <c r="H13" i="20"/>
  <c r="F13" i="20"/>
  <c r="AJ10" i="20"/>
  <c r="AI10" i="20"/>
  <c r="AH10" i="20"/>
  <c r="AG10" i="20"/>
  <c r="AF10" i="20"/>
  <c r="AE10" i="20"/>
  <c r="AA10" i="20"/>
  <c r="E42" i="19"/>
  <c r="E41" i="19"/>
  <c r="E40" i="19"/>
  <c r="E39" i="19"/>
  <c r="E38" i="19"/>
  <c r="E37" i="19"/>
  <c r="E36" i="19"/>
  <c r="E35" i="19"/>
  <c r="E34" i="19"/>
  <c r="E33" i="19"/>
  <c r="E32" i="19"/>
  <c r="E31" i="19"/>
  <c r="E30" i="19"/>
  <c r="E29" i="19"/>
  <c r="E28" i="19"/>
  <c r="E27" i="19"/>
  <c r="K23" i="19"/>
  <c r="AG22" i="19"/>
  <c r="AF22" i="19"/>
  <c r="I22" i="19" s="1"/>
  <c r="AD22" i="19"/>
  <c r="AF21" i="19"/>
  <c r="AD21" i="19"/>
  <c r="AG18" i="19"/>
  <c r="AF18" i="19"/>
  <c r="AD18" i="19"/>
  <c r="AG17" i="19"/>
  <c r="AF17" i="19"/>
  <c r="AD17" i="19"/>
  <c r="AG15" i="19"/>
  <c r="AF15" i="19"/>
  <c r="AD15" i="19"/>
  <c r="AG13" i="19"/>
  <c r="AF13" i="19"/>
  <c r="AD13" i="19"/>
  <c r="AG12" i="19"/>
  <c r="AF12" i="19"/>
  <c r="AE12" i="19"/>
  <c r="AG11" i="19"/>
  <c r="AF11" i="19"/>
  <c r="AD11" i="19"/>
  <c r="AG10" i="19"/>
  <c r="J10" i="19" s="1"/>
  <c r="AF10" i="19"/>
  <c r="I10" i="19" s="1"/>
  <c r="G10" i="19" s="1"/>
  <c r="AD10" i="19"/>
  <c r="AG9" i="19"/>
  <c r="AF9" i="19"/>
  <c r="AD9" i="19"/>
  <c r="I9" i="30"/>
  <c r="H17" i="19"/>
  <c r="H10" i="19"/>
  <c r="H9" i="30"/>
  <c r="G9" i="30"/>
  <c r="J23" i="19"/>
  <c r="F9" i="30"/>
  <c r="AB10" i="20"/>
  <c r="L50" i="32" l="1"/>
  <c r="K50" i="32" s="1"/>
  <c r="N50" i="32"/>
  <c r="G12" i="20"/>
  <c r="H12" i="20"/>
  <c r="F12" i="20"/>
  <c r="E12" i="20" s="1"/>
  <c r="K60" i="32"/>
  <c r="H10" i="30"/>
  <c r="I23" i="19"/>
  <c r="O54" i="32"/>
  <c r="J16" i="30" s="1"/>
  <c r="K64" i="32"/>
  <c r="AD10" i="20"/>
  <c r="J10" i="20" s="1"/>
  <c r="J15" i="20" s="1"/>
  <c r="K23" i="30" s="1"/>
  <c r="K25" i="30" s="1"/>
  <c r="AC10" i="20"/>
  <c r="I17" i="19"/>
  <c r="J17" i="19"/>
  <c r="G17" i="19" s="1"/>
  <c r="I13" i="19"/>
  <c r="J13" i="19"/>
  <c r="J11" i="19"/>
  <c r="I11" i="19"/>
  <c r="P8" i="32"/>
  <c r="M8" i="32"/>
  <c r="M11" i="32"/>
  <c r="N11" i="32"/>
  <c r="AG78" i="32"/>
  <c r="M14" i="32"/>
  <c r="C80" i="32"/>
  <c r="M34" i="32"/>
  <c r="N34" i="32"/>
  <c r="L62" i="32"/>
  <c r="N62" i="32"/>
  <c r="M62" i="32"/>
  <c r="M66" i="32" s="1"/>
  <c r="H18" i="30" s="1"/>
  <c r="M65" i="32"/>
  <c r="N65" i="32"/>
  <c r="L65" i="32"/>
  <c r="K65" i="32" s="1"/>
  <c r="AL85" i="32"/>
  <c r="C83" i="32" s="1"/>
  <c r="N68" i="32"/>
  <c r="N70" i="32" s="1"/>
  <c r="I19" i="30" s="1"/>
  <c r="H15" i="19"/>
  <c r="G15" i="19" s="1"/>
  <c r="E13" i="20"/>
  <c r="M68" i="32"/>
  <c r="M43" i="32"/>
  <c r="N8" i="32"/>
  <c r="L69" i="32"/>
  <c r="AG77" i="32"/>
  <c r="C77" i="32" s="1"/>
  <c r="L36" i="32"/>
  <c r="AG76" i="32"/>
  <c r="N10" i="32"/>
  <c r="AG82" i="32"/>
  <c r="L20" i="32"/>
  <c r="M20" i="32"/>
  <c r="N20" i="32"/>
  <c r="AH76" i="32"/>
  <c r="L27" i="32"/>
  <c r="N27" i="32"/>
  <c r="L28" i="32"/>
  <c r="N28" i="32"/>
  <c r="AJ78" i="32"/>
  <c r="M56" i="32"/>
  <c r="M58" i="32" s="1"/>
  <c r="H17" i="30" s="1"/>
  <c r="O61" i="32"/>
  <c r="O66" i="32" s="1"/>
  <c r="J18" i="30" s="1"/>
  <c r="AL23" i="32"/>
  <c r="N23" i="32" s="1"/>
  <c r="AL24" i="32"/>
  <c r="N24" i="32" s="1"/>
  <c r="O9" i="32"/>
  <c r="O25" i="32" s="1"/>
  <c r="H13" i="19"/>
  <c r="H22" i="19"/>
  <c r="F14" i="20"/>
  <c r="G14" i="20"/>
  <c r="H24" i="30"/>
  <c r="J18" i="19"/>
  <c r="I18" i="19"/>
  <c r="H18" i="19"/>
  <c r="G18" i="19" s="1"/>
  <c r="I12" i="19"/>
  <c r="K12" i="19"/>
  <c r="J12" i="19"/>
  <c r="N14" i="32"/>
  <c r="N36" i="32"/>
  <c r="M69" i="32"/>
  <c r="L56" i="32"/>
  <c r="L68" i="32"/>
  <c r="O21" i="32"/>
  <c r="N22" i="32"/>
  <c r="K22" i="32" s="1"/>
  <c r="F72" i="32"/>
  <c r="P50" i="32"/>
  <c r="M50" i="32"/>
  <c r="AI80" i="32"/>
  <c r="L51" i="32"/>
  <c r="K51" i="32" s="1"/>
  <c r="N53" i="32"/>
  <c r="N9" i="32"/>
  <c r="K13" i="32"/>
  <c r="N43" i="32"/>
  <c r="I14" i="19"/>
  <c r="G14" i="19" s="1"/>
  <c r="J14" i="19"/>
  <c r="O46" i="32"/>
  <c r="H11" i="19"/>
  <c r="G11" i="19" s="1"/>
  <c r="K16" i="19"/>
  <c r="G16" i="19" s="1"/>
  <c r="E43" i="19"/>
  <c r="K24" i="30"/>
  <c r="L53" i="32"/>
  <c r="M27" i="32"/>
  <c r="N56" i="32"/>
  <c r="N58" i="32" s="1"/>
  <c r="I17" i="30" s="1"/>
  <c r="M10" i="32"/>
  <c r="K10" i="32" s="1"/>
  <c r="M53" i="32"/>
  <c r="M36" i="32"/>
  <c r="L11" i="32"/>
  <c r="P13" i="32"/>
  <c r="AG79" i="32"/>
  <c r="C79" i="32" s="1"/>
  <c r="L14" i="32"/>
  <c r="K14" i="32" s="1"/>
  <c r="P17" i="32"/>
  <c r="M19" i="32"/>
  <c r="K19" i="32" s="1"/>
  <c r="L34" i="32"/>
  <c r="AH82" i="32"/>
  <c r="N37" i="32"/>
  <c r="L37" i="32"/>
  <c r="M37" i="32"/>
  <c r="P43" i="32"/>
  <c r="N44" i="32"/>
  <c r="L44" i="32"/>
  <c r="AI76" i="32"/>
  <c r="P46" i="32"/>
  <c r="N47" i="32"/>
  <c r="L47" i="32"/>
  <c r="K47" i="32" s="1"/>
  <c r="K23" i="32"/>
  <c r="M30" i="32"/>
  <c r="N30" i="32"/>
  <c r="M52" i="32"/>
  <c r="K52" i="32" s="1"/>
  <c r="I15" i="19"/>
  <c r="J16" i="19"/>
  <c r="O18" i="32"/>
  <c r="P19" i="32"/>
  <c r="M21" i="32"/>
  <c r="P34" i="32"/>
  <c r="P39" i="32" s="1"/>
  <c r="K15" i="30" s="1"/>
  <c r="AH83" i="32"/>
  <c r="M38" i="32"/>
  <c r="K38" i="32" s="1"/>
  <c r="P53" i="32"/>
  <c r="AK76" i="32"/>
  <c r="N60" i="32"/>
  <c r="N66" i="32" s="1"/>
  <c r="I18" i="30" s="1"/>
  <c r="P69" i="32"/>
  <c r="P70" i="32" s="1"/>
  <c r="K19" i="30" s="1"/>
  <c r="N52" i="32"/>
  <c r="C72" i="32"/>
  <c r="O24" i="32"/>
  <c r="O35" i="32"/>
  <c r="K35" i="32" s="1"/>
  <c r="N21" i="32"/>
  <c r="L30" i="32"/>
  <c r="AI78" i="32"/>
  <c r="M46" i="32"/>
  <c r="K46" i="32" s="1"/>
  <c r="P64" i="32"/>
  <c r="P66" i="32" s="1"/>
  <c r="K18" i="30" s="1"/>
  <c r="M9" i="32"/>
  <c r="K8" i="32"/>
  <c r="N18" i="32"/>
  <c r="K18" i="32" s="1"/>
  <c r="L24" i="32"/>
  <c r="J9" i="19"/>
  <c r="I9" i="19"/>
  <c r="H9" i="19"/>
  <c r="F10" i="20"/>
  <c r="J14" i="30" l="1"/>
  <c r="M39" i="32"/>
  <c r="H15" i="30" s="1"/>
  <c r="L25" i="32"/>
  <c r="P54" i="32"/>
  <c r="K16" i="30" s="1"/>
  <c r="K68" i="32"/>
  <c r="L70" i="32"/>
  <c r="C81" i="32"/>
  <c r="K9" i="32"/>
  <c r="P25" i="32"/>
  <c r="H10" i="20"/>
  <c r="H15" i="20" s="1"/>
  <c r="I23" i="30" s="1"/>
  <c r="I25" i="30" s="1"/>
  <c r="I19" i="19"/>
  <c r="H8" i="30" s="1"/>
  <c r="H11" i="30" s="1"/>
  <c r="K34" i="32"/>
  <c r="K53" i="32"/>
  <c r="N54" i="32"/>
  <c r="I16" i="30" s="1"/>
  <c r="L58" i="32"/>
  <c r="K56" i="32"/>
  <c r="E14" i="20"/>
  <c r="K28" i="32"/>
  <c r="N25" i="32"/>
  <c r="J19" i="19"/>
  <c r="I8" i="30" s="1"/>
  <c r="I11" i="30" s="1"/>
  <c r="K30" i="32"/>
  <c r="K44" i="32"/>
  <c r="L54" i="32"/>
  <c r="K37" i="32"/>
  <c r="K19" i="19"/>
  <c r="K8" i="30" s="1"/>
  <c r="K11" i="30" s="1"/>
  <c r="H23" i="19"/>
  <c r="G22" i="19"/>
  <c r="G10" i="30"/>
  <c r="N39" i="32"/>
  <c r="I15" i="30" s="1"/>
  <c r="C76" i="32"/>
  <c r="K69" i="32"/>
  <c r="M54" i="32"/>
  <c r="H16" i="30" s="1"/>
  <c r="K43" i="32"/>
  <c r="K62" i="32"/>
  <c r="O39" i="32"/>
  <c r="J15" i="30" s="1"/>
  <c r="K24" i="32"/>
  <c r="K21" i="32"/>
  <c r="K11" i="32"/>
  <c r="G12" i="19"/>
  <c r="G13" i="19"/>
  <c r="L39" i="32"/>
  <c r="K27" i="32"/>
  <c r="K20" i="32"/>
  <c r="K36" i="32"/>
  <c r="K61" i="32"/>
  <c r="M70" i="32"/>
  <c r="H19" i="30" s="1"/>
  <c r="C78" i="32"/>
  <c r="M25" i="32"/>
  <c r="G10" i="20"/>
  <c r="G15" i="20" s="1"/>
  <c r="H23" i="30" s="1"/>
  <c r="H25" i="30" s="1"/>
  <c r="L66" i="32"/>
  <c r="G9" i="19"/>
  <c r="H19" i="19"/>
  <c r="G8" i="30" s="1"/>
  <c r="G11" i="30" s="1"/>
  <c r="F15" i="20"/>
  <c r="L72" i="32" l="1"/>
  <c r="G20" i="30" s="1"/>
  <c r="G14" i="30"/>
  <c r="K25" i="32"/>
  <c r="G15" i="30"/>
  <c r="K39" i="32"/>
  <c r="F15" i="30" s="1"/>
  <c r="E15" i="30" s="1"/>
  <c r="B45" i="30" s="1"/>
  <c r="G19" i="30"/>
  <c r="K70" i="32"/>
  <c r="F19" i="30" s="1"/>
  <c r="E19" i="30" s="1"/>
  <c r="B49" i="30" s="1"/>
  <c r="I10" i="20"/>
  <c r="G19" i="19"/>
  <c r="F8" i="30" s="1"/>
  <c r="M72" i="32"/>
  <c r="H20" i="30" s="1"/>
  <c r="H27" i="30" s="1"/>
  <c r="H14" i="30"/>
  <c r="P72" i="32"/>
  <c r="K20" i="30" s="1"/>
  <c r="K27" i="30" s="1"/>
  <c r="K14" i="30"/>
  <c r="G18" i="30"/>
  <c r="K66" i="32"/>
  <c r="F18" i="30" s="1"/>
  <c r="E18" i="30" s="1"/>
  <c r="B48" i="30" s="1"/>
  <c r="F10" i="30"/>
  <c r="G23" i="19"/>
  <c r="K54" i="32"/>
  <c r="F16" i="30" s="1"/>
  <c r="G16" i="30"/>
  <c r="I14" i="30"/>
  <c r="N72" i="32"/>
  <c r="I20" i="30" s="1"/>
  <c r="I27" i="30" s="1"/>
  <c r="G17" i="30"/>
  <c r="K58" i="32"/>
  <c r="F17" i="30" s="1"/>
  <c r="E17" i="30" s="1"/>
  <c r="B47" i="30" s="1"/>
  <c r="O72" i="32"/>
  <c r="J20" i="30" s="1"/>
  <c r="F11" i="30"/>
  <c r="G23" i="30"/>
  <c r="G25" i="30" s="1"/>
  <c r="E10" i="30" l="1"/>
  <c r="B43" i="30" s="1"/>
  <c r="C35" i="30"/>
  <c r="I15" i="20"/>
  <c r="E10" i="20"/>
  <c r="G27" i="30"/>
  <c r="F14" i="30"/>
  <c r="K72" i="32"/>
  <c r="F20" i="30" s="1"/>
  <c r="C34" i="30" s="1"/>
  <c r="J23" i="30" l="1"/>
  <c r="J25" i="30" s="1"/>
  <c r="J27" i="30" s="1"/>
  <c r="E15" i="20"/>
  <c r="F23" i="30" s="1"/>
  <c r="F25" i="30" s="1"/>
  <c r="C36" i="30"/>
  <c r="F27" i="30"/>
  <c r="E8" i="30" l="1"/>
  <c r="B41" i="30" s="1"/>
  <c r="E24" i="30"/>
  <c r="B51" i="30" s="1"/>
  <c r="E20" i="30"/>
  <c r="E16" i="30"/>
  <c r="B46" i="30" s="1"/>
  <c r="D35" i="30"/>
  <c r="E9" i="30"/>
  <c r="B42" i="30" s="1"/>
  <c r="E11" i="30"/>
  <c r="D34" i="30"/>
  <c r="E14" i="30"/>
  <c r="B44" i="30" s="1"/>
  <c r="E23" i="30"/>
  <c r="B50" i="30" s="1"/>
  <c r="E25" i="30"/>
  <c r="D36" i="30"/>
  <c r="E27" i="30" l="1"/>
</calcChain>
</file>

<file path=xl/comments1.xml><?xml version="1.0" encoding="utf-8"?>
<comments xmlns="http://schemas.openxmlformats.org/spreadsheetml/2006/main">
  <authors>
    <author>Ekrem, Joanna (ECY)</author>
  </authors>
  <commentList>
    <comment ref="B10" authorId="0" shapeId="0">
      <text>
        <r>
          <rPr>
            <b/>
            <sz val="10"/>
            <color indexed="81"/>
            <rFont val="Tahoma"/>
            <family val="2"/>
          </rPr>
          <t>Gail Sandlin</t>
        </r>
        <r>
          <rPr>
            <sz val="10"/>
            <color indexed="81"/>
            <rFont val="Tahoma"/>
            <family val="2"/>
          </rPr>
          <t xml:space="preserve">
Enter the total number of FTEs (full-time positions.) Either use the annual average or the number on a set date</t>
        </r>
      </text>
    </comment>
    <comment ref="B11" authorId="0" shapeId="0">
      <text>
        <r>
          <rPr>
            <b/>
            <sz val="10"/>
            <color indexed="81"/>
            <rFont val="Tahoma"/>
            <family val="2"/>
          </rPr>
          <t>Gail Sandlin:</t>
        </r>
        <r>
          <rPr>
            <sz val="10"/>
            <color indexed="81"/>
            <rFont val="Tahoma"/>
            <family val="2"/>
          </rPr>
          <t xml:space="preserve">
Enter the total number of positions, including full and part time.</t>
        </r>
      </text>
    </comment>
    <comment ref="B12" authorId="0" shapeId="0">
      <text>
        <r>
          <rPr>
            <b/>
            <sz val="10"/>
            <color indexed="81"/>
            <rFont val="Tahoma"/>
            <family val="2"/>
          </rPr>
          <t>Gail Sandlin:</t>
        </r>
        <r>
          <rPr>
            <sz val="10"/>
            <color indexed="81"/>
            <rFont val="Tahoma"/>
            <family val="2"/>
          </rPr>
          <t xml:space="preserve">
If applicable, enter the number of students, patients, defendants, or others that your agency serves.
</t>
        </r>
      </text>
    </comment>
  </commentList>
</comments>
</file>

<file path=xl/comments2.xml><?xml version="1.0" encoding="utf-8"?>
<comments xmlns="http://schemas.openxmlformats.org/spreadsheetml/2006/main">
  <authors>
    <author>Ekrem, Joanna (ECY)</author>
    <author>Gail Sandlin</author>
  </authors>
  <commentList>
    <comment ref="B3" authorId="0" shapeId="0">
      <text>
        <r>
          <rPr>
            <b/>
            <sz val="10"/>
            <color indexed="81"/>
            <rFont val="Tahoma"/>
            <family val="2"/>
          </rPr>
          <t>Gail Sandlin:</t>
        </r>
        <r>
          <rPr>
            <sz val="10"/>
            <color indexed="81"/>
            <rFont val="Tahoma"/>
            <family val="2"/>
          </rPr>
          <t xml:space="preserve">
Agency and year automatically copied from contents and notes page.</t>
        </r>
      </text>
    </comment>
    <comment ref="D7" authorId="0" shapeId="0">
      <text>
        <r>
          <rPr>
            <b/>
            <sz val="10"/>
            <color indexed="81"/>
            <rFont val="Tahoma"/>
            <family val="2"/>
          </rPr>
          <t>Gail Sandlin:</t>
        </r>
        <r>
          <rPr>
            <sz val="10"/>
            <color indexed="81"/>
            <rFont val="Tahoma"/>
            <family val="2"/>
          </rPr>
          <t xml:space="preserve">
If you don't have fuel use separated out by agency owned and privately leased space, enter the total into agency owned space.</t>
        </r>
      </text>
    </comment>
    <comment ref="E63" authorId="0" shapeId="0">
      <text>
        <r>
          <rPr>
            <b/>
            <sz val="10"/>
            <color indexed="81"/>
            <rFont val="Tahoma"/>
            <family val="2"/>
          </rPr>
          <t>Gail Sandlin:</t>
        </r>
        <r>
          <rPr>
            <sz val="10"/>
            <color indexed="81"/>
            <rFont val="Tahoma"/>
            <family val="2"/>
          </rPr>
          <t xml:space="preserve">
Add the total estimated therms to table 1
</t>
        </r>
      </text>
    </comment>
    <comment ref="M67" authorId="1" shapeId="0">
      <text>
        <r>
          <rPr>
            <b/>
            <sz val="8"/>
            <color indexed="81"/>
            <rFont val="Tahoma"/>
            <family val="2"/>
          </rPr>
          <t>Gail Sandlin:</t>
        </r>
        <r>
          <rPr>
            <sz val="8"/>
            <color indexed="81"/>
            <rFont val="Tahoma"/>
            <family val="2"/>
          </rPr>
          <t xml:space="preserve">
1000 cubic feet = 10 therms; price per therm is 1/10 value;  use commercial price.</t>
        </r>
      </text>
    </comment>
  </commentList>
</comments>
</file>

<file path=xl/comments3.xml><?xml version="1.0" encoding="utf-8"?>
<comments xmlns="http://schemas.openxmlformats.org/spreadsheetml/2006/main">
  <authors>
    <author>Ekrem, Joanna (ECY)</author>
  </authors>
  <commentList>
    <comment ref="B3" authorId="0" shapeId="0">
      <text>
        <r>
          <rPr>
            <b/>
            <sz val="10"/>
            <color indexed="81"/>
            <rFont val="Tahoma"/>
            <family val="2"/>
          </rPr>
          <t>Gail Sandlin (ECY):</t>
        </r>
        <r>
          <rPr>
            <sz val="10"/>
            <color indexed="81"/>
            <rFont val="Tahoma"/>
            <family val="2"/>
          </rPr>
          <t xml:space="preserve">
Agency and year automatically copied from contents and notes page.</t>
        </r>
      </text>
    </comment>
    <comment ref="B58" authorId="0" shapeId="0">
      <text>
        <r>
          <rPr>
            <b/>
            <sz val="10"/>
            <color indexed="81"/>
            <rFont val="Tahoma"/>
            <family val="2"/>
          </rPr>
          <t>Ekrem, Joanna (ECY):</t>
        </r>
        <r>
          <rPr>
            <sz val="10"/>
            <color indexed="81"/>
            <rFont val="Tahoma"/>
            <family val="2"/>
          </rPr>
          <t xml:space="preserve">
Total excludes kwh from shorepower.
</t>
        </r>
      </text>
    </comment>
    <comment ref="C72" authorId="0" shapeId="0">
      <text>
        <r>
          <rPr>
            <b/>
            <sz val="10"/>
            <color indexed="81"/>
            <rFont val="Tahoma"/>
            <family val="2"/>
          </rPr>
          <t>Gail Sandlin (ECY):</t>
        </r>
        <r>
          <rPr>
            <sz val="10"/>
            <color indexed="81"/>
            <rFont val="Tahoma"/>
            <family val="2"/>
          </rPr>
          <t xml:space="preserve">
Note this total includes all fuels except kwh.</t>
        </r>
      </text>
    </comment>
  </commentList>
</comments>
</file>

<file path=xl/comments4.xml><?xml version="1.0" encoding="utf-8"?>
<comments xmlns="http://schemas.openxmlformats.org/spreadsheetml/2006/main">
  <authors>
    <author>Ekrem, Joanna (ECY)</author>
  </authors>
  <commentList>
    <comment ref="D12" authorId="0" shapeId="0">
      <text>
        <r>
          <rPr>
            <b/>
            <sz val="10"/>
            <color indexed="81"/>
            <rFont val="Tahoma"/>
            <family val="2"/>
          </rPr>
          <t>Gail Sandlin:</t>
        </r>
        <r>
          <rPr>
            <sz val="10"/>
            <color indexed="81"/>
            <rFont val="Tahoma"/>
            <family val="2"/>
          </rPr>
          <t xml:space="preserve">
The estimated miles traveled are automatically entered from table 12.</t>
        </r>
      </text>
    </comment>
    <comment ref="A17" authorId="0" shapeId="0">
      <text>
        <r>
          <rPr>
            <b/>
            <sz val="10"/>
            <color indexed="81"/>
            <rFont val="Tahoma"/>
            <family val="2"/>
          </rPr>
          <t>Gail Sandlin:</t>
        </r>
        <r>
          <rPr>
            <sz val="10"/>
            <color indexed="81"/>
            <rFont val="Tahoma"/>
            <family val="2"/>
          </rPr>
          <t xml:space="preserve">
Methods and data to be determined.</t>
        </r>
      </text>
    </comment>
    <comment ref="C17" authorId="0" shapeId="0">
      <text>
        <r>
          <rPr>
            <b/>
            <sz val="10"/>
            <color indexed="81"/>
            <rFont val="Tahoma"/>
            <family val="2"/>
          </rPr>
          <t>Ekrem, Joanna (ECY):</t>
        </r>
        <r>
          <rPr>
            <sz val="10"/>
            <color indexed="81"/>
            <rFont val="Tahoma"/>
            <family val="2"/>
          </rPr>
          <t xml:space="preserve">
The CTR reports come out every two years.  The most recent report came out in the spring of 2012 and included annual greenhouse gas emissions (MT CO2e) for roundtrip commute for 2011-2012.  Enter the annual GHG emissions in MT CO2e for roundtrip commute for total employment.  Please note, if you have multiple worksites that participate in CTR, you will need to add the GHG emissions from each worksite. </t>
        </r>
      </text>
    </comment>
    <comment ref="E40" authorId="0" shapeId="0">
      <text>
        <r>
          <rPr>
            <b/>
            <sz val="10"/>
            <color indexed="81"/>
            <rFont val="Tahoma"/>
            <family val="2"/>
          </rPr>
          <t>Ekrem, Joanna (ECY):</t>
        </r>
        <r>
          <rPr>
            <sz val="10"/>
            <color indexed="81"/>
            <rFont val="Tahoma"/>
            <family val="2"/>
          </rPr>
          <t xml:space="preserve">
Insert into cell C10</t>
        </r>
      </text>
    </comment>
    <comment ref="E41" authorId="0" shapeId="0">
      <text>
        <r>
          <rPr>
            <b/>
            <sz val="10"/>
            <color indexed="81"/>
            <rFont val="Tahoma"/>
            <family val="2"/>
          </rPr>
          <t>Ekrem, Joanna (ECY):</t>
        </r>
        <r>
          <rPr>
            <sz val="10"/>
            <color indexed="81"/>
            <rFont val="Tahoma"/>
            <family val="2"/>
          </rPr>
          <t xml:space="preserve">
Insert into C11
</t>
        </r>
      </text>
    </comment>
    <comment ref="E42" authorId="0" shapeId="0">
      <text>
        <r>
          <rPr>
            <b/>
            <sz val="10"/>
            <color indexed="81"/>
            <rFont val="Tahoma"/>
            <family val="2"/>
          </rPr>
          <t>Ekrem, Joanna (ECY):</t>
        </r>
        <r>
          <rPr>
            <sz val="10"/>
            <color indexed="81"/>
            <rFont val="Tahoma"/>
            <family val="2"/>
          </rPr>
          <t xml:space="preserve">
Insert into C12
</t>
        </r>
      </text>
    </comment>
  </commentList>
</comments>
</file>

<file path=xl/comments5.xml><?xml version="1.0" encoding="utf-8"?>
<comments xmlns="http://schemas.openxmlformats.org/spreadsheetml/2006/main">
  <authors>
    <author>Ekrem, Joanna (ECY)</author>
  </authors>
  <commentList>
    <comment ref="B3" authorId="0" shapeId="0">
      <text>
        <r>
          <rPr>
            <b/>
            <sz val="10"/>
            <color indexed="81"/>
            <rFont val="Tahoma"/>
            <family val="2"/>
          </rPr>
          <t>Gail Sandlin (ECY):</t>
        </r>
        <r>
          <rPr>
            <sz val="10"/>
            <color indexed="81"/>
            <rFont val="Tahoma"/>
            <family val="2"/>
          </rPr>
          <t xml:space="preserve">
Agency and year automatically copied from contents and notes page.</t>
        </r>
      </text>
    </comment>
  </commentList>
</comments>
</file>

<file path=xl/comments6.xml><?xml version="1.0" encoding="utf-8"?>
<comments xmlns="http://schemas.openxmlformats.org/spreadsheetml/2006/main">
  <authors>
    <author>Gail Sandlin</author>
  </authors>
  <commentList>
    <comment ref="A206" authorId="0" shapeId="0">
      <text>
        <r>
          <rPr>
            <b/>
            <sz val="8"/>
            <color indexed="81"/>
            <rFont val="Tahoma"/>
            <family val="2"/>
          </rPr>
          <t>Gail Sandlin:</t>
        </r>
        <r>
          <rPr>
            <sz val="8"/>
            <color indexed="81"/>
            <rFont val="Tahoma"/>
            <family val="2"/>
          </rPr>
          <t xml:space="preserve">
200 rows.  Select rows 25 and 204, then right click, and select "unhide"
</t>
        </r>
      </text>
    </comment>
  </commentList>
</comments>
</file>

<file path=xl/comments7.xml><?xml version="1.0" encoding="utf-8"?>
<comments xmlns="http://schemas.openxmlformats.org/spreadsheetml/2006/main">
  <authors>
    <author>Ekrem, Joanna (ECY)</author>
  </authors>
  <commentList>
    <comment ref="T11" authorId="0" shapeId="0">
      <text>
        <r>
          <rPr>
            <b/>
            <sz val="10"/>
            <color indexed="81"/>
            <rFont val="Tahoma"/>
            <family val="2"/>
          </rPr>
          <t>Gail Sandlin (ECY):</t>
        </r>
        <r>
          <rPr>
            <sz val="10"/>
            <color indexed="81"/>
            <rFont val="Tahoma"/>
            <family val="2"/>
          </rPr>
          <t xml:space="preserve">
GWP values are from the Fourth Assessment Report to be consistent with international practices
</t>
        </r>
      </text>
    </comment>
  </commentList>
</comments>
</file>

<file path=xl/sharedStrings.xml><?xml version="1.0" encoding="utf-8"?>
<sst xmlns="http://schemas.openxmlformats.org/spreadsheetml/2006/main" count="934" uniqueCount="493">
  <si>
    <t>Natural Gas (Therms)</t>
  </si>
  <si>
    <t>Fuel Oil (Gallons)</t>
  </si>
  <si>
    <t>Propane (Gallons)</t>
  </si>
  <si>
    <t>CO2</t>
  </si>
  <si>
    <t>CH4</t>
  </si>
  <si>
    <t>N2O</t>
  </si>
  <si>
    <t>Agency</t>
  </si>
  <si>
    <t>Phone</t>
  </si>
  <si>
    <t>E-mail</t>
  </si>
  <si>
    <t>Stationary Combustion</t>
  </si>
  <si>
    <t>Fleet</t>
  </si>
  <si>
    <t>Employee Business Travel</t>
  </si>
  <si>
    <t>On-road heavy duty</t>
  </si>
  <si>
    <t>On-road light duty</t>
  </si>
  <si>
    <t xml:space="preserve">Off-road </t>
  </si>
  <si>
    <t>Ferry</t>
  </si>
  <si>
    <t>Boat</t>
  </si>
  <si>
    <t>Air</t>
  </si>
  <si>
    <t>Purchased Steam</t>
  </si>
  <si>
    <t>Diesel 
(used in fixed generators) (gallons)</t>
  </si>
  <si>
    <t>TOTAL EMISSIONS</t>
  </si>
  <si>
    <t>Activity Data</t>
  </si>
  <si>
    <t>Source</t>
  </si>
  <si>
    <t>Fuel</t>
  </si>
  <si>
    <t>Stationary Sources</t>
  </si>
  <si>
    <t xml:space="preserve">Natural gas </t>
  </si>
  <si>
    <t>Diesel</t>
  </si>
  <si>
    <t>Wood</t>
  </si>
  <si>
    <t xml:space="preserve">Propane </t>
  </si>
  <si>
    <t xml:space="preserve">Diesel </t>
  </si>
  <si>
    <t xml:space="preserve">Gasoline </t>
  </si>
  <si>
    <r>
      <t>Biodiesel</t>
    </r>
    <r>
      <rPr>
        <vertAlign val="superscript"/>
        <sz val="12"/>
        <color theme="1"/>
        <rFont val="Times New Roman"/>
        <family val="1"/>
      </rPr>
      <t xml:space="preserve"> </t>
    </r>
    <r>
      <rPr>
        <sz val="12"/>
        <color theme="1"/>
        <rFont val="Times New Roman"/>
        <family val="1"/>
      </rPr>
      <t>(B100)</t>
    </r>
  </si>
  <si>
    <t>Ethanol (E100)</t>
  </si>
  <si>
    <t>CNG</t>
  </si>
  <si>
    <t>LPG</t>
  </si>
  <si>
    <t>Propane</t>
  </si>
  <si>
    <t xml:space="preserve">Jet fuel </t>
  </si>
  <si>
    <t>Gasoline</t>
  </si>
  <si>
    <t>Purchased Energy</t>
  </si>
  <si>
    <t>Purchased Steam (Seattle Steam)</t>
  </si>
  <si>
    <t>Conversion</t>
  </si>
  <si>
    <t>0.14 MMBtu/gallon</t>
  </si>
  <si>
    <t>0.091 Mmbtu/gallon</t>
  </si>
  <si>
    <t>15.38 mmBtu/short ton</t>
  </si>
  <si>
    <t>0.125 MMBtu/gallon</t>
  </si>
  <si>
    <t>1 KWH = 3412 BTU</t>
  </si>
  <si>
    <t>1 therm=100,000 BTU</t>
  </si>
  <si>
    <t>Purchased Electricity</t>
  </si>
  <si>
    <t>Per Unit Volume</t>
  </si>
  <si>
    <t>Per Unit Energy</t>
  </si>
  <si>
    <t>Other</t>
  </si>
  <si>
    <t>NA</t>
  </si>
  <si>
    <t>Butanol</t>
  </si>
  <si>
    <t>Residual Fuel Oil (#5 &amp; #6)</t>
  </si>
  <si>
    <t>Aviation Gasoline</t>
  </si>
  <si>
    <t>Purchased Electricity Northwest regional power pool fuel mix</t>
  </si>
  <si>
    <t>Emissions Per MMBtu</t>
  </si>
  <si>
    <t>Per Unit Energy, Mass or Volume</t>
  </si>
  <si>
    <t>Fuel Oil</t>
  </si>
  <si>
    <t xml:space="preserve">Washington State Agency Greenhouse Gas Calculator </t>
  </si>
  <si>
    <t>EMPLOYEE BUSINESS TRAVEL</t>
  </si>
  <si>
    <t>EMPLOYEE COMMUTING</t>
  </si>
  <si>
    <t>Wood (short tons)</t>
  </si>
  <si>
    <t>STATIONARY COMBUSTION</t>
  </si>
  <si>
    <t>PURCHASED ENERGY</t>
  </si>
  <si>
    <t>required</t>
  </si>
  <si>
    <t>optional</t>
  </si>
  <si>
    <t>non-entry</t>
  </si>
  <si>
    <t>Emissions</t>
  </si>
  <si>
    <t>Fuel Use (gal)</t>
  </si>
  <si>
    <t>Number of Vehicles</t>
  </si>
  <si>
    <t>AC Units (#)</t>
  </si>
  <si>
    <t>Hours of Operation</t>
  </si>
  <si>
    <t>Notes</t>
  </si>
  <si>
    <t>Ethanol:</t>
  </si>
  <si>
    <t>Gasoline/Ethanol:</t>
  </si>
  <si>
    <t>Diesel/Biodiesel:</t>
  </si>
  <si>
    <t>Liquefied Petroleum Gas (LPG):</t>
  </si>
  <si>
    <t>Butanol:</t>
  </si>
  <si>
    <t>Total:</t>
  </si>
  <si>
    <t>Ferries</t>
  </si>
  <si>
    <t>Boats</t>
  </si>
  <si>
    <t>Aircraft</t>
  </si>
  <si>
    <t>kg CO2 / gal</t>
  </si>
  <si>
    <t>kg CO2 / gge</t>
  </si>
  <si>
    <t>kg CO2 / MMBTU</t>
  </si>
  <si>
    <t>kg CO2/scf</t>
  </si>
  <si>
    <t>g / mile</t>
  </si>
  <si>
    <t>Light Duty Onroad</t>
  </si>
  <si>
    <t>Heavy Duty Onroad</t>
  </si>
  <si>
    <t>Onroad</t>
  </si>
  <si>
    <t>g / gal</t>
  </si>
  <si>
    <t>Offroad</t>
  </si>
  <si>
    <r>
      <t xml:space="preserve">Off-Road Motor Vehicles 
</t>
    </r>
    <r>
      <rPr>
        <sz val="11"/>
        <color theme="1"/>
        <rFont val="Calibri"/>
        <family val="2"/>
        <scheme val="minor"/>
      </rPr>
      <t>(yellow iron, tractors, ATVs, forklifts, etc.)</t>
    </r>
  </si>
  <si>
    <r>
      <t xml:space="preserve">Heavy Duty On-Road Motor Vehicles
</t>
    </r>
    <r>
      <rPr>
        <sz val="11"/>
        <color theme="1"/>
        <rFont val="Calibri"/>
        <family val="2"/>
        <scheme val="minor"/>
      </rPr>
      <t>(buses, heavy duty trucks, semi-trucks, dump trucks, snow plows, fire engines, etc.)</t>
    </r>
  </si>
  <si>
    <r>
      <t xml:space="preserve">Light Duty On-Road Motor Vehicles
</t>
    </r>
    <r>
      <rPr>
        <sz val="11"/>
        <color theme="1"/>
        <rFont val="Calibri"/>
        <family val="2"/>
        <scheme val="minor"/>
      </rPr>
      <t>(cars, SUVs, pick-up trucks, vans, motorcycles, etc.)</t>
    </r>
  </si>
  <si>
    <t>Adjusted Fossil Fuel Use (gal)</t>
  </si>
  <si>
    <t>Adjusted Biomass Fuel Use (gal)</t>
  </si>
  <si>
    <r>
      <t>Fossil CO</t>
    </r>
    <r>
      <rPr>
        <b/>
        <u/>
        <sz val="10"/>
        <color theme="1"/>
        <rFont val="Calibri"/>
        <family val="2"/>
        <scheme val="minor"/>
      </rPr>
      <t>2</t>
    </r>
    <r>
      <rPr>
        <b/>
        <u/>
        <sz val="11"/>
        <color theme="1"/>
        <rFont val="Calibri"/>
        <family val="2"/>
        <scheme val="minor"/>
      </rPr>
      <t xml:space="preserve"> EF</t>
    </r>
  </si>
  <si>
    <r>
      <t>Biomass CO</t>
    </r>
    <r>
      <rPr>
        <b/>
        <u/>
        <sz val="10"/>
        <color theme="1"/>
        <rFont val="Calibri"/>
        <family val="2"/>
        <scheme val="minor"/>
      </rPr>
      <t>2</t>
    </r>
    <r>
      <rPr>
        <b/>
        <u/>
        <sz val="11"/>
        <color theme="1"/>
        <rFont val="Calibri"/>
        <family val="2"/>
        <scheme val="minor"/>
      </rPr>
      <t xml:space="preserve"> EF</t>
    </r>
  </si>
  <si>
    <r>
      <t>Miles Fossil CH</t>
    </r>
    <r>
      <rPr>
        <b/>
        <u/>
        <sz val="10"/>
        <color theme="1"/>
        <rFont val="Calibri"/>
        <family val="2"/>
        <scheme val="minor"/>
      </rPr>
      <t>4</t>
    </r>
    <r>
      <rPr>
        <b/>
        <u/>
        <sz val="11"/>
        <color theme="1"/>
        <rFont val="Calibri"/>
        <family val="2"/>
        <scheme val="minor"/>
      </rPr>
      <t xml:space="preserve"> EF</t>
    </r>
  </si>
  <si>
    <r>
      <t>Miles Biofuel CH</t>
    </r>
    <r>
      <rPr>
        <b/>
        <u/>
        <sz val="10"/>
        <color theme="1"/>
        <rFont val="Calibri"/>
        <family val="2"/>
        <scheme val="minor"/>
      </rPr>
      <t>4</t>
    </r>
    <r>
      <rPr>
        <b/>
        <u/>
        <sz val="11"/>
        <color theme="1"/>
        <rFont val="Calibri"/>
        <family val="2"/>
        <scheme val="minor"/>
      </rPr>
      <t xml:space="preserve"> EF</t>
    </r>
  </si>
  <si>
    <r>
      <t>Fuel Fossil CH</t>
    </r>
    <r>
      <rPr>
        <b/>
        <u/>
        <sz val="10"/>
        <color theme="1"/>
        <rFont val="Calibri"/>
        <family val="2"/>
        <scheme val="minor"/>
      </rPr>
      <t>4</t>
    </r>
    <r>
      <rPr>
        <b/>
        <u/>
        <sz val="11"/>
        <color theme="1"/>
        <rFont val="Calibri"/>
        <family val="2"/>
        <scheme val="minor"/>
      </rPr>
      <t xml:space="preserve"> EF</t>
    </r>
  </si>
  <si>
    <r>
      <t>Fuel Biofuel CH</t>
    </r>
    <r>
      <rPr>
        <b/>
        <u/>
        <sz val="10"/>
        <color theme="1"/>
        <rFont val="Calibri"/>
        <family val="2"/>
        <scheme val="minor"/>
      </rPr>
      <t>4</t>
    </r>
    <r>
      <rPr>
        <b/>
        <u/>
        <sz val="11"/>
        <color theme="1"/>
        <rFont val="Calibri"/>
        <family val="2"/>
        <scheme val="minor"/>
      </rPr>
      <t xml:space="preserve"> EF</t>
    </r>
  </si>
  <si>
    <t>kg CH4 / gal</t>
  </si>
  <si>
    <r>
      <t>Miles Fossil N</t>
    </r>
    <r>
      <rPr>
        <b/>
        <u/>
        <sz val="10"/>
        <color theme="1"/>
        <rFont val="Calibri"/>
        <family val="2"/>
        <scheme val="minor"/>
      </rPr>
      <t>2</t>
    </r>
    <r>
      <rPr>
        <b/>
        <u/>
        <sz val="11"/>
        <color theme="1"/>
        <rFont val="Calibri"/>
        <family val="2"/>
        <scheme val="minor"/>
      </rPr>
      <t>O EF</t>
    </r>
  </si>
  <si>
    <r>
      <t>Miles Biofuel N</t>
    </r>
    <r>
      <rPr>
        <b/>
        <u/>
        <sz val="10"/>
        <color theme="1"/>
        <rFont val="Calibri"/>
        <family val="2"/>
        <scheme val="minor"/>
      </rPr>
      <t>2</t>
    </r>
    <r>
      <rPr>
        <b/>
        <u/>
        <sz val="11"/>
        <color theme="1"/>
        <rFont val="Calibri"/>
        <family val="2"/>
        <scheme val="minor"/>
      </rPr>
      <t>O EF</t>
    </r>
  </si>
  <si>
    <r>
      <t>Fuel Fossil N</t>
    </r>
    <r>
      <rPr>
        <b/>
        <u/>
        <sz val="10"/>
        <color theme="1"/>
        <rFont val="Calibri"/>
        <family val="2"/>
        <scheme val="minor"/>
      </rPr>
      <t>2</t>
    </r>
    <r>
      <rPr>
        <b/>
        <u/>
        <sz val="11"/>
        <color theme="1"/>
        <rFont val="Calibri"/>
        <family val="2"/>
        <scheme val="minor"/>
      </rPr>
      <t>O EF</t>
    </r>
  </si>
  <si>
    <r>
      <t>Fuel Biofuel N</t>
    </r>
    <r>
      <rPr>
        <b/>
        <u/>
        <sz val="10"/>
        <color theme="1"/>
        <rFont val="Calibri"/>
        <family val="2"/>
        <scheme val="minor"/>
      </rPr>
      <t>2</t>
    </r>
    <r>
      <rPr>
        <b/>
        <u/>
        <sz val="11"/>
        <color theme="1"/>
        <rFont val="Calibri"/>
        <family val="2"/>
        <scheme val="minor"/>
      </rPr>
      <t>O EF</t>
    </r>
  </si>
  <si>
    <t>kg N2O / gal</t>
  </si>
  <si>
    <t>kg N2O / gge</t>
  </si>
  <si>
    <t>kg CH4 / gge</t>
  </si>
  <si>
    <t>Default % of Vehicles with AC Units</t>
  </si>
  <si>
    <t>Default Refrigerant Capacity (kg/unit)</t>
  </si>
  <si>
    <t>Emissions per AC Unit (MT CO2e / unit)</t>
  </si>
  <si>
    <t>kg / kwh</t>
  </si>
  <si>
    <t>lbs CO2 / MWh</t>
  </si>
  <si>
    <t>g / kwh</t>
  </si>
  <si>
    <t>lbs CH4 / GWh</t>
  </si>
  <si>
    <t>lbs N2O / GWh</t>
  </si>
  <si>
    <t>Bulk Fuel:</t>
  </si>
  <si>
    <t>Average Miles per Gallon</t>
  </si>
  <si>
    <t>Energy Use by Facility (Optional)</t>
  </si>
  <si>
    <t>Worksheet 8</t>
  </si>
  <si>
    <t>Worksheet 6</t>
  </si>
  <si>
    <t>GHG Emissions Summary</t>
  </si>
  <si>
    <t>Worksheet 5</t>
  </si>
  <si>
    <t>Worksheet 4</t>
  </si>
  <si>
    <t>Worksheet 3</t>
  </si>
  <si>
    <t>Worksheet 2</t>
  </si>
  <si>
    <t>General Agency Information</t>
  </si>
  <si>
    <t>Vacant</t>
  </si>
  <si>
    <t>Warehouse and storage</t>
  </si>
  <si>
    <t>Service</t>
  </si>
  <si>
    <t>Religious Worship</t>
  </si>
  <si>
    <t>Public Order and Safety</t>
  </si>
  <si>
    <t>Public Assembly</t>
  </si>
  <si>
    <t>Office</t>
  </si>
  <si>
    <t>Retail</t>
  </si>
  <si>
    <t>Lodging</t>
  </si>
  <si>
    <t>Outpatient</t>
  </si>
  <si>
    <t>Inpatient</t>
  </si>
  <si>
    <t>Health Care</t>
  </si>
  <si>
    <t>Food Service</t>
  </si>
  <si>
    <t>Food Sales</t>
  </si>
  <si>
    <t>Education</t>
  </si>
  <si>
    <t>kWh</t>
  </si>
  <si>
    <t>Sq. Ft.</t>
  </si>
  <si>
    <t>RENEWABLE ENERGY</t>
  </si>
  <si>
    <t>Total GHGs:</t>
  </si>
  <si>
    <t>MT N2O (CO2e)</t>
  </si>
  <si>
    <t>MT CH4 (CO2e)</t>
  </si>
  <si>
    <t>GHG Emissions</t>
  </si>
  <si>
    <t>CY:</t>
  </si>
  <si>
    <t>Agency:</t>
  </si>
  <si>
    <t>Air Travel:</t>
  </si>
  <si>
    <t>MT HFCs (CO2e)</t>
  </si>
  <si>
    <t>Greenhouse Gas Emissions Summary #5</t>
  </si>
  <si>
    <t>FTEs</t>
  </si>
  <si>
    <t>Total # of FTEs</t>
  </si>
  <si>
    <t>Project Lead</t>
  </si>
  <si>
    <t>Calendar Year</t>
  </si>
  <si>
    <t>General Agency Information Worksheet #1</t>
  </si>
  <si>
    <t>Green Tags Purchased (kwh)</t>
  </si>
  <si>
    <t>Onsite Renewable Energy Generated (kwh)</t>
  </si>
  <si>
    <t>Steam
(MMBtu)</t>
  </si>
  <si>
    <t>Electricity (kwh)</t>
  </si>
  <si>
    <t>Gasoline (used in fixed generators) (gallons)</t>
  </si>
  <si>
    <t>Wood 
(short tons)</t>
  </si>
  <si>
    <t>Fuel Oil (gallons)</t>
  </si>
  <si>
    <t>Natural Gas (therms)</t>
  </si>
  <si>
    <t>Facility</t>
  </si>
  <si>
    <t>Site</t>
  </si>
  <si>
    <t>kg/therm</t>
  </si>
  <si>
    <t>kg/gallon</t>
  </si>
  <si>
    <t>kg/short ton</t>
  </si>
  <si>
    <t>g/therm</t>
  </si>
  <si>
    <t>g/gallon</t>
  </si>
  <si>
    <t>g/short ton</t>
  </si>
  <si>
    <t>kg/MMBtu</t>
  </si>
  <si>
    <t>g/MMBtu</t>
  </si>
  <si>
    <t>MT CO2e/MMBtu</t>
  </si>
  <si>
    <t xml:space="preserve">Total Emissions MT CO2e </t>
  </si>
  <si>
    <t>Natural Gas Purchases ($)</t>
  </si>
  <si>
    <t>Electricity Purchases ($)</t>
  </si>
  <si>
    <t>Total GHG:</t>
  </si>
  <si>
    <t>EF CO2</t>
  </si>
  <si>
    <t>EF Biomass CO2</t>
  </si>
  <si>
    <t>EF CH4</t>
  </si>
  <si>
    <t>EF N2O</t>
  </si>
  <si>
    <t>Fuel Use</t>
  </si>
  <si>
    <t>Purchased Steam (Million lbs - Mlbs)</t>
  </si>
  <si>
    <t>SF6</t>
  </si>
  <si>
    <t>HFCs</t>
  </si>
  <si>
    <t>PFCs</t>
  </si>
  <si>
    <t>140-11,700</t>
  </si>
  <si>
    <t>6,500-9,200</t>
  </si>
  <si>
    <t>Global Warming Potentials (GWP)</t>
  </si>
  <si>
    <t>(100 year time horizon)</t>
  </si>
  <si>
    <t>Space leased in a privately owned building (Sq. ft.)</t>
  </si>
  <si>
    <t>Total AC Emissions</t>
  </si>
  <si>
    <t>5% of total emissions</t>
  </si>
  <si>
    <t>Total GHG Emissions for Roundtrip Commute for drive alone, carpools and vanpools</t>
  </si>
  <si>
    <t>Air Travel</t>
  </si>
  <si>
    <t>Short Flight (0-300 miles)</t>
  </si>
  <si>
    <t>Medium Flight (300-700 miles)</t>
  </si>
  <si>
    <t>Long Flight (&gt;700 miles)</t>
  </si>
  <si>
    <t>kg/ passsenger mile</t>
  </si>
  <si>
    <t>kg/ passenger mile</t>
  </si>
  <si>
    <t>g/ passenger mile</t>
  </si>
  <si>
    <t>Mass</t>
  </si>
  <si>
    <t>1 pound (lb)</t>
  </si>
  <si>
    <t>453.6 grams (g)</t>
  </si>
  <si>
    <t>0.4536 kilograms (kg)</t>
  </si>
  <si>
    <t>0.0004536 metric tons (tonne)</t>
  </si>
  <si>
    <t>1 kilogram (kg)</t>
  </si>
  <si>
    <t>2.205 pounds (lb)</t>
  </si>
  <si>
    <t>1 short ton (ton)</t>
  </si>
  <si>
    <t>2,000 pounds (lb)</t>
  </si>
  <si>
    <t>907.2 kilograms (kg)</t>
  </si>
  <si>
    <t>1 metric ton (tonne)</t>
  </si>
  <si>
    <t>2,205 pounds (lb)</t>
  </si>
  <si>
    <t>1,000 kilograms (kg)</t>
  </si>
  <si>
    <t>1.102 short tons (tons)</t>
  </si>
  <si>
    <t>Volume</t>
  </si>
  <si>
    <r>
      <t>1 cubic foot (ft</t>
    </r>
    <r>
      <rPr>
        <vertAlign val="superscript"/>
        <sz val="10"/>
        <rFont val="Arial"/>
        <family val="2"/>
      </rPr>
      <t>3</t>
    </r>
    <r>
      <rPr>
        <sz val="10"/>
        <rFont val="Arial"/>
        <family val="2"/>
      </rPr>
      <t>)</t>
    </r>
  </si>
  <si>
    <t>7.4805 US gallons (gal)</t>
  </si>
  <si>
    <t>0.1781 barrel (bbl)</t>
  </si>
  <si>
    <t>28.32 liters (L)</t>
  </si>
  <si>
    <r>
      <t>0.02832 cubic meters (m</t>
    </r>
    <r>
      <rPr>
        <vertAlign val="superscript"/>
        <sz val="10"/>
        <rFont val="Arial"/>
        <family val="2"/>
      </rPr>
      <t>3</t>
    </r>
    <r>
      <rPr>
        <sz val="10"/>
        <rFont val="Arial"/>
        <family val="2"/>
      </rPr>
      <t>)</t>
    </r>
  </si>
  <si>
    <t>1 US gallon (gal)</t>
  </si>
  <si>
    <t>0.0238 barrel (bbl)</t>
  </si>
  <si>
    <t>3.785 liters (L)</t>
  </si>
  <si>
    <r>
      <t>0.003785 cubic meters (m</t>
    </r>
    <r>
      <rPr>
        <vertAlign val="superscript"/>
        <sz val="10"/>
        <rFont val="Arial"/>
        <family val="2"/>
      </rPr>
      <t>3</t>
    </r>
    <r>
      <rPr>
        <sz val="10"/>
        <rFont val="Arial"/>
        <family val="2"/>
      </rPr>
      <t>)</t>
    </r>
  </si>
  <si>
    <t>1 barrel (bbl)</t>
  </si>
  <si>
    <t>42 US gallons (gal)</t>
  </si>
  <si>
    <t>158.99 liters (L)</t>
  </si>
  <si>
    <r>
      <t>0.1589 cubic meters (m</t>
    </r>
    <r>
      <rPr>
        <vertAlign val="superscript"/>
        <sz val="10"/>
        <rFont val="Arial"/>
        <family val="2"/>
      </rPr>
      <t>3</t>
    </r>
    <r>
      <rPr>
        <sz val="10"/>
        <rFont val="Arial"/>
        <family val="2"/>
      </rPr>
      <t>)</t>
    </r>
  </si>
  <si>
    <t>1 liter (L)</t>
  </si>
  <si>
    <r>
      <t>0.001 cubic meters (m</t>
    </r>
    <r>
      <rPr>
        <vertAlign val="superscript"/>
        <sz val="10"/>
        <rFont val="Arial"/>
        <family val="2"/>
      </rPr>
      <t>3</t>
    </r>
    <r>
      <rPr>
        <sz val="10"/>
        <rFont val="Arial"/>
        <family val="2"/>
      </rPr>
      <t>)</t>
    </r>
  </si>
  <si>
    <t>0.2642 US gallons (gal)</t>
  </si>
  <si>
    <r>
      <t>1 cubic meter (m</t>
    </r>
    <r>
      <rPr>
        <vertAlign val="superscript"/>
        <sz val="10"/>
        <rFont val="Arial"/>
        <family val="2"/>
      </rPr>
      <t>3</t>
    </r>
    <r>
      <rPr>
        <sz val="10"/>
        <rFont val="Arial"/>
        <family val="2"/>
      </rPr>
      <t>)</t>
    </r>
  </si>
  <si>
    <t>6.2897 barrels (bbl)</t>
  </si>
  <si>
    <t>264.2 US gallons (gal)</t>
  </si>
  <si>
    <t>1,000 liters (L)</t>
  </si>
  <si>
    <t>Energy</t>
  </si>
  <si>
    <t>1 kilowatt hour (kWh)</t>
  </si>
  <si>
    <t>3,412 Btu (Btu)</t>
  </si>
  <si>
    <t>3,600 kilojoules (KJ)</t>
  </si>
  <si>
    <t>1 megajoule (MJ)</t>
  </si>
  <si>
    <t>0.001 gigajoules (GJ)</t>
  </si>
  <si>
    <t>1 gigajoule (GJ)</t>
  </si>
  <si>
    <t>0.9478 million Btu (mmBtu)</t>
  </si>
  <si>
    <t>277.8 kilowatt hours (kWh)</t>
  </si>
  <si>
    <t>1 Btu (Btu)</t>
  </si>
  <si>
    <t>1,055 joules (J)</t>
  </si>
  <si>
    <t>1 million Btu (mmBtu)</t>
  </si>
  <si>
    <t>1.055 gigajoules (GJ)</t>
  </si>
  <si>
    <t>293 kilowatt hours (kWh)</t>
  </si>
  <si>
    <t>1 therm (therm)</t>
  </si>
  <si>
    <t>100,000 Btu (Btu)</t>
  </si>
  <si>
    <t>0.1055 gigajoules (GJ)</t>
  </si>
  <si>
    <t>29.3 kilowatt hours (kWh)</t>
  </si>
  <si>
    <r>
      <t>100 ft</t>
    </r>
    <r>
      <rPr>
        <vertAlign val="superscript"/>
        <sz val="10"/>
        <rFont val="Arial"/>
        <family val="2"/>
      </rPr>
      <t>3</t>
    </r>
    <r>
      <rPr>
        <sz val="10"/>
        <rFont val="Arial"/>
        <family val="2"/>
      </rPr>
      <t xml:space="preserve"> of natural gas (scf)</t>
    </r>
  </si>
  <si>
    <t>1.03 therm (therm)</t>
  </si>
  <si>
    <t>1,030 Btu (Btu)</t>
  </si>
  <si>
    <t>Kilo</t>
  </si>
  <si>
    <t>Mega</t>
  </si>
  <si>
    <t>Giga</t>
  </si>
  <si>
    <t>Tera</t>
  </si>
  <si>
    <t>Molecular Weigh of C</t>
  </si>
  <si>
    <r>
      <t>Molecular Weight of CO</t>
    </r>
    <r>
      <rPr>
        <vertAlign val="subscript"/>
        <sz val="10"/>
        <rFont val="Arial"/>
        <family val="2"/>
      </rPr>
      <t>2</t>
    </r>
    <r>
      <rPr>
        <sz val="10"/>
        <rFont val="Arial"/>
        <family val="2"/>
      </rPr>
      <t xml:space="preserve"> </t>
    </r>
  </si>
  <si>
    <t>Total # of Students, Patients, etc. (if applicable)</t>
  </si>
  <si>
    <t>Boston</t>
  </si>
  <si>
    <t>miles</t>
  </si>
  <si>
    <t xml:space="preserve">http://www.webflyer.com/travel/milemarker/ </t>
  </si>
  <si>
    <t>Chicago</t>
  </si>
  <si>
    <t>Las Vegas</t>
  </si>
  <si>
    <t>Los Angeles</t>
  </si>
  <si>
    <t>Minneapolis/St. Paul</t>
  </si>
  <si>
    <t>New York, N.Y.</t>
  </si>
  <si>
    <t>Phoenix</t>
  </si>
  <si>
    <t>Portland, Oregon</t>
  </si>
  <si>
    <t>Salt Lake City</t>
  </si>
  <si>
    <t>San Diego</t>
  </si>
  <si>
    <t>San Francisco/Oakland</t>
  </si>
  <si>
    <t>Spokane</t>
  </si>
  <si>
    <t>Vancouver, B.C.</t>
  </si>
  <si>
    <t>Washington, D.C. / Baltimore</t>
  </si>
  <si>
    <t>Miles Traveled</t>
  </si>
  <si>
    <t>CO2 EF (kg/mi)</t>
  </si>
  <si>
    <t>CH4 EF (g/mi)</t>
  </si>
  <si>
    <t>N2O EF (g/mi)</t>
  </si>
  <si>
    <t>Employee Commuting</t>
  </si>
  <si>
    <t>44/12 metric tons of CO2</t>
  </si>
  <si>
    <t xml:space="preserve">1 metric ton of carbon </t>
  </si>
  <si>
    <t>Worksheet 7</t>
  </si>
  <si>
    <t>Emissions Factors (For your reference only)</t>
  </si>
  <si>
    <t>Conversion Factors (For your reference only)</t>
  </si>
  <si>
    <t>Mileage - Other Destinations:</t>
  </si>
  <si>
    <t>Building Energy Use</t>
  </si>
  <si>
    <t>Fleet Energy Use</t>
  </si>
  <si>
    <t>Building Energy Use Worksheet #2</t>
  </si>
  <si>
    <t>Fleet Energy Use #3</t>
  </si>
  <si>
    <t>Total Space (Sq. Ft)</t>
  </si>
  <si>
    <t>Total # of Employees</t>
  </si>
  <si>
    <t>Electricity Use (kWh)</t>
  </si>
  <si>
    <t xml:space="preserve">Gasoline (gallons)
(used in fixed generators) </t>
  </si>
  <si>
    <t xml:space="preserve">Diesel (gallons)
(used in fixed generators) </t>
  </si>
  <si>
    <t>therms</t>
  </si>
  <si>
    <t>Comments on 3 - Fleet Energy Use</t>
  </si>
  <si>
    <t>Contents and Notes</t>
  </si>
  <si>
    <t>Biodiesel (100%, gallons)
(Used in fixed generators)</t>
  </si>
  <si>
    <t>Ethanol (100%, gallons)
(Used in fixed generators)</t>
  </si>
  <si>
    <t>Biodiesel (100%)</t>
  </si>
  <si>
    <t>Ethanol (100%)</t>
  </si>
  <si>
    <t>0.128 MMBtu/gallon</t>
  </si>
  <si>
    <t>0.084 MMBtu/gallon</t>
  </si>
  <si>
    <t>EIA</t>
  </si>
  <si>
    <t>Source:</t>
  </si>
  <si>
    <t>Total Gallons of gasoline</t>
  </si>
  <si>
    <t># Of One-Way Flights</t>
  </si>
  <si>
    <t>Total Miles</t>
  </si>
  <si>
    <t>One way flight distance</t>
  </si>
  <si>
    <t>Short Flights 
(0-300 Miles)</t>
  </si>
  <si>
    <t>Medium Flights 
(300-700 Miles)</t>
  </si>
  <si>
    <t>Long Flights
(Over 700 Miles)</t>
  </si>
  <si>
    <t>All in-state flights, Vancouver, Portland</t>
  </si>
  <si>
    <t>Average Mileage per flight</t>
  </si>
  <si>
    <t>Idaho, Western Montana, Southern and Western Oregon, Northern California</t>
  </si>
  <si>
    <t>Southern California, Southern U.S.,  Midwest, East Coast</t>
  </si>
  <si>
    <t>Example of destinations</t>
  </si>
  <si>
    <t>BUILDING ENERGY USE</t>
  </si>
  <si>
    <t>FLEET ENERGY USE</t>
  </si>
  <si>
    <t>EMPLOYEE BUSINESS TRAVEL AND COMMUTING</t>
  </si>
  <si>
    <t>TOTAL FLEET GHG EMISSIONS</t>
  </si>
  <si>
    <t>TOTAL BUSINESS TRAVEL AND COMMUTING EMISSIONS</t>
  </si>
  <si>
    <t>Aviation Gasoline (gallons)
(Used in fixed equipment)</t>
  </si>
  <si>
    <t>Jet fuel (gallons)
(Used in fixed equipment)</t>
  </si>
  <si>
    <t>Jet Fuel</t>
  </si>
  <si>
    <t>http://www.onlineconversion.com/energy.htm</t>
  </si>
  <si>
    <t xml:space="preserve">For other energy conversions, use an online conversion tool such as:  </t>
  </si>
  <si>
    <t>Other fuel (used in fixed equipment) - list fuel &amp; gallons</t>
  </si>
  <si>
    <t>Primary Type of Space (office, retail, education, vacant, etc.)</t>
  </si>
  <si>
    <t>Owned or Leased?</t>
  </si>
  <si>
    <t>Scope 1 (Direct)</t>
  </si>
  <si>
    <t>Scope 2 (Indirect)</t>
  </si>
  <si>
    <t>Scope 3 (Other Indirect)</t>
  </si>
  <si>
    <t>%</t>
  </si>
  <si>
    <t>Total
(MT CO2e)</t>
  </si>
  <si>
    <t>Scope</t>
  </si>
  <si>
    <t>Conversion Factors Worksheet #8</t>
  </si>
  <si>
    <t>Emissions Factors Worksheet #7 (For your reference only)</t>
  </si>
  <si>
    <t>Comments on 6 - Energy Use By Facility</t>
  </si>
  <si>
    <t>COMMENTS:</t>
  </si>
  <si>
    <t>Comments on 1-General Agency Information</t>
  </si>
  <si>
    <t xml:space="preserve">Comments on 2 - Building Energy Use </t>
  </si>
  <si>
    <t>Comments on 4 - Business Travel and Employee Commuting</t>
  </si>
  <si>
    <t>Drive alone rate (%)</t>
  </si>
  <si>
    <t>0.138 MMBtu/gallon</t>
  </si>
  <si>
    <t>Percent of Total Emissions</t>
  </si>
  <si>
    <t>Source of Greenhouse Gas Emissions</t>
  </si>
  <si>
    <t>Average Gallons per Hour</t>
  </si>
  <si>
    <t>Worksheet 1</t>
  </si>
  <si>
    <t>Percent of Greenhouse Gas Emissions</t>
  </si>
  <si>
    <t>Agency Owned Space (Sq. Ft.)</t>
  </si>
  <si>
    <t>Space leased from another state agency (Sq. ft.)</t>
  </si>
  <si>
    <t xml:space="preserve">Employee-Owned Vehicle Business Travel </t>
  </si>
  <si>
    <t xml:space="preserve">SHORT FLIGHTS 
(0-300 MILES)
</t>
  </si>
  <si>
    <t xml:space="preserve">MEDIUM FLIGHTS
(300-700 miles)
</t>
  </si>
  <si>
    <t xml:space="preserve">LONG FLIGHTS
(&gt;700 miles)
</t>
  </si>
  <si>
    <t>Total Emissions (MT CO2e)</t>
  </si>
  <si>
    <t>*Seattle Steam</t>
  </si>
  <si>
    <t xml:space="preserve">Source: </t>
  </si>
  <si>
    <t>MT CO2e/Mlb</t>
  </si>
  <si>
    <t>Conversions</t>
  </si>
  <si>
    <t xml:space="preserve">Source </t>
  </si>
  <si>
    <t>Flight Length</t>
  </si>
  <si>
    <t xml:space="preserve">CO2 </t>
  </si>
  <si>
    <t xml:space="preserve">CH4 </t>
  </si>
  <si>
    <t xml:space="preserve">N2O </t>
  </si>
  <si>
    <t>Agency Owned Space</t>
  </si>
  <si>
    <t>Privately Leased Space</t>
  </si>
  <si>
    <t>Total</t>
  </si>
  <si>
    <t xml:space="preserve">Fuel  </t>
  </si>
  <si>
    <t>Emissions Source</t>
  </si>
  <si>
    <t>N/A</t>
  </si>
  <si>
    <t>2010</t>
  </si>
  <si>
    <t xml:space="preserve">Fuel </t>
  </si>
  <si>
    <t>Gasoline (gallons)</t>
  </si>
  <si>
    <t>Diesel (gallons)</t>
  </si>
  <si>
    <t>Total Therms:</t>
  </si>
  <si>
    <t>Total kWh:</t>
  </si>
  <si>
    <t>Biodiesel (B100)</t>
  </si>
  <si>
    <t>LD</t>
  </si>
  <si>
    <t>HD</t>
  </si>
  <si>
    <t>OR</t>
  </si>
  <si>
    <t xml:space="preserve">Ethanol (E100) </t>
  </si>
  <si>
    <t>CNG (gge)</t>
  </si>
  <si>
    <t>Plug In Electric (kwh)</t>
  </si>
  <si>
    <t>Total # Vehicles</t>
  </si>
  <si>
    <t>Total Miles Traveled</t>
  </si>
  <si>
    <t>Table 1:  Total Annual Energy Use in Buildings and Fixed Equipment and GHGs</t>
  </si>
  <si>
    <t>Vehicle Class</t>
  </si>
  <si>
    <r>
      <t>Fossil CO</t>
    </r>
    <r>
      <rPr>
        <b/>
        <sz val="10"/>
        <color theme="1"/>
        <rFont val="Calibri"/>
        <family val="2"/>
        <scheme val="minor"/>
      </rPr>
      <t>2</t>
    </r>
    <r>
      <rPr>
        <b/>
        <sz val="11"/>
        <color theme="1"/>
        <rFont val="Calibri"/>
        <family val="2"/>
        <scheme val="minor"/>
      </rPr>
      <t xml:space="preserve"> (MT CO</t>
    </r>
    <r>
      <rPr>
        <b/>
        <sz val="10"/>
        <color theme="1"/>
        <rFont val="Calibri"/>
        <family val="2"/>
        <scheme val="minor"/>
      </rPr>
      <t>2</t>
    </r>
    <r>
      <rPr>
        <b/>
        <sz val="11"/>
        <color theme="1"/>
        <rFont val="Calibri"/>
        <family val="2"/>
        <scheme val="minor"/>
      </rPr>
      <t>e)</t>
    </r>
  </si>
  <si>
    <r>
      <t>CH</t>
    </r>
    <r>
      <rPr>
        <b/>
        <sz val="10"/>
        <color theme="1"/>
        <rFont val="Calibri"/>
        <family val="2"/>
        <scheme val="minor"/>
      </rPr>
      <t>4</t>
    </r>
    <r>
      <rPr>
        <b/>
        <sz val="11"/>
        <color theme="1"/>
        <rFont val="Calibri"/>
        <family val="2"/>
        <scheme val="minor"/>
      </rPr>
      <t xml:space="preserve"> (MT CO</t>
    </r>
    <r>
      <rPr>
        <b/>
        <sz val="10"/>
        <color theme="1"/>
        <rFont val="Calibri"/>
        <family val="2"/>
        <scheme val="minor"/>
      </rPr>
      <t>2</t>
    </r>
    <r>
      <rPr>
        <b/>
        <sz val="11"/>
        <color theme="1"/>
        <rFont val="Calibri"/>
        <family val="2"/>
        <scheme val="minor"/>
      </rPr>
      <t>e)</t>
    </r>
  </si>
  <si>
    <r>
      <t>N</t>
    </r>
    <r>
      <rPr>
        <b/>
        <sz val="10"/>
        <color theme="1"/>
        <rFont val="Calibri"/>
        <family val="2"/>
        <scheme val="minor"/>
      </rPr>
      <t>2</t>
    </r>
    <r>
      <rPr>
        <b/>
        <sz val="11"/>
        <color theme="1"/>
        <rFont val="Calibri"/>
        <family val="2"/>
        <scheme val="minor"/>
      </rPr>
      <t>O (CO</t>
    </r>
    <r>
      <rPr>
        <b/>
        <sz val="10"/>
        <color theme="1"/>
        <rFont val="Calibri"/>
        <family val="2"/>
        <scheme val="minor"/>
      </rPr>
      <t>2</t>
    </r>
    <r>
      <rPr>
        <b/>
        <sz val="11"/>
        <color theme="1"/>
        <rFont val="Calibri"/>
        <family val="2"/>
        <scheme val="minor"/>
      </rPr>
      <t>e)</t>
    </r>
  </si>
  <si>
    <r>
      <t>HFCs (CO</t>
    </r>
    <r>
      <rPr>
        <b/>
        <sz val="10"/>
        <color theme="1"/>
        <rFont val="Calibri"/>
        <family val="2"/>
        <scheme val="minor"/>
      </rPr>
      <t>2</t>
    </r>
    <r>
      <rPr>
        <b/>
        <sz val="11"/>
        <color theme="1"/>
        <rFont val="Calibri"/>
        <family val="2"/>
        <scheme val="minor"/>
      </rPr>
      <t>e)</t>
    </r>
  </si>
  <si>
    <t>22.4</t>
  </si>
  <si>
    <t>EPA</t>
  </si>
  <si>
    <t>**OPTIONAL** Site/Facility Level Reporting for Building Energy Use Worksheet #6</t>
  </si>
  <si>
    <t>**Please note this worksheet is optional.  Agencies may want to track data by facility or site for their internal use and can alter this sheet to fit their needs.</t>
  </si>
  <si>
    <t>Biomass MT CO2 (CO2e)**</t>
  </si>
  <si>
    <t>**Biomass CO2 emissions are reported separately and are not included in the total emissions.</t>
  </si>
  <si>
    <t>Total Emissions MT CO2e</t>
  </si>
  <si>
    <t>TOTAL BUILDING ENERGY USE GHG EMISSIONS*</t>
  </si>
  <si>
    <t>Employee Commuting***</t>
  </si>
  <si>
    <t>***Emissions from commuting are reported in CO2e.  Emissions by gas are estimated for CO2, CH4, N2O, and biomass CO2.</t>
  </si>
  <si>
    <t>Fossil 
MT CO2 (CO2e)</t>
  </si>
  <si>
    <r>
      <t>Biomass 
MT CO</t>
    </r>
    <r>
      <rPr>
        <b/>
        <sz val="10"/>
        <color theme="1"/>
        <rFont val="Calibri"/>
        <family val="2"/>
        <scheme val="minor"/>
      </rPr>
      <t>2</t>
    </r>
    <r>
      <rPr>
        <b/>
        <sz val="11"/>
        <color theme="1"/>
        <rFont val="Calibri"/>
        <family val="2"/>
        <scheme val="minor"/>
      </rPr>
      <t xml:space="preserve"> 
(MT CO</t>
    </r>
    <r>
      <rPr>
        <b/>
        <sz val="10"/>
        <color theme="1"/>
        <rFont val="Calibri"/>
        <family val="2"/>
        <scheme val="minor"/>
      </rPr>
      <t>2</t>
    </r>
    <r>
      <rPr>
        <b/>
        <sz val="11"/>
        <color theme="1"/>
        <rFont val="Calibri"/>
        <family val="2"/>
        <scheme val="minor"/>
      </rPr>
      <t>e)</t>
    </r>
  </si>
  <si>
    <t>Biomass 
MT CO2 
(CO2e)</t>
  </si>
  <si>
    <t>Biofuel %</t>
  </si>
  <si>
    <t>Gasoline Hybrid Vehicles:</t>
  </si>
  <si>
    <r>
      <t>Biofuel CO</t>
    </r>
    <r>
      <rPr>
        <b/>
        <sz val="10"/>
        <color theme="1"/>
        <rFont val="Calibri"/>
        <family val="2"/>
        <scheme val="minor"/>
      </rPr>
      <t>2</t>
    </r>
    <r>
      <rPr>
        <b/>
        <sz val="11"/>
        <color theme="1"/>
        <rFont val="Calibri"/>
        <family val="2"/>
        <scheme val="minor"/>
      </rPr>
      <t xml:space="preserve"> (MT CO</t>
    </r>
    <r>
      <rPr>
        <b/>
        <sz val="10"/>
        <color theme="1"/>
        <rFont val="Calibri"/>
        <family val="2"/>
        <scheme val="minor"/>
      </rPr>
      <t>2</t>
    </r>
    <r>
      <rPr>
        <b/>
        <sz val="11"/>
        <color theme="1"/>
        <rFont val="Calibri"/>
        <family val="2"/>
        <scheme val="minor"/>
      </rPr>
      <t>e)</t>
    </r>
  </si>
  <si>
    <t>Space leased in a DES owned building (Sq. Ft.)</t>
  </si>
  <si>
    <t>Table 2: Estimated Electricity Use</t>
  </si>
  <si>
    <t>Type of Space</t>
  </si>
  <si>
    <t>Total Fuel Use</t>
  </si>
  <si>
    <t>Table 3: Estimated Natural Gas Use</t>
  </si>
  <si>
    <t>2011</t>
  </si>
  <si>
    <t xml:space="preserve"> EIA</t>
  </si>
  <si>
    <t>Table 4:  Average Fuel Prices in Washington</t>
  </si>
  <si>
    <t xml:space="preserve">Employee Business Travel &amp; Commuting Emissions Worksheet #4    </t>
  </si>
  <si>
    <t>Table 6:  Total Fuel Used in All Vehicle Classes and Types
(in gallons unless noted)</t>
  </si>
  <si>
    <r>
      <t xml:space="preserve">Table 8:  </t>
    </r>
    <r>
      <rPr>
        <sz val="11"/>
        <color theme="1"/>
        <rFont val="Arial Black"/>
        <family val="2"/>
      </rPr>
      <t>Average Fuel Economy (Miles per Gallon) for Light Duty Vehicles</t>
    </r>
  </si>
  <si>
    <r>
      <t xml:space="preserve">Table 9:  </t>
    </r>
    <r>
      <rPr>
        <sz val="11"/>
        <color theme="1"/>
        <rFont val="Arial Black"/>
        <family val="2"/>
      </rPr>
      <t>Average Fuel Prices in Washington</t>
    </r>
  </si>
  <si>
    <t>Table 10:  Total Miles Traveled and GHG Emissions from Employee Business Travel</t>
  </si>
  <si>
    <t>Table 11:  GHG Emissions from Employee Commuting</t>
  </si>
  <si>
    <t>Table 12:  Air Travel Distances (one-way distances from Seatac Airport)</t>
  </si>
  <si>
    <t>Table 13:  Estimated Mileage for Short, Medium, and Long Flights</t>
  </si>
  <si>
    <t>Table 14: Total Annual Agency GHG Emissions</t>
  </si>
  <si>
    <t>Table 15: GHG Emissions by Scope</t>
  </si>
  <si>
    <t>Table 16:  % of GHG Emissions by Source</t>
  </si>
  <si>
    <t xml:space="preserve">Employee Business Travel and Commuting </t>
  </si>
  <si>
    <r>
      <t>kWh/ft</t>
    </r>
    <r>
      <rPr>
        <b/>
        <vertAlign val="superscript"/>
        <sz val="11"/>
        <color theme="1"/>
        <rFont val="Arial Black"/>
        <family val="2"/>
      </rPr>
      <t>2</t>
    </r>
  </si>
  <si>
    <r>
      <t>therms/ft</t>
    </r>
    <r>
      <rPr>
        <b/>
        <vertAlign val="superscript"/>
        <sz val="11"/>
        <color theme="1"/>
        <rFont val="Arial Black"/>
        <family val="2"/>
      </rPr>
      <t>2</t>
    </r>
  </si>
  <si>
    <t>GA Short Term Motor Pool:</t>
  </si>
  <si>
    <t>Estimated Miles Traveled (from table 13 below)</t>
  </si>
  <si>
    <t>Table 5: Total Annual Fleet Energy Use and GHGs</t>
  </si>
  <si>
    <t>* Note this does not include energy use in buildings owned by Dept. of Enterprise Services.</t>
  </si>
  <si>
    <t>Gasoline/Ethanol Blend:</t>
  </si>
  <si>
    <t>Table7:  Total # Vehicles and Miles Traveled</t>
  </si>
  <si>
    <r>
      <t xml:space="preserve">Instructions:  
</t>
    </r>
    <r>
      <rPr>
        <sz val="12"/>
        <color theme="1"/>
        <rFont val="Times New Roman"/>
        <family val="1"/>
      </rPr>
      <t>Step 1:  Enter the total annual fuel used by your agency in table 1 below in the units specified.  Report energy use for all space owned by your agency, space leased from another state agency where you receive a utility bill (do not include space leased from DES), and for all privately leased space. DES will report energy use for the capitol campus and for all DES-owned buildings.  If you lease from another state agency, that agency will report energy use for your space unless you receive a utility bill with your actual energy consumption.  
Step 2:  If you cannot get your energy use information from a utility bill for some or all of your facilities, estimate the energy use based on square footage and the type of space.  Use table 2 and 3 below to enter your square footage by space type.  The tables will calculate your estimated kwh and/or therms.  Enter this total into table 1.  
Step 3:  If you do not have your utility bills or square footage, estimate energy use by dividing total purchases of electricity or natural gas by the prices provided in table 4 to get the kwh and/or therms.  Add the total estimated kwh and therms to table 1 in the yellow highlighted cells to calculate GHG emissions.</t>
    </r>
  </si>
  <si>
    <t>Retail Purchases</t>
  </si>
  <si>
    <t>WSDOT Fueling Stations</t>
  </si>
  <si>
    <t>Bulk Purchases</t>
  </si>
  <si>
    <t>Electricity (kWh)</t>
  </si>
  <si>
    <t>Compressed Natural Gas (GGE)</t>
  </si>
  <si>
    <t>Electricity (Shorepower) (kWh)</t>
  </si>
  <si>
    <t>2012</t>
  </si>
  <si>
    <r>
      <rPr>
        <sz val="11"/>
        <rFont val="Arial Black"/>
        <family val="2"/>
      </rPr>
      <t>INSTRUCTIONS:</t>
    </r>
    <r>
      <rPr>
        <sz val="11"/>
        <rFont val="Arial"/>
        <family val="2"/>
      </rPr>
      <t xml:space="preserve">
</t>
    </r>
    <r>
      <rPr>
        <b/>
        <sz val="12"/>
        <rFont val="Times New Roman"/>
        <family val="1"/>
      </rPr>
      <t xml:space="preserve">Step 1: </t>
    </r>
    <r>
      <rPr>
        <sz val="12"/>
        <rFont val="Times New Roman"/>
        <family val="1"/>
      </rPr>
      <t xml:space="preserve"> In table 10, enter total miles traveled for business purposes in employee-owned personal vehicles.  Calculate total miles traveled by dividing the total employee reimbursement in $ by the reimbursement rate.  For 2012, the reimbursement rate was $0.51 per mile.  Also enter miles traveled in short, medium, and long flights.  See table 12 for air travel distances.
</t>
    </r>
    <r>
      <rPr>
        <b/>
        <sz val="12"/>
        <rFont val="Times New Roman"/>
        <family val="1"/>
      </rPr>
      <t>Step 2:</t>
    </r>
    <r>
      <rPr>
        <sz val="12"/>
        <rFont val="Times New Roman"/>
        <family val="1"/>
      </rPr>
      <t xml:space="preserve">  If you can't quantify air miles traveled, enter the number of one way flights in table 13 to estimate the mileage.  Then estimated mileage will automatically be entered into table 10.  Or to estimate air miles traveled based on cost, divide the total airfare expenditures by $0.156 / passenger mile to get the passenger miles.  Enter the passenger miles into table 10.  
</t>
    </r>
    <r>
      <rPr>
        <b/>
        <sz val="12"/>
        <rFont val="Times New Roman"/>
        <family val="1"/>
      </rPr>
      <t xml:space="preserve">Step 3:  </t>
    </r>
    <r>
      <rPr>
        <sz val="12"/>
        <rFont val="Times New Roman"/>
        <family val="1"/>
      </rPr>
      <t xml:space="preserve">Enter total GHG emissions from employee commuting (not including students or others) in Table 11.  This information will come from the WSDOT CTR Reports.  Only certain agencies with worksites in the 9 largest counties (Clark, Thurston, Pierce, King, Kitsap, Snohomish, Whatcom, Yakima and Spokane) with over 100 employees per worksite or co-located worksites participate in the CTR program.  Starting in 2011 all worksites in Thurston County will start to participate in the CTR program.  If data is available, Universities and community and technical colleges can report on emissions from student commuting separately by entering this into the comments section in the first tab of the workbook called Contents and Notes.
 </t>
    </r>
  </si>
  <si>
    <t xml:space="preserve">Note </t>
  </si>
  <si>
    <t>E85 Flex-Fuel</t>
  </si>
  <si>
    <t>IPCC 2007 Fourth Assessment Report,Table 2.14</t>
  </si>
  <si>
    <t>Plug-in Hybrids</t>
  </si>
  <si>
    <t xml:space="preserve">         Westside</t>
  </si>
  <si>
    <t xml:space="preserve">         Eastside</t>
  </si>
  <si>
    <t xml:space="preserve">           Westside</t>
  </si>
  <si>
    <t xml:space="preserve">           Eastside</t>
  </si>
  <si>
    <t>Diesel:</t>
  </si>
  <si>
    <t xml:space="preserve">               Westside</t>
  </si>
  <si>
    <t xml:space="preserve">                Eastside</t>
  </si>
  <si>
    <t xml:space="preserve">Plug-in Electric-Only Vehicles </t>
  </si>
  <si>
    <t>EIA 2012 Table 3</t>
  </si>
  <si>
    <t>EIA 2012 Table 4</t>
  </si>
  <si>
    <t>The Climate Registry, 2015 default emission factors</t>
  </si>
  <si>
    <t>https://www.epa.gov/sites/production/files/2015-07/documents/emission-factors_2014.pdf</t>
  </si>
  <si>
    <t>Emission Factors for Greenhouse Gas Inventories (last modified April 2014</t>
  </si>
  <si>
    <t>https://www.epa.gov/sites/production/files/2015-11/documents/emission-factors_2011.pdf</t>
  </si>
  <si>
    <t>Table 8</t>
  </si>
  <si>
    <t>eGrid 2012</t>
  </si>
  <si>
    <t>http://www.ior.org.uk/app/images/downloads/2014%20FGAS%20Regulation%20&amp;%20GWP%20Values%2030.5.14.pdf</t>
  </si>
  <si>
    <t>AR4 GWP for R310A</t>
  </si>
  <si>
    <t>EIA Table C14</t>
  </si>
  <si>
    <t>EIA Table C24</t>
  </si>
  <si>
    <t>North Seattle College</t>
  </si>
  <si>
    <t xml:space="preserve">Year: </t>
  </si>
  <si>
    <t>Tim Albertson</t>
  </si>
  <si>
    <t>206-934-6127</t>
  </si>
  <si>
    <t>timothy.albertson@seattlecolleges.edu</t>
  </si>
  <si>
    <t>Stationary Combustion (i.e. natural gas)</t>
  </si>
  <si>
    <t xml:space="preserve">Total # of FTEs is calendar year headcount calculated through Daihong Chen by: SELECT pmis_EMPYRQ.YRQ, pmis_EMPYRQ.FTE_PMIS, pmis_EMPYRQ.EMP_ID, pmis_EMPYRQ.COLLEGE
FROM pmis_EMPYRQ
WHERE (((pmis_EMPYRQ.YRQ)="b233" Or (pmis_EMPYRQ.YRQ)="b234" Or (pmis_EMPYRQ.YRQ)="b341" Or (pmis_EMPYRQ.YRQ)="b342"));
Take the total and do not divide by 3.
Total # of Employees: headcount by calendar year
Total # of students: headcount by calendar year
</t>
  </si>
  <si>
    <t xml:space="preserve">We use a custom greenhouse gas conversion factor for electricity. The calculator’s standard value is a regional value, but since we use only Seattle City Light electricity with a high concentration of carbon-free hydroelectricity, we use a custom value. To determine a custom value, we took an average carbon content per kilowatt hour for Seattle City Light from 2005-2015. We averaged the values between 2005-2015 using the data available via the Climate Registry’s General Reporting Protocol: http://www.theclimateregistry.org/tools-resources/reporting-protocols/general-reporting-protocol/. Additional historic values were obtained from Oradona Landgrebe, GHG Strategic Advisor for Seattle City Light (oradona.landgrebe@seattle.gov).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</si>
</sst>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8" formatCode="&quot;$&quot;#,##0.00_);[Red]\(&quot;$&quot;#,##0.00\)"/>
    <numFmt numFmtId="164" formatCode="[&lt;=9999999]###\-####;\(###\)\ ###\-####"/>
    <numFmt numFmtId="165" formatCode="0.0%"/>
    <numFmt numFmtId="166" formatCode="#,##0.0"/>
    <numFmt numFmtId="167" formatCode="0.000"/>
    <numFmt numFmtId="168" formatCode="0.0"/>
    <numFmt numFmtId="169" formatCode="#,##0.000"/>
    <numFmt numFmtId="170" formatCode="&quot;$&quot;#,##0.00"/>
    <numFmt numFmtId="171" formatCode="&quot;$&quot;#,##0.0000"/>
    <numFmt numFmtId="172" formatCode="&quot;$&quot;#,##0.000_);[Red]\(&quot;$&quot;#,##0.000\)"/>
    <numFmt numFmtId="173" formatCode="#,##0.00000000"/>
  </numFmts>
  <fonts count="47">
    <font>
      <sz val="11"/>
      <color theme="1"/>
      <name val="Calibri"/>
      <family val="2"/>
      <scheme val="minor"/>
    </font>
    <font>
      <b/>
      <sz val="11"/>
      <color theme="1"/>
      <name val="Calibri"/>
      <family val="2"/>
      <scheme val="minor"/>
    </font>
    <font>
      <b/>
      <sz val="12"/>
      <color theme="1"/>
      <name val="Times New Roman"/>
      <family val="1"/>
    </font>
    <font>
      <sz val="12"/>
      <color theme="1"/>
      <name val="Times New Roman"/>
      <family val="1"/>
    </font>
    <font>
      <vertAlign val="superscript"/>
      <sz val="12"/>
      <color theme="1"/>
      <name val="Times New Roman"/>
      <family val="1"/>
    </font>
    <font>
      <u/>
      <sz val="11"/>
      <color theme="10"/>
      <name val="Calibri"/>
      <family val="2"/>
    </font>
    <font>
      <b/>
      <sz val="12"/>
      <color theme="1"/>
      <name val="Arial"/>
      <family val="2"/>
    </font>
    <font>
      <b/>
      <sz val="11"/>
      <color theme="1"/>
      <name val="Arial"/>
      <family val="2"/>
    </font>
    <font>
      <sz val="11"/>
      <color theme="1"/>
      <name val="Arial Black"/>
      <family val="2"/>
    </font>
    <font>
      <sz val="11"/>
      <color rgb="FF00B050"/>
      <name val="Arial Black"/>
      <family val="2"/>
    </font>
    <font>
      <b/>
      <sz val="11"/>
      <color theme="1"/>
      <name val="Arial Black"/>
      <family val="2"/>
    </font>
    <font>
      <sz val="11"/>
      <color theme="1"/>
      <name val="Calibri"/>
      <family val="2"/>
      <scheme val="minor"/>
    </font>
    <font>
      <b/>
      <u/>
      <sz val="14"/>
      <color theme="1"/>
      <name val="Calibri"/>
      <family val="2"/>
      <scheme val="minor"/>
    </font>
    <font>
      <b/>
      <u/>
      <sz val="11"/>
      <color theme="1"/>
      <name val="Calibri"/>
      <family val="2"/>
      <scheme val="minor"/>
    </font>
    <font>
      <b/>
      <u/>
      <sz val="10"/>
      <color theme="1"/>
      <name val="Calibri"/>
      <family val="2"/>
      <scheme val="minor"/>
    </font>
    <font>
      <sz val="10"/>
      <color indexed="81"/>
      <name val="Tahoma"/>
      <family val="2"/>
    </font>
    <font>
      <b/>
      <sz val="10"/>
      <color indexed="81"/>
      <name val="Tahoma"/>
      <family val="2"/>
    </font>
    <font>
      <sz val="10"/>
      <color theme="0"/>
      <name val="Arial Black"/>
      <family val="2"/>
    </font>
    <font>
      <sz val="11"/>
      <color theme="0"/>
      <name val="Arial Black"/>
      <family val="2"/>
    </font>
    <font>
      <sz val="10"/>
      <color theme="1"/>
      <name val="Arial Black"/>
      <family val="2"/>
    </font>
    <font>
      <sz val="11"/>
      <name val="Calibri"/>
      <family val="2"/>
      <scheme val="minor"/>
    </font>
    <font>
      <sz val="10"/>
      <name val="Arial Black"/>
      <family val="2"/>
    </font>
    <font>
      <sz val="11"/>
      <color theme="1"/>
      <name val="Arial"/>
      <family val="2"/>
    </font>
    <font>
      <sz val="10"/>
      <name val="Arial"/>
      <family val="2"/>
    </font>
    <font>
      <b/>
      <sz val="10"/>
      <color theme="1"/>
      <name val="Calibri"/>
      <family val="2"/>
      <scheme val="minor"/>
    </font>
    <font>
      <b/>
      <sz val="10"/>
      <name val="Arial"/>
      <family val="2"/>
    </font>
    <font>
      <vertAlign val="superscript"/>
      <sz val="10"/>
      <name val="Arial"/>
      <family val="2"/>
    </font>
    <font>
      <vertAlign val="subscript"/>
      <sz val="10"/>
      <name val="Arial"/>
      <family val="2"/>
    </font>
    <font>
      <u/>
      <sz val="11"/>
      <color indexed="12"/>
      <name val="Calibri"/>
      <family val="2"/>
      <scheme val="minor"/>
    </font>
    <font>
      <sz val="8"/>
      <name val="Arial"/>
      <family val="2"/>
    </font>
    <font>
      <sz val="12"/>
      <name val="Arial MT"/>
    </font>
    <font>
      <sz val="12"/>
      <color theme="1"/>
      <name val="Arial Black"/>
      <family val="2"/>
    </font>
    <font>
      <u/>
      <sz val="12"/>
      <color theme="10"/>
      <name val="Times New Roman"/>
      <family val="1"/>
    </font>
    <font>
      <sz val="12"/>
      <name val="Times New Roman"/>
      <family val="1"/>
    </font>
    <font>
      <u/>
      <sz val="12"/>
      <name val="Times New Roman"/>
      <family val="1"/>
    </font>
    <font>
      <b/>
      <i/>
      <sz val="12"/>
      <color theme="1"/>
      <name val="Times New Roman"/>
      <family val="1"/>
    </font>
    <font>
      <sz val="12"/>
      <color theme="0"/>
      <name val="Arial Black"/>
      <family val="2"/>
    </font>
    <font>
      <sz val="12"/>
      <color theme="1"/>
      <name val="Arial"/>
      <family val="2"/>
    </font>
    <font>
      <sz val="11"/>
      <name val="Arial Black"/>
      <family val="2"/>
    </font>
    <font>
      <b/>
      <sz val="12"/>
      <color theme="1"/>
      <name val="Arial Black"/>
      <family val="2"/>
    </font>
    <font>
      <sz val="11"/>
      <name val="Arial"/>
      <family val="2"/>
    </font>
    <font>
      <b/>
      <vertAlign val="superscript"/>
      <sz val="11"/>
      <color theme="1"/>
      <name val="Arial Black"/>
      <family val="2"/>
    </font>
    <font>
      <b/>
      <sz val="12"/>
      <name val="Times New Roman"/>
      <family val="1"/>
    </font>
    <font>
      <sz val="8"/>
      <color indexed="81"/>
      <name val="Tahoma"/>
      <family val="2"/>
    </font>
    <font>
      <b/>
      <sz val="8"/>
      <color indexed="81"/>
      <name val="Tahoma"/>
      <family val="2"/>
    </font>
    <font>
      <sz val="12"/>
      <color theme="1"/>
      <name val="Calibri"/>
      <family val="2"/>
      <scheme val="minor"/>
    </font>
    <font>
      <sz val="11"/>
      <name val="Calibri"/>
      <family val="2"/>
    </font>
  </fonts>
  <fills count="18">
    <fill>
      <patternFill patternType="none"/>
    </fill>
    <fill>
      <patternFill patternType="gray125"/>
    </fill>
    <fill>
      <patternFill patternType="solid">
        <fgColor rgb="FFFFFF00"/>
        <bgColor indexed="64"/>
      </patternFill>
    </fill>
    <fill>
      <patternFill patternType="solid">
        <fgColor theme="0" tint="-4.9989318521683403E-2"/>
        <bgColor indexed="64"/>
      </patternFill>
    </fill>
    <fill>
      <patternFill patternType="solid">
        <fgColor theme="0" tint="-0.24994659260841701"/>
        <bgColor indexed="64"/>
      </patternFill>
    </fill>
    <fill>
      <patternFill patternType="solid">
        <fgColor theme="8" tint="0.39997558519241921"/>
        <bgColor indexed="64"/>
      </patternFill>
    </fill>
    <fill>
      <patternFill patternType="solid">
        <fgColor rgb="FF0070C0"/>
        <bgColor indexed="64"/>
      </patternFill>
    </fill>
    <fill>
      <patternFill patternType="solid">
        <fgColor theme="0" tint="-0.249977111117893"/>
        <bgColor indexed="64"/>
      </patternFill>
    </fill>
    <fill>
      <patternFill patternType="solid">
        <fgColor theme="3" tint="0.79998168889431442"/>
        <bgColor indexed="64"/>
      </patternFill>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rgb="FFF9FC88"/>
        <bgColor indexed="64"/>
      </patternFill>
    </fill>
    <fill>
      <patternFill patternType="solid">
        <fgColor theme="8" tint="-0.249977111117893"/>
        <bgColor indexed="64"/>
      </patternFill>
    </fill>
    <fill>
      <patternFill patternType="solid">
        <fgColor rgb="FFFFC000"/>
        <bgColor indexed="64"/>
      </patternFill>
    </fill>
    <fill>
      <patternFill patternType="solid">
        <fgColor theme="1"/>
        <bgColor indexed="64"/>
      </patternFill>
    </fill>
    <fill>
      <patternFill patternType="solid">
        <fgColor theme="0" tint="-0.34998626667073579"/>
        <bgColor indexed="64"/>
      </patternFill>
    </fill>
    <fill>
      <patternFill patternType="solid">
        <fgColor theme="0"/>
        <bgColor indexed="64"/>
      </patternFill>
    </fill>
  </fills>
  <borders count="8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ck">
        <color auto="1"/>
      </left>
      <right/>
      <top/>
      <bottom/>
      <diagonal/>
    </border>
    <border>
      <left/>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ck">
        <color indexed="64"/>
      </left>
      <right style="thin">
        <color indexed="64"/>
      </right>
      <top style="medium">
        <color indexed="64"/>
      </top>
      <bottom style="thin">
        <color indexed="64"/>
      </bottom>
      <diagonal/>
    </border>
    <border>
      <left style="thick">
        <color indexed="64"/>
      </left>
      <right style="thin">
        <color indexed="64"/>
      </right>
      <top style="thin">
        <color indexed="64"/>
      </top>
      <bottom style="thin">
        <color indexed="64"/>
      </bottom>
      <diagonal/>
    </border>
    <border>
      <left style="thick">
        <color indexed="64"/>
      </left>
      <right style="thin">
        <color indexed="64"/>
      </right>
      <top style="thin">
        <color indexed="64"/>
      </top>
      <bottom style="medium">
        <color indexed="64"/>
      </bottom>
      <diagonal/>
    </border>
    <border>
      <left style="thin">
        <color auto="1"/>
      </left>
      <right style="thin">
        <color auto="1"/>
      </right>
      <top style="medium">
        <color indexed="64"/>
      </top>
      <bottom/>
      <diagonal/>
    </border>
    <border>
      <left style="thick">
        <color indexed="64"/>
      </left>
      <right/>
      <top style="medium">
        <color indexed="64"/>
      </top>
      <bottom/>
      <diagonal/>
    </border>
    <border>
      <left style="thick">
        <color indexed="64"/>
      </left>
      <right/>
      <top style="medium">
        <color indexed="64"/>
      </top>
      <bottom style="medium">
        <color indexed="64"/>
      </bottom>
      <diagonal/>
    </border>
    <border>
      <left style="thick">
        <color auto="1"/>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thin">
        <color indexed="64"/>
      </top>
      <bottom style="double">
        <color indexed="64"/>
      </bottom>
      <diagonal/>
    </border>
    <border>
      <left style="thin">
        <color auto="1"/>
      </left>
      <right/>
      <top style="medium">
        <color indexed="64"/>
      </top>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top/>
      <bottom style="medium">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style="medium">
        <color indexed="64"/>
      </right>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style="thin">
        <color indexed="64"/>
      </right>
      <top style="medium">
        <color indexed="64"/>
      </top>
      <bottom style="medium">
        <color indexed="64"/>
      </bottom>
      <diagonal/>
    </border>
    <border>
      <left/>
      <right style="medium">
        <color indexed="64"/>
      </right>
      <top style="medium">
        <color indexed="64"/>
      </top>
      <bottom/>
      <diagonal/>
    </border>
    <border>
      <left style="thick">
        <color indexed="64"/>
      </left>
      <right style="thin">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bottom style="medium">
        <color indexed="64"/>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diagonal/>
    </border>
    <border>
      <left style="medium">
        <color indexed="64"/>
      </left>
      <right style="thin">
        <color auto="1"/>
      </right>
      <top style="medium">
        <color indexed="64"/>
      </top>
      <bottom/>
      <diagonal/>
    </border>
    <border>
      <left style="medium">
        <color indexed="64"/>
      </left>
      <right/>
      <top/>
      <bottom/>
      <diagonal/>
    </border>
  </borders>
  <cellStyleXfs count="4">
    <xf numFmtId="0" fontId="0" fillId="0" borderId="0"/>
    <xf numFmtId="0" fontId="5" fillId="0" borderId="0" applyNumberFormat="0" applyFill="0" applyBorder="0" applyAlignment="0" applyProtection="0">
      <alignment vertical="top"/>
      <protection locked="0"/>
    </xf>
    <xf numFmtId="9" fontId="11" fillId="0" borderId="0" applyFont="0" applyFill="0" applyBorder="0" applyAlignment="0" applyProtection="0"/>
    <xf numFmtId="0" fontId="30" fillId="0" borderId="0"/>
  </cellStyleXfs>
  <cellXfs count="806">
    <xf numFmtId="0" fontId="0" fillId="0" borderId="0" xfId="0"/>
    <xf numFmtId="0" fontId="0" fillId="0" borderId="0" xfId="0" applyAlignment="1">
      <alignment wrapText="1"/>
    </xf>
    <xf numFmtId="0" fontId="0" fillId="0" borderId="0" xfId="0" applyFill="1" applyAlignment="1">
      <alignment wrapText="1"/>
    </xf>
    <xf numFmtId="0" fontId="2" fillId="0" borderId="0" xfId="0" applyFont="1" applyBorder="1" applyAlignment="1">
      <alignment vertical="top" wrapText="1"/>
    </xf>
    <xf numFmtId="0" fontId="3" fillId="0" borderId="0" xfId="0" applyFont="1" applyBorder="1" applyAlignment="1">
      <alignment vertical="top" wrapText="1"/>
    </xf>
    <xf numFmtId="0" fontId="0" fillId="0" borderId="0" xfId="0" applyBorder="1"/>
    <xf numFmtId="0" fontId="0" fillId="0" borderId="1" xfId="0" applyBorder="1"/>
    <xf numFmtId="0" fontId="0" fillId="0" borderId="0" xfId="0" applyFill="1" applyBorder="1"/>
    <xf numFmtId="0" fontId="3" fillId="0" borderId="0" xfId="0" applyFont="1" applyBorder="1" applyAlignment="1">
      <alignment horizontal="left" vertical="top"/>
    </xf>
    <xf numFmtId="0" fontId="0" fillId="0" borderId="0" xfId="0" applyFill="1" applyBorder="1" applyAlignment="1">
      <alignment horizontal="left"/>
    </xf>
    <xf numFmtId="0" fontId="0" fillId="0" borderId="0" xfId="0" applyBorder="1" applyAlignment="1">
      <alignment wrapText="1"/>
    </xf>
    <xf numFmtId="0" fontId="1" fillId="0" borderId="0" xfId="0" applyFont="1" applyAlignment="1">
      <alignment horizontal="center" wrapText="1"/>
    </xf>
    <xf numFmtId="3" fontId="0" fillId="0" borderId="0" xfId="0" applyNumberFormat="1" applyFill="1" applyBorder="1"/>
    <xf numFmtId="0" fontId="0" fillId="0" borderId="1" xfId="0" applyBorder="1" applyAlignment="1">
      <alignment horizontal="left" vertical="top"/>
    </xf>
    <xf numFmtId="0" fontId="0" fillId="0" borderId="9" xfId="0" applyBorder="1"/>
    <xf numFmtId="0" fontId="0" fillId="6" borderId="0" xfId="0" applyFill="1"/>
    <xf numFmtId="0" fontId="17" fillId="6" borderId="0" xfId="0" applyFont="1" applyFill="1" applyAlignment="1">
      <alignment horizontal="left"/>
    </xf>
    <xf numFmtId="0" fontId="18" fillId="6" borderId="0" xfId="0" applyFont="1" applyFill="1" applyAlignment="1"/>
    <xf numFmtId="0" fontId="8" fillId="0" borderId="0" xfId="0" applyFont="1" applyBorder="1" applyAlignment="1">
      <alignment horizontal="center" vertical="center" textRotation="90" wrapText="1"/>
    </xf>
    <xf numFmtId="0" fontId="8" fillId="0" borderId="0" xfId="0" applyFont="1" applyBorder="1" applyAlignment="1">
      <alignment vertical="center" textRotation="90" wrapText="1"/>
    </xf>
    <xf numFmtId="165" fontId="0" fillId="0" borderId="0" xfId="2" applyNumberFormat="1" applyFont="1" applyFill="1" applyBorder="1"/>
    <xf numFmtId="0" fontId="19" fillId="0" borderId="0" xfId="0" applyFont="1" applyAlignment="1">
      <alignment horizontal="right" wrapText="1"/>
    </xf>
    <xf numFmtId="0" fontId="0" fillId="6" borderId="0" xfId="0" applyFill="1" applyAlignment="1">
      <alignment wrapText="1"/>
    </xf>
    <xf numFmtId="165" fontId="0" fillId="6" borderId="0" xfId="2" applyNumberFormat="1" applyFont="1" applyFill="1" applyBorder="1"/>
    <xf numFmtId="0" fontId="0" fillId="6" borderId="0" xfId="0" applyFill="1" applyBorder="1"/>
    <xf numFmtId="0" fontId="18" fillId="6" borderId="0" xfId="0" applyFont="1" applyFill="1" applyAlignment="1">
      <alignment horizontal="left"/>
    </xf>
    <xf numFmtId="0" fontId="21" fillId="0" borderId="0" xfId="0" applyFont="1" applyFill="1" applyAlignment="1">
      <alignment horizontal="right"/>
    </xf>
    <xf numFmtId="0" fontId="0" fillId="0" borderId="0" xfId="0" applyFill="1"/>
    <xf numFmtId="0" fontId="21" fillId="0" borderId="0" xfId="0" applyFont="1" applyAlignment="1">
      <alignment horizontal="right"/>
    </xf>
    <xf numFmtId="0" fontId="9" fillId="0" borderId="0" xfId="0" applyFont="1" applyAlignment="1">
      <alignment wrapText="1"/>
    </xf>
    <xf numFmtId="0" fontId="18" fillId="6" borderId="0" xfId="0" applyFont="1" applyFill="1" applyAlignment="1">
      <alignment horizontal="center" wrapText="1"/>
    </xf>
    <xf numFmtId="0" fontId="18" fillId="6" borderId="0" xfId="0" applyFont="1" applyFill="1" applyAlignment="1">
      <alignment wrapText="1"/>
    </xf>
    <xf numFmtId="0" fontId="0" fillId="0" borderId="5" xfId="0" applyBorder="1" applyAlignment="1">
      <alignment horizontal="center" vertical="center"/>
    </xf>
    <xf numFmtId="0" fontId="0" fillId="0" borderId="9" xfId="0" applyBorder="1" applyAlignment="1">
      <alignment horizontal="center" vertical="center"/>
    </xf>
    <xf numFmtId="0" fontId="10" fillId="0" borderId="0" xfId="0" applyFont="1" applyAlignment="1">
      <alignment horizontal="right"/>
    </xf>
    <xf numFmtId="0" fontId="0" fillId="0" borderId="22" xfId="0" applyBorder="1" applyAlignment="1">
      <alignment horizontal="center" vertical="center"/>
    </xf>
    <xf numFmtId="0" fontId="0" fillId="0" borderId="13" xfId="0" applyBorder="1" applyAlignment="1">
      <alignment horizontal="center" vertical="center"/>
    </xf>
    <xf numFmtId="0" fontId="0" fillId="0" borderId="13" xfId="0" applyBorder="1"/>
    <xf numFmtId="0" fontId="0" fillId="0" borderId="13" xfId="0" applyNumberFormat="1" applyBorder="1"/>
    <xf numFmtId="0" fontId="0" fillId="0" borderId="2" xfId="0" applyBorder="1" applyAlignment="1">
      <alignment horizontal="center" vertical="center"/>
    </xf>
    <xf numFmtId="0" fontId="0" fillId="0" borderId="1" xfId="0" applyBorder="1" applyAlignment="1">
      <alignment horizontal="center" vertical="center"/>
    </xf>
    <xf numFmtId="0" fontId="0" fillId="0" borderId="1" xfId="0" applyNumberFormat="1" applyBorder="1"/>
    <xf numFmtId="0" fontId="0" fillId="0" borderId="9" xfId="0" applyNumberFormat="1" applyBorder="1"/>
    <xf numFmtId="0" fontId="0" fillId="0" borderId="1" xfId="0" applyNumberFormat="1" applyBorder="1" applyAlignment="1">
      <alignment horizontal="left" vertical="top"/>
    </xf>
    <xf numFmtId="0" fontId="0" fillId="0" borderId="0" xfId="0" applyFont="1" applyAlignment="1">
      <alignment horizontal="center" vertical="center" wrapText="1"/>
    </xf>
    <xf numFmtId="0" fontId="22" fillId="0" borderId="5" xfId="0" applyFont="1" applyBorder="1" applyAlignment="1">
      <alignment horizontal="center" vertical="center" wrapText="1"/>
    </xf>
    <xf numFmtId="0" fontId="22" fillId="0" borderId="9" xfId="0" applyFont="1" applyBorder="1" applyAlignment="1">
      <alignment horizontal="center" vertical="center" wrapText="1"/>
    </xf>
    <xf numFmtId="0" fontId="19" fillId="0" borderId="0" xfId="0" applyFont="1" applyAlignment="1">
      <alignment horizontal="right"/>
    </xf>
    <xf numFmtId="0" fontId="17" fillId="6" borderId="0" xfId="0" applyFont="1" applyFill="1"/>
    <xf numFmtId="0" fontId="1" fillId="6" borderId="0" xfId="0" applyFont="1" applyFill="1"/>
    <xf numFmtId="3" fontId="0" fillId="6" borderId="0" xfId="0" applyNumberFormat="1" applyFill="1" applyBorder="1"/>
    <xf numFmtId="3" fontId="0" fillId="6" borderId="0" xfId="2" applyNumberFormat="1" applyFont="1" applyFill="1" applyBorder="1"/>
    <xf numFmtId="166" fontId="0" fillId="6" borderId="0" xfId="0" applyNumberFormat="1" applyFill="1" applyBorder="1"/>
    <xf numFmtId="3" fontId="0" fillId="6" borderId="0" xfId="0" applyNumberFormat="1" applyFill="1"/>
    <xf numFmtId="9" fontId="0" fillId="6" borderId="0" xfId="2" applyFont="1" applyFill="1"/>
    <xf numFmtId="0" fontId="1" fillId="0" borderId="0" xfId="0" applyFont="1" applyFill="1"/>
    <xf numFmtId="3" fontId="0" fillId="0" borderId="0" xfId="2" applyNumberFormat="1" applyFont="1" applyFill="1" applyBorder="1"/>
    <xf numFmtId="166" fontId="0" fillId="0" borderId="0" xfId="0" applyNumberFormat="1" applyFill="1" applyBorder="1"/>
    <xf numFmtId="3" fontId="0" fillId="0" borderId="0" xfId="0" applyNumberFormat="1" applyFill="1"/>
    <xf numFmtId="9" fontId="0" fillId="0" borderId="0" xfId="2" applyFont="1" applyFill="1"/>
    <xf numFmtId="0" fontId="12" fillId="0" borderId="0" xfId="0" applyFont="1" applyFill="1"/>
    <xf numFmtId="3" fontId="12" fillId="0" borderId="0" xfId="0" applyNumberFormat="1" applyFont="1" applyFill="1"/>
    <xf numFmtId="9" fontId="12" fillId="0" borderId="0" xfId="2" applyFont="1" applyFill="1"/>
    <xf numFmtId="0" fontId="13" fillId="0" borderId="0" xfId="0" applyFont="1" applyFill="1" applyAlignment="1">
      <alignment wrapText="1"/>
    </xf>
    <xf numFmtId="3" fontId="13" fillId="0" borderId="0" xfId="0" applyNumberFormat="1" applyFont="1" applyFill="1" applyAlignment="1">
      <alignment wrapText="1"/>
    </xf>
    <xf numFmtId="9" fontId="13" fillId="0" borderId="0" xfId="2" applyFont="1" applyFill="1" applyAlignment="1">
      <alignment wrapText="1"/>
    </xf>
    <xf numFmtId="166" fontId="0" fillId="0" borderId="17" xfId="0" applyNumberFormat="1" applyFill="1" applyBorder="1"/>
    <xf numFmtId="166" fontId="0" fillId="0" borderId="1" xfId="0" applyNumberFormat="1" applyFill="1" applyBorder="1"/>
    <xf numFmtId="0" fontId="0" fillId="0" borderId="0" xfId="0" applyNumberFormat="1" applyFill="1"/>
    <xf numFmtId="11" fontId="0" fillId="0" borderId="0" xfId="0" applyNumberFormat="1" applyFill="1"/>
    <xf numFmtId="2" fontId="0" fillId="0" borderId="0" xfId="2" applyNumberFormat="1" applyFont="1" applyFill="1"/>
    <xf numFmtId="2" fontId="0" fillId="0" borderId="0" xfId="0" applyNumberFormat="1" applyFill="1"/>
    <xf numFmtId="3" fontId="0" fillId="0" borderId="13" xfId="0" applyNumberFormat="1" applyFill="1" applyBorder="1"/>
    <xf numFmtId="166" fontId="0" fillId="0" borderId="13" xfId="0" applyNumberFormat="1" applyFill="1" applyBorder="1"/>
    <xf numFmtId="0" fontId="8" fillId="0" borderId="0" xfId="0" applyFont="1" applyFill="1" applyBorder="1" applyAlignment="1">
      <alignment horizontal="center" vertical="center" textRotation="90"/>
    </xf>
    <xf numFmtId="0" fontId="1" fillId="0" borderId="0" xfId="0" applyFont="1" applyFill="1" applyBorder="1"/>
    <xf numFmtId="3" fontId="0" fillId="0" borderId="18" xfId="0" applyNumberFormat="1" applyFill="1" applyBorder="1"/>
    <xf numFmtId="9" fontId="0" fillId="0" borderId="0" xfId="2" applyFont="1" applyFill="1" applyBorder="1"/>
    <xf numFmtId="0" fontId="0" fillId="0" borderId="0" xfId="2" applyNumberFormat="1" applyFont="1" applyFill="1"/>
    <xf numFmtId="0" fontId="1" fillId="0" borderId="10" xfId="0" applyFont="1" applyFill="1" applyBorder="1" applyAlignment="1"/>
    <xf numFmtId="0" fontId="1" fillId="0" borderId="27" xfId="0" applyFont="1" applyFill="1" applyBorder="1" applyAlignment="1"/>
    <xf numFmtId="166" fontId="0" fillId="0" borderId="26" xfId="0" applyNumberFormat="1" applyFill="1" applyBorder="1"/>
    <xf numFmtId="0" fontId="0" fillId="6" borderId="0" xfId="0" applyFill="1" applyBorder="1" applyAlignment="1">
      <alignment horizontal="center"/>
    </xf>
    <xf numFmtId="0" fontId="0" fillId="0" borderId="0" xfId="0" applyBorder="1" applyAlignment="1">
      <alignment horizontal="center"/>
    </xf>
    <xf numFmtId="0" fontId="3" fillId="0" borderId="0" xfId="0" applyFont="1" applyBorder="1" applyAlignment="1">
      <alignment horizontal="center" vertical="top" wrapText="1"/>
    </xf>
    <xf numFmtId="166" fontId="0" fillId="6" borderId="0" xfId="0" applyNumberFormat="1" applyFill="1" applyAlignment="1">
      <alignment horizontal="center" wrapText="1"/>
    </xf>
    <xf numFmtId="166" fontId="0" fillId="6" borderId="0" xfId="2" applyNumberFormat="1" applyFont="1" applyFill="1" applyBorder="1" applyAlignment="1">
      <alignment horizontal="center"/>
    </xf>
    <xf numFmtId="166" fontId="0" fillId="0" borderId="0" xfId="2" applyNumberFormat="1" applyFont="1" applyFill="1" applyBorder="1" applyAlignment="1">
      <alignment horizontal="center"/>
    </xf>
    <xf numFmtId="166" fontId="0" fillId="0" borderId="0" xfId="0" applyNumberFormat="1" applyAlignment="1">
      <alignment horizontal="center" wrapText="1"/>
    </xf>
    <xf numFmtId="166" fontId="1" fillId="0" borderId="0" xfId="0" applyNumberFormat="1" applyFont="1" applyFill="1" applyBorder="1" applyAlignment="1">
      <alignment horizontal="center" wrapText="1"/>
    </xf>
    <xf numFmtId="166" fontId="0" fillId="0" borderId="0" xfId="0" applyNumberFormat="1" applyBorder="1" applyAlignment="1">
      <alignment horizontal="center" wrapText="1"/>
    </xf>
    <xf numFmtId="166" fontId="0" fillId="0" borderId="0" xfId="0" applyNumberFormat="1" applyAlignment="1">
      <alignment wrapText="1"/>
    </xf>
    <xf numFmtId="166" fontId="0" fillId="6" borderId="0" xfId="0" applyNumberFormat="1" applyFill="1" applyBorder="1" applyAlignment="1">
      <alignment horizontal="center"/>
    </xf>
    <xf numFmtId="166" fontId="0" fillId="0" borderId="0" xfId="0" applyNumberFormat="1" applyFill="1" applyBorder="1" applyAlignment="1">
      <alignment horizontal="center"/>
    </xf>
    <xf numFmtId="11" fontId="0" fillId="0" borderId="0" xfId="0" applyNumberFormat="1" applyAlignment="1">
      <alignment wrapText="1"/>
    </xf>
    <xf numFmtId="0" fontId="7" fillId="0" borderId="0" xfId="0" applyFont="1" applyAlignment="1">
      <alignment horizontal="center" vertical="center" wrapText="1"/>
    </xf>
    <xf numFmtId="166" fontId="0" fillId="6" borderId="0" xfId="0" applyNumberFormat="1" applyFill="1"/>
    <xf numFmtId="166" fontId="20" fillId="0" borderId="0" xfId="0" applyNumberFormat="1" applyFont="1" applyFill="1" applyBorder="1"/>
    <xf numFmtId="166" fontId="20" fillId="0" borderId="0" xfId="0" applyNumberFormat="1" applyFont="1" applyFill="1"/>
    <xf numFmtId="166" fontId="20" fillId="0" borderId="0" xfId="0" applyNumberFormat="1" applyFont="1"/>
    <xf numFmtId="166" fontId="0" fillId="0" borderId="1" xfId="0" applyNumberFormat="1" applyBorder="1"/>
    <xf numFmtId="168" fontId="0" fillId="0" borderId="0" xfId="2" applyNumberFormat="1" applyFont="1" applyFill="1" applyBorder="1"/>
    <xf numFmtId="168" fontId="0" fillId="6" borderId="0" xfId="0" applyNumberFormat="1" applyFill="1" applyBorder="1"/>
    <xf numFmtId="168" fontId="20" fillId="0" borderId="0" xfId="0" applyNumberFormat="1" applyFont="1" applyFill="1" applyBorder="1"/>
    <xf numFmtId="168" fontId="0" fillId="0" borderId="0" xfId="0" applyNumberFormat="1" applyBorder="1"/>
    <xf numFmtId="168" fontId="0" fillId="0" borderId="1" xfId="0" applyNumberFormat="1" applyBorder="1"/>
    <xf numFmtId="0" fontId="0" fillId="0" borderId="0" xfId="0" applyBorder="1" applyAlignment="1">
      <alignment horizontal="center" wrapText="1"/>
    </xf>
    <xf numFmtId="0" fontId="25" fillId="9" borderId="33" xfId="0" applyFont="1" applyFill="1" applyBorder="1"/>
    <xf numFmtId="0" fontId="23" fillId="9" borderId="19" xfId="0" applyFont="1" applyFill="1" applyBorder="1"/>
    <xf numFmtId="0" fontId="23" fillId="9" borderId="32" xfId="0" applyFont="1" applyFill="1" applyBorder="1"/>
    <xf numFmtId="0" fontId="23" fillId="10" borderId="16" xfId="0" applyFont="1" applyFill="1" applyBorder="1"/>
    <xf numFmtId="0" fontId="23" fillId="10" borderId="17" xfId="0" applyFont="1" applyFill="1" applyBorder="1" applyAlignment="1">
      <alignment horizontal="right"/>
    </xf>
    <xf numFmtId="0" fontId="23" fillId="10" borderId="35" xfId="0" applyFont="1" applyFill="1" applyBorder="1" applyAlignment="1">
      <alignment horizontal="right"/>
    </xf>
    <xf numFmtId="0" fontId="23" fillId="10" borderId="11" xfId="0" applyFont="1" applyFill="1" applyBorder="1"/>
    <xf numFmtId="0" fontId="23" fillId="10" borderId="1" xfId="0" applyFont="1" applyFill="1" applyBorder="1" applyAlignment="1">
      <alignment horizontal="right"/>
    </xf>
    <xf numFmtId="0" fontId="23" fillId="10" borderId="36" xfId="0" applyFont="1" applyFill="1" applyBorder="1" applyAlignment="1">
      <alignment horizontal="right"/>
    </xf>
    <xf numFmtId="0" fontId="23" fillId="10" borderId="12" xfId="0" applyFont="1" applyFill="1" applyBorder="1"/>
    <xf numFmtId="0" fontId="23" fillId="10" borderId="13" xfId="0" applyFont="1" applyFill="1" applyBorder="1" applyAlignment="1">
      <alignment horizontal="right"/>
    </xf>
    <xf numFmtId="0" fontId="23" fillId="10" borderId="37" xfId="0" applyFont="1" applyFill="1" applyBorder="1" applyAlignment="1">
      <alignment horizontal="right"/>
    </xf>
    <xf numFmtId="0" fontId="23" fillId="10" borderId="0" xfId="0" applyFont="1" applyFill="1"/>
    <xf numFmtId="0" fontId="23" fillId="10" borderId="0" xfId="0" applyFont="1" applyFill="1" applyAlignment="1">
      <alignment horizontal="right"/>
    </xf>
    <xf numFmtId="0" fontId="23" fillId="9" borderId="19" xfId="0" applyFont="1" applyFill="1" applyBorder="1" applyAlignment="1">
      <alignment horizontal="right"/>
    </xf>
    <xf numFmtId="0" fontId="23" fillId="9" borderId="32" xfId="0" applyFont="1" applyFill="1" applyBorder="1" applyAlignment="1">
      <alignment horizontal="right"/>
    </xf>
    <xf numFmtId="3" fontId="23" fillId="10" borderId="35" xfId="0" applyNumberFormat="1" applyFont="1" applyFill="1" applyBorder="1" applyAlignment="1">
      <alignment horizontal="right"/>
    </xf>
    <xf numFmtId="3" fontId="23" fillId="10" borderId="36" xfId="0" applyNumberFormat="1" applyFont="1" applyFill="1" applyBorder="1" applyAlignment="1">
      <alignment horizontal="right"/>
    </xf>
    <xf numFmtId="0" fontId="23" fillId="10" borderId="20" xfId="0" applyFont="1" applyFill="1" applyBorder="1"/>
    <xf numFmtId="3" fontId="23" fillId="10" borderId="38" xfId="0" applyNumberFormat="1" applyFont="1" applyFill="1" applyBorder="1" applyAlignment="1">
      <alignment horizontal="right"/>
    </xf>
    <xf numFmtId="0" fontId="23" fillId="10" borderId="1" xfId="0" applyFont="1" applyFill="1" applyBorder="1"/>
    <xf numFmtId="0" fontId="23" fillId="10" borderId="9" xfId="0" applyFont="1" applyFill="1" applyBorder="1"/>
    <xf numFmtId="0" fontId="28" fillId="0" borderId="0" xfId="1" applyFont="1" applyAlignment="1" applyProtection="1"/>
    <xf numFmtId="168" fontId="0" fillId="6" borderId="0" xfId="0" applyNumberFormat="1" applyFill="1" applyBorder="1" applyAlignment="1">
      <alignment horizontal="center"/>
    </xf>
    <xf numFmtId="168" fontId="0" fillId="0" borderId="0" xfId="0" applyNumberFormat="1" applyBorder="1" applyAlignment="1">
      <alignment horizontal="center"/>
    </xf>
    <xf numFmtId="168" fontId="0" fillId="0" borderId="0" xfId="0" applyNumberFormat="1" applyBorder="1" applyAlignment="1">
      <alignment horizontal="center" wrapText="1"/>
    </xf>
    <xf numFmtId="0" fontId="1" fillId="0" borderId="0" xfId="0" applyFont="1" applyBorder="1"/>
    <xf numFmtId="0" fontId="0" fillId="0" borderId="1" xfId="0" applyBorder="1" applyAlignment="1">
      <alignment horizontal="right"/>
    </xf>
    <xf numFmtId="0" fontId="0" fillId="0" borderId="0" xfId="0" applyAlignment="1">
      <alignment horizontal="left"/>
    </xf>
    <xf numFmtId="0" fontId="0" fillId="0" borderId="0" xfId="0" applyFill="1" applyBorder="1" applyAlignment="1">
      <alignment wrapText="1"/>
    </xf>
    <xf numFmtId="0" fontId="23" fillId="0" borderId="0" xfId="0" applyFont="1" applyFill="1" applyAlignment="1">
      <alignment horizontal="right"/>
    </xf>
    <xf numFmtId="0" fontId="20" fillId="0" borderId="0" xfId="0" applyFont="1" applyFill="1" applyBorder="1"/>
    <xf numFmtId="0" fontId="0" fillId="0" borderId="0" xfId="0" applyAlignment="1">
      <alignment horizontal="left"/>
    </xf>
    <xf numFmtId="0" fontId="0" fillId="0" borderId="34" xfId="0" applyBorder="1" applyAlignment="1">
      <alignment wrapText="1"/>
    </xf>
    <xf numFmtId="166" fontId="29" fillId="0" borderId="0" xfId="0" applyNumberFormat="1" applyFont="1" applyAlignment="1">
      <alignment horizontal="right"/>
    </xf>
    <xf numFmtId="0" fontId="32" fillId="0" borderId="0" xfId="1" applyFont="1" applyAlignment="1" applyProtection="1"/>
    <xf numFmtId="0" fontId="3" fillId="0" borderId="0" xfId="0" applyFont="1"/>
    <xf numFmtId="0" fontId="2" fillId="0" borderId="1" xfId="0" applyFont="1" applyBorder="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left" vertical="top" wrapText="1"/>
    </xf>
    <xf numFmtId="0" fontId="3" fillId="0" borderId="0" xfId="0" applyFont="1" applyAlignment="1">
      <alignment horizontal="left"/>
    </xf>
    <xf numFmtId="0" fontId="3" fillId="0" borderId="0" xfId="0" applyFont="1" applyFill="1" applyBorder="1" applyAlignment="1">
      <alignment vertical="top" wrapText="1"/>
    </xf>
    <xf numFmtId="49" fontId="0" fillId="0" borderId="0" xfId="0" applyNumberFormat="1" applyAlignment="1">
      <alignment wrapText="1"/>
    </xf>
    <xf numFmtId="49" fontId="0" fillId="0" borderId="0" xfId="0" applyNumberFormat="1" applyAlignment="1">
      <alignment horizontal="center" wrapText="1"/>
    </xf>
    <xf numFmtId="49" fontId="1" fillId="0" borderId="0" xfId="0" applyNumberFormat="1" applyFont="1" applyAlignment="1">
      <alignment wrapText="1"/>
    </xf>
    <xf numFmtId="0" fontId="0" fillId="0" borderId="9" xfId="0" applyBorder="1"/>
    <xf numFmtId="0" fontId="13" fillId="0" borderId="0" xfId="0" applyFont="1" applyBorder="1"/>
    <xf numFmtId="168" fontId="0" fillId="0" borderId="0" xfId="0" applyNumberFormat="1" applyBorder="1" applyAlignment="1">
      <alignment wrapText="1"/>
    </xf>
    <xf numFmtId="168" fontId="0" fillId="0" borderId="0" xfId="0" applyNumberFormat="1" applyBorder="1" applyAlignment="1">
      <alignment horizontal="center" vertical="center" wrapText="1"/>
    </xf>
    <xf numFmtId="168" fontId="8" fillId="0" borderId="0" xfId="0" applyNumberFormat="1" applyFont="1" applyBorder="1" applyAlignment="1">
      <alignment horizontal="center" vertical="center" wrapText="1"/>
    </xf>
    <xf numFmtId="0" fontId="5" fillId="0" borderId="0" xfId="1" applyAlignment="1" applyProtection="1"/>
    <xf numFmtId="0" fontId="23" fillId="10" borderId="0" xfId="0" applyFont="1" applyFill="1" applyBorder="1"/>
    <xf numFmtId="0" fontId="21" fillId="0" borderId="1" xfId="0" applyFont="1" applyFill="1" applyBorder="1" applyAlignment="1">
      <alignment horizontal="left" vertical="top"/>
    </xf>
    <xf numFmtId="0" fontId="2" fillId="0" borderId="0" xfId="0" applyFont="1"/>
    <xf numFmtId="166" fontId="0" fillId="0" borderId="0" xfId="0" applyNumberFormat="1" applyBorder="1"/>
    <xf numFmtId="166" fontId="1" fillId="12" borderId="41" xfId="0" applyNumberFormat="1" applyFont="1" applyFill="1" applyBorder="1"/>
    <xf numFmtId="166" fontId="1" fillId="12" borderId="42" xfId="0" applyNumberFormat="1" applyFont="1" applyFill="1" applyBorder="1"/>
    <xf numFmtId="0" fontId="20" fillId="0" borderId="0" xfId="0" applyFont="1" applyAlignment="1">
      <alignment horizontal="left"/>
    </xf>
    <xf numFmtId="165" fontId="0" fillId="0" borderId="0" xfId="0" applyNumberFormat="1" applyBorder="1" applyAlignment="1">
      <alignment horizontal="center" vertical="center"/>
    </xf>
    <xf numFmtId="166" fontId="1" fillId="3" borderId="7" xfId="0" applyNumberFormat="1" applyFont="1" applyFill="1" applyBorder="1"/>
    <xf numFmtId="166" fontId="0" fillId="0" borderId="15" xfId="0" applyNumberFormat="1" applyBorder="1"/>
    <xf numFmtId="166" fontId="1" fillId="3" borderId="9" xfId="0" applyNumberFormat="1" applyFont="1" applyFill="1" applyBorder="1"/>
    <xf numFmtId="166" fontId="0" fillId="0" borderId="31" xfId="0" applyNumberFormat="1" applyBorder="1"/>
    <xf numFmtId="166" fontId="0" fillId="0" borderId="9" xfId="0" applyNumberFormat="1" applyBorder="1"/>
    <xf numFmtId="0" fontId="8" fillId="0" borderId="0" xfId="0" applyFont="1" applyFill="1" applyBorder="1" applyAlignment="1">
      <alignment horizontal="center" vertical="center"/>
    </xf>
    <xf numFmtId="0" fontId="0" fillId="0" borderId="0" xfId="0" applyBorder="1" applyAlignment="1">
      <alignment horizontal="right"/>
    </xf>
    <xf numFmtId="0" fontId="0" fillId="0" borderId="0" xfId="0" applyBorder="1" applyAlignment="1">
      <alignment horizontal="right" vertical="top"/>
    </xf>
    <xf numFmtId="0" fontId="1" fillId="0" borderId="0" xfId="0" applyFont="1" applyBorder="1" applyAlignment="1">
      <alignment horizontal="left"/>
    </xf>
    <xf numFmtId="166" fontId="0" fillId="0" borderId="0" xfId="0" applyNumberFormat="1" applyBorder="1" applyAlignment="1">
      <alignment horizontal="center" vertical="center"/>
    </xf>
    <xf numFmtId="166" fontId="0" fillId="0" borderId="45" xfId="0" applyNumberFormat="1" applyFill="1" applyBorder="1"/>
    <xf numFmtId="0" fontId="1" fillId="0" borderId="0" xfId="0" applyFont="1" applyFill="1" applyBorder="1" applyAlignment="1"/>
    <xf numFmtId="3" fontId="0" fillId="0" borderId="35" xfId="0" applyNumberFormat="1" applyFill="1" applyBorder="1"/>
    <xf numFmtId="3" fontId="0" fillId="0" borderId="36" xfId="0" applyNumberFormat="1" applyFill="1" applyBorder="1"/>
    <xf numFmtId="3" fontId="0" fillId="0" borderId="37" xfId="0" applyNumberFormat="1" applyFill="1" applyBorder="1"/>
    <xf numFmtId="3" fontId="0" fillId="0" borderId="45" xfId="0" applyNumberFormat="1" applyFill="1" applyBorder="1"/>
    <xf numFmtId="166" fontId="0" fillId="0" borderId="48" xfId="0" applyNumberFormat="1" applyFill="1" applyBorder="1"/>
    <xf numFmtId="166" fontId="0" fillId="0" borderId="49" xfId="0" applyNumberFormat="1" applyFill="1" applyBorder="1"/>
    <xf numFmtId="3" fontId="0" fillId="0" borderId="50" xfId="0" applyNumberFormat="1" applyFill="1" applyBorder="1"/>
    <xf numFmtId="3" fontId="0" fillId="0" borderId="51" xfId="0" applyNumberFormat="1" applyFill="1" applyBorder="1"/>
    <xf numFmtId="0" fontId="3" fillId="0" borderId="1" xfId="0" applyFont="1" applyBorder="1" applyAlignment="1">
      <alignment vertical="top" wrapText="1"/>
    </xf>
    <xf numFmtId="0" fontId="19" fillId="0" borderId="0" xfId="0" applyFont="1" applyFill="1" applyAlignment="1">
      <alignment horizontal="right"/>
    </xf>
    <xf numFmtId="0" fontId="20" fillId="0" borderId="0" xfId="0" applyFont="1" applyFill="1" applyBorder="1" applyAlignment="1"/>
    <xf numFmtId="0" fontId="20" fillId="0" borderId="0" xfId="0" applyFont="1" applyAlignment="1"/>
    <xf numFmtId="0" fontId="0" fillId="0" borderId="0" xfId="0" applyAlignment="1"/>
    <xf numFmtId="0" fontId="3" fillId="0" borderId="0" xfId="0" applyFont="1" applyFill="1" applyBorder="1" applyAlignment="1">
      <alignment vertical="top"/>
    </xf>
    <xf numFmtId="0" fontId="33" fillId="0" borderId="0" xfId="1" applyFont="1" applyBorder="1" applyAlignment="1" applyProtection="1">
      <alignment horizontal="left" vertical="top" wrapText="1"/>
    </xf>
    <xf numFmtId="0" fontId="32" fillId="0" borderId="0" xfId="1" applyFont="1" applyFill="1" applyBorder="1" applyAlignment="1" applyProtection="1">
      <alignment horizontal="left" vertical="top"/>
    </xf>
    <xf numFmtId="0" fontId="32" fillId="0" borderId="0" xfId="1" applyFont="1" applyBorder="1" applyAlignment="1" applyProtection="1">
      <alignment horizontal="left" vertical="top"/>
    </xf>
    <xf numFmtId="0" fontId="35" fillId="6" borderId="0" xfId="0" applyFont="1" applyFill="1" applyBorder="1" applyAlignment="1">
      <alignment vertical="top" wrapText="1"/>
    </xf>
    <xf numFmtId="0" fontId="35" fillId="6" borderId="0" xfId="0" applyFont="1" applyFill="1" applyBorder="1" applyAlignment="1">
      <alignment horizontal="center" vertical="top" wrapText="1"/>
    </xf>
    <xf numFmtId="0" fontId="35" fillId="0" borderId="0" xfId="0" applyFont="1" applyBorder="1" applyAlignment="1">
      <alignment vertical="top"/>
    </xf>
    <xf numFmtId="0" fontId="35" fillId="0" borderId="0" xfId="0" applyFont="1" applyBorder="1" applyAlignment="1">
      <alignment vertical="top" wrapText="1"/>
    </xf>
    <xf numFmtId="0" fontId="3" fillId="6" borderId="0" xfId="0" applyFont="1" applyFill="1" applyBorder="1" applyAlignment="1">
      <alignment horizontal="left" vertical="top"/>
    </xf>
    <xf numFmtId="0" fontId="3" fillId="0" borderId="1" xfId="0" applyFont="1" applyBorder="1" applyAlignment="1">
      <alignment horizontal="left" vertical="top"/>
    </xf>
    <xf numFmtId="3" fontId="3" fillId="0" borderId="1" xfId="0" applyNumberFormat="1" applyFont="1" applyBorder="1" applyAlignment="1">
      <alignment horizontal="left" vertical="top"/>
    </xf>
    <xf numFmtId="0" fontId="34" fillId="0" borderId="0" xfId="1" applyFont="1" applyBorder="1" applyAlignment="1" applyProtection="1">
      <alignment vertical="top" wrapText="1"/>
    </xf>
    <xf numFmtId="0" fontId="32" fillId="0" borderId="0" xfId="1" applyFont="1" applyBorder="1" applyAlignment="1" applyProtection="1">
      <alignment vertical="top" wrapText="1"/>
    </xf>
    <xf numFmtId="0" fontId="3" fillId="6" borderId="0" xfId="0" applyFont="1" applyFill="1" applyBorder="1" applyAlignment="1">
      <alignment vertical="top"/>
    </xf>
    <xf numFmtId="0" fontId="3" fillId="6" borderId="0" xfId="0" applyFont="1" applyFill="1" applyBorder="1" applyAlignment="1">
      <alignment horizontal="center" vertical="top"/>
    </xf>
    <xf numFmtId="0" fontId="3" fillId="0" borderId="0" xfId="0" applyFont="1" applyBorder="1" applyAlignment="1">
      <alignment vertical="top"/>
    </xf>
    <xf numFmtId="0" fontId="3" fillId="0" borderId="0" xfId="0" applyFont="1" applyBorder="1" applyAlignment="1">
      <alignment horizontal="center" vertical="top"/>
    </xf>
    <xf numFmtId="0" fontId="3" fillId="0" borderId="1" xfId="0" applyFont="1" applyBorder="1" applyAlignment="1">
      <alignment vertical="top"/>
    </xf>
    <xf numFmtId="0" fontId="3" fillId="0" borderId="1" xfId="0" applyFont="1" applyFill="1" applyBorder="1" applyAlignment="1">
      <alignment vertical="top"/>
    </xf>
    <xf numFmtId="0" fontId="3" fillId="0" borderId="1" xfId="0" applyFont="1" applyFill="1" applyBorder="1" applyAlignment="1">
      <alignment vertical="top" wrapText="1"/>
    </xf>
    <xf numFmtId="0" fontId="3" fillId="0" borderId="0" xfId="0" applyFont="1" applyFill="1" applyBorder="1" applyAlignment="1">
      <alignment horizontal="center" vertical="top" wrapText="1"/>
    </xf>
    <xf numFmtId="0" fontId="3" fillId="0" borderId="0" xfId="0" applyFont="1" applyFill="1" applyBorder="1" applyAlignment="1">
      <alignment horizontal="center" vertical="top"/>
    </xf>
    <xf numFmtId="0" fontId="3" fillId="0" borderId="1" xfId="0" applyFont="1" applyBorder="1" applyAlignment="1">
      <alignment horizontal="center" vertical="top"/>
    </xf>
    <xf numFmtId="0" fontId="37" fillId="0" borderId="0" xfId="0" applyFont="1" applyBorder="1" applyAlignment="1">
      <alignment vertical="top"/>
    </xf>
    <xf numFmtId="0" fontId="36" fillId="6" borderId="0" xfId="0" applyFont="1" applyFill="1" applyBorder="1" applyAlignment="1">
      <alignment horizontal="left" vertical="top"/>
    </xf>
    <xf numFmtId="0" fontId="2" fillId="0" borderId="0" xfId="0" applyFont="1" applyBorder="1" applyAlignment="1">
      <alignment vertical="top"/>
    </xf>
    <xf numFmtId="0" fontId="6" fillId="5" borderId="1" xfId="0" applyFont="1" applyFill="1" applyBorder="1" applyAlignment="1">
      <alignment vertical="top" wrapText="1"/>
    </xf>
    <xf numFmtId="0" fontId="6" fillId="5" borderId="1" xfId="0" applyFont="1" applyFill="1" applyBorder="1" applyAlignment="1">
      <alignment vertical="top"/>
    </xf>
    <xf numFmtId="0" fontId="6" fillId="14" borderId="1" xfId="0" applyFont="1" applyFill="1" applyBorder="1" applyAlignment="1">
      <alignment horizontal="center" vertical="top"/>
    </xf>
    <xf numFmtId="0" fontId="2" fillId="14" borderId="1" xfId="0" applyFont="1" applyFill="1" applyBorder="1" applyAlignment="1">
      <alignment vertical="top"/>
    </xf>
    <xf numFmtId="0" fontId="3" fillId="0" borderId="1" xfId="0" applyFont="1" applyBorder="1" applyAlignment="1">
      <alignment horizontal="left" vertical="top" wrapText="1"/>
    </xf>
    <xf numFmtId="0" fontId="3" fillId="0" borderId="1" xfId="0" applyFont="1" applyFill="1" applyBorder="1" applyAlignment="1">
      <alignment horizontal="left" vertical="top" wrapText="1"/>
    </xf>
    <xf numFmtId="167" fontId="3" fillId="0" borderId="1" xfId="0" applyNumberFormat="1" applyFont="1" applyBorder="1" applyAlignment="1">
      <alignment horizontal="left" vertical="top" wrapText="1"/>
    </xf>
    <xf numFmtId="11" fontId="3" fillId="0" borderId="1" xfId="0" applyNumberFormat="1" applyFont="1" applyBorder="1" applyAlignment="1">
      <alignment horizontal="left" vertical="top" wrapText="1"/>
    </xf>
    <xf numFmtId="0" fontId="33" fillId="0" borderId="1" xfId="0" applyFont="1" applyBorder="1" applyAlignment="1">
      <alignment horizontal="left" vertical="top"/>
    </xf>
    <xf numFmtId="0" fontId="3" fillId="0" borderId="1" xfId="0" applyFont="1" applyFill="1" applyBorder="1" applyAlignment="1">
      <alignment horizontal="left" vertical="top"/>
    </xf>
    <xf numFmtId="11" fontId="3" fillId="0" borderId="1" xfId="0" applyNumberFormat="1" applyFont="1" applyFill="1" applyBorder="1" applyAlignment="1">
      <alignment horizontal="left" vertical="top"/>
    </xf>
    <xf numFmtId="0" fontId="10" fillId="0" borderId="6" xfId="0" applyFont="1" applyFill="1" applyBorder="1" applyAlignment="1">
      <alignment horizontal="left" vertical="top" wrapText="1"/>
    </xf>
    <xf numFmtId="0" fontId="10" fillId="8" borderId="16" xfId="0" applyFont="1" applyFill="1" applyBorder="1" applyAlignment="1">
      <alignment horizontal="left" vertical="top" wrapText="1"/>
    </xf>
    <xf numFmtId="0" fontId="10" fillId="8" borderId="11" xfId="0" applyFont="1" applyFill="1" applyBorder="1" applyAlignment="1">
      <alignment horizontal="left" vertical="top" wrapText="1"/>
    </xf>
    <xf numFmtId="0" fontId="10" fillId="8" borderId="12" xfId="0" applyFont="1" applyFill="1" applyBorder="1" applyAlignment="1">
      <alignment horizontal="left" vertical="top" wrapText="1"/>
    </xf>
    <xf numFmtId="0" fontId="10" fillId="8" borderId="53" xfId="0" applyFont="1" applyFill="1" applyBorder="1" applyAlignment="1">
      <alignment horizontal="left" vertical="top" wrapText="1"/>
    </xf>
    <xf numFmtId="0" fontId="10" fillId="8" borderId="54" xfId="0" applyFont="1" applyFill="1" applyBorder="1" applyAlignment="1">
      <alignment horizontal="left" vertical="top" wrapText="1"/>
    </xf>
    <xf numFmtId="0" fontId="10" fillId="8" borderId="57" xfId="0" applyFont="1" applyFill="1" applyBorder="1" applyAlignment="1">
      <alignment horizontal="left" vertical="top" wrapText="1"/>
    </xf>
    <xf numFmtId="0" fontId="10" fillId="11" borderId="56" xfId="0" applyFont="1" applyFill="1" applyBorder="1" applyAlignment="1">
      <alignment horizontal="left" vertical="top" wrapText="1"/>
    </xf>
    <xf numFmtId="166" fontId="0" fillId="0" borderId="13" xfId="0" applyNumberFormat="1" applyBorder="1" applyAlignment="1">
      <alignment horizontal="center" wrapText="1"/>
    </xf>
    <xf numFmtId="0" fontId="0" fillId="0" borderId="0" xfId="0" applyNumberFormat="1" applyBorder="1" applyAlignment="1" applyProtection="1">
      <alignment horizontal="left" vertical="center"/>
    </xf>
    <xf numFmtId="166" fontId="0" fillId="0" borderId="49" xfId="0" applyNumberFormat="1" applyBorder="1" applyAlignment="1">
      <alignment horizontal="center" wrapText="1"/>
    </xf>
    <xf numFmtId="166" fontId="0" fillId="0" borderId="51" xfId="0" applyNumberFormat="1" applyBorder="1" applyAlignment="1">
      <alignment horizontal="center" wrapText="1"/>
    </xf>
    <xf numFmtId="166" fontId="1" fillId="11" borderId="17" xfId="0" applyNumberFormat="1" applyFont="1" applyFill="1" applyBorder="1" applyAlignment="1">
      <alignment horizontal="center" vertical="center" wrapText="1"/>
    </xf>
    <xf numFmtId="166" fontId="1" fillId="11" borderId="35" xfId="0" applyNumberFormat="1" applyFont="1" applyFill="1" applyBorder="1" applyAlignment="1">
      <alignment horizontal="center" vertical="center" wrapText="1"/>
    </xf>
    <xf numFmtId="166" fontId="0" fillId="0" borderId="37" xfId="0" applyNumberFormat="1" applyBorder="1" applyAlignment="1">
      <alignment horizontal="center" wrapText="1"/>
    </xf>
    <xf numFmtId="166" fontId="0" fillId="0" borderId="17" xfId="0" applyNumberFormat="1" applyBorder="1" applyAlignment="1">
      <alignment horizontal="center" wrapText="1"/>
    </xf>
    <xf numFmtId="166" fontId="0" fillId="0" borderId="35" xfId="0" applyNumberFormat="1" applyBorder="1" applyAlignment="1">
      <alignment horizontal="center" wrapText="1"/>
    </xf>
    <xf numFmtId="166" fontId="0" fillId="0" borderId="1" xfId="0" applyNumberFormat="1" applyBorder="1" applyAlignment="1" applyProtection="1">
      <alignment horizontal="center" wrapText="1"/>
    </xf>
    <xf numFmtId="166" fontId="0" fillId="0" borderId="36" xfId="0" applyNumberFormat="1" applyBorder="1" applyAlignment="1" applyProtection="1">
      <alignment horizontal="center" wrapText="1"/>
    </xf>
    <xf numFmtId="166" fontId="0" fillId="0" borderId="13" xfId="0" applyNumberFormat="1" applyBorder="1" applyAlignment="1" applyProtection="1">
      <alignment horizontal="center" wrapText="1"/>
    </xf>
    <xf numFmtId="166" fontId="0" fillId="0" borderId="37" xfId="0" applyNumberFormat="1" applyBorder="1" applyAlignment="1" applyProtection="1">
      <alignment horizontal="center" wrapText="1"/>
    </xf>
    <xf numFmtId="166" fontId="0" fillId="0" borderId="49" xfId="0" applyNumberFormat="1" applyBorder="1" applyAlignment="1" applyProtection="1">
      <alignment horizontal="center" wrapText="1"/>
    </xf>
    <xf numFmtId="166" fontId="0" fillId="0" borderId="51" xfId="0" applyNumberFormat="1" applyBorder="1" applyAlignment="1" applyProtection="1">
      <alignment horizontal="center" wrapText="1"/>
    </xf>
    <xf numFmtId="168" fontId="0" fillId="7" borderId="8" xfId="0" applyNumberFormat="1" applyFill="1" applyBorder="1" applyAlignment="1">
      <alignment horizontal="center" vertical="center" wrapText="1"/>
    </xf>
    <xf numFmtId="168" fontId="0" fillId="7" borderId="38" xfId="0" applyNumberFormat="1" applyFill="1" applyBorder="1" applyAlignment="1">
      <alignment horizontal="center" vertical="center" wrapText="1"/>
    </xf>
    <xf numFmtId="168" fontId="0" fillId="0" borderId="17" xfId="0" applyNumberFormat="1" applyBorder="1"/>
    <xf numFmtId="168" fontId="0" fillId="0" borderId="35" xfId="0" applyNumberFormat="1" applyBorder="1"/>
    <xf numFmtId="168" fontId="0" fillId="0" borderId="36" xfId="0" applyNumberFormat="1" applyBorder="1"/>
    <xf numFmtId="168" fontId="0" fillId="0" borderId="13" xfId="0" applyNumberFormat="1" applyBorder="1"/>
    <xf numFmtId="168" fontId="0" fillId="0" borderId="37" xfId="0" applyNumberFormat="1" applyBorder="1"/>
    <xf numFmtId="168" fontId="0" fillId="0" borderId="41" xfId="0" applyNumberFormat="1" applyBorder="1"/>
    <xf numFmtId="168" fontId="0" fillId="0" borderId="42" xfId="0" applyNumberFormat="1" applyBorder="1"/>
    <xf numFmtId="0" fontId="8" fillId="7" borderId="9" xfId="0" applyFont="1" applyFill="1" applyBorder="1" applyAlignment="1">
      <alignment horizontal="center" vertical="center" wrapText="1"/>
    </xf>
    <xf numFmtId="0" fontId="8" fillId="7" borderId="9" xfId="0" applyFont="1" applyFill="1" applyBorder="1" applyAlignment="1">
      <alignment horizontal="center" vertical="center"/>
    </xf>
    <xf numFmtId="3" fontId="0" fillId="0" borderId="9" xfId="0" applyNumberFormat="1" applyFill="1" applyBorder="1"/>
    <xf numFmtId="166" fontId="0" fillId="0" borderId="9" xfId="0" applyNumberFormat="1" applyFill="1" applyBorder="1"/>
    <xf numFmtId="3" fontId="0" fillId="0" borderId="55" xfId="0" applyNumberFormat="1" applyFill="1" applyBorder="1"/>
    <xf numFmtId="0" fontId="8" fillId="0" borderId="0" xfId="0" applyFont="1" applyFill="1"/>
    <xf numFmtId="3" fontId="1" fillId="7" borderId="49" xfId="0" applyNumberFormat="1" applyFont="1" applyFill="1" applyBorder="1" applyAlignment="1">
      <alignment wrapText="1"/>
    </xf>
    <xf numFmtId="166" fontId="1" fillId="7" borderId="49" xfId="0" applyNumberFormat="1" applyFont="1" applyFill="1" applyBorder="1" applyAlignment="1">
      <alignment wrapText="1"/>
    </xf>
    <xf numFmtId="3" fontId="1" fillId="7" borderId="51" xfId="0" applyNumberFormat="1" applyFont="1" applyFill="1" applyBorder="1" applyAlignment="1">
      <alignment wrapText="1"/>
    </xf>
    <xf numFmtId="0" fontId="0" fillId="0" borderId="0" xfId="0" applyBorder="1" applyAlignment="1"/>
    <xf numFmtId="0" fontId="19" fillId="0" borderId="52" xfId="0" applyFont="1" applyBorder="1" applyAlignment="1">
      <alignment horizontal="left"/>
    </xf>
    <xf numFmtId="166" fontId="0" fillId="0" borderId="15" xfId="0" applyNumberFormat="1" applyFill="1" applyBorder="1"/>
    <xf numFmtId="166" fontId="8" fillId="11" borderId="41" xfId="0" applyNumberFormat="1" applyFont="1" applyFill="1" applyBorder="1" applyAlignment="1">
      <alignment horizontal="center" vertical="center" wrapText="1"/>
    </xf>
    <xf numFmtId="0" fontId="21" fillId="0" borderId="0" xfId="0" applyFont="1" applyFill="1" applyAlignment="1">
      <alignment horizontal="left" vertical="top"/>
    </xf>
    <xf numFmtId="0" fontId="10" fillId="7" borderId="77" xfId="0" applyFont="1" applyFill="1" applyBorder="1" applyAlignment="1">
      <alignment horizontal="center" vertical="top" wrapText="1"/>
    </xf>
    <xf numFmtId="0" fontId="31" fillId="0" borderId="52" xfId="0" applyFont="1" applyBorder="1" applyAlignment="1">
      <alignment vertical="top" wrapText="1"/>
    </xf>
    <xf numFmtId="166" fontId="8" fillId="11" borderId="19" xfId="0" applyNumberFormat="1" applyFont="1" applyFill="1" applyBorder="1" applyAlignment="1">
      <alignment vertical="center" wrapText="1"/>
    </xf>
    <xf numFmtId="166" fontId="8" fillId="11" borderId="32" xfId="0" applyNumberFormat="1" applyFont="1" applyFill="1" applyBorder="1" applyAlignment="1">
      <alignment vertical="center" wrapText="1"/>
    </xf>
    <xf numFmtId="166" fontId="1" fillId="11" borderId="79" xfId="0" applyNumberFormat="1" applyFont="1" applyFill="1" applyBorder="1" applyAlignment="1">
      <alignment horizontal="center" vertical="center" wrapText="1"/>
    </xf>
    <xf numFmtId="166" fontId="0" fillId="0" borderId="4" xfId="0" applyNumberFormat="1" applyBorder="1" applyAlignment="1" applyProtection="1">
      <alignment horizontal="center" wrapText="1"/>
    </xf>
    <xf numFmtId="166" fontId="0" fillId="0" borderId="70" xfId="0" applyNumberFormat="1" applyBorder="1" applyAlignment="1" applyProtection="1">
      <alignment horizontal="center" wrapText="1"/>
    </xf>
    <xf numFmtId="166" fontId="8" fillId="11" borderId="42" xfId="0" applyNumberFormat="1" applyFont="1" applyFill="1" applyBorder="1" applyAlignment="1">
      <alignment vertical="center" wrapText="1"/>
    </xf>
    <xf numFmtId="0" fontId="8" fillId="11" borderId="40" xfId="0" applyFont="1" applyFill="1" applyBorder="1" applyAlignment="1">
      <alignment horizontal="center" vertical="center" wrapText="1"/>
    </xf>
    <xf numFmtId="0" fontId="8" fillId="11" borderId="41" xfId="0" applyFont="1" applyFill="1" applyBorder="1" applyAlignment="1">
      <alignment horizontal="center" vertical="center" wrapText="1"/>
    </xf>
    <xf numFmtId="0" fontId="10" fillId="7" borderId="40" xfId="0" applyFont="1" applyFill="1" applyBorder="1" applyAlignment="1">
      <alignment horizontal="center" vertical="top" wrapText="1"/>
    </xf>
    <xf numFmtId="0" fontId="0" fillId="0" borderId="19" xfId="0" applyBorder="1" applyAlignment="1"/>
    <xf numFmtId="0" fontId="0" fillId="0" borderId="32" xfId="0" applyBorder="1" applyAlignment="1"/>
    <xf numFmtId="3" fontId="39" fillId="7" borderId="78" xfId="0" applyNumberFormat="1" applyFont="1" applyFill="1" applyBorder="1" applyAlignment="1">
      <alignment vertical="center"/>
    </xf>
    <xf numFmtId="3" fontId="39" fillId="7" borderId="19" xfId="0" applyNumberFormat="1" applyFont="1" applyFill="1" applyBorder="1" applyAlignment="1"/>
    <xf numFmtId="3" fontId="39" fillId="7" borderId="32" xfId="0" applyNumberFormat="1" applyFont="1" applyFill="1" applyBorder="1" applyAlignment="1"/>
    <xf numFmtId="3" fontId="1" fillId="7" borderId="80" xfId="0" applyNumberFormat="1" applyFont="1" applyFill="1" applyBorder="1" applyAlignment="1">
      <alignment wrapText="1"/>
    </xf>
    <xf numFmtId="3" fontId="0" fillId="0" borderId="39" xfId="0" applyNumberFormat="1" applyFill="1" applyBorder="1"/>
    <xf numFmtId="3" fontId="0" fillId="0" borderId="4" xfId="0" applyNumberFormat="1" applyFill="1" applyBorder="1"/>
    <xf numFmtId="3" fontId="0" fillId="0" borderId="70" xfId="0" applyNumberFormat="1" applyFill="1" applyBorder="1"/>
    <xf numFmtId="3" fontId="0" fillId="0" borderId="79" xfId="0" applyNumberFormat="1" applyFill="1" applyBorder="1"/>
    <xf numFmtId="3" fontId="0" fillId="0" borderId="10" xfId="0" applyNumberFormat="1" applyFill="1" applyBorder="1"/>
    <xf numFmtId="3" fontId="0" fillId="0" borderId="52" xfId="0" applyNumberFormat="1" applyFill="1" applyBorder="1"/>
    <xf numFmtId="168" fontId="8" fillId="7" borderId="65" xfId="0" applyNumberFormat="1" applyFont="1" applyFill="1" applyBorder="1" applyAlignment="1"/>
    <xf numFmtId="168" fontId="8" fillId="7" borderId="66" xfId="0" applyNumberFormat="1" applyFont="1" applyFill="1" applyBorder="1" applyAlignment="1"/>
    <xf numFmtId="168" fontId="0" fillId="7" borderId="82" xfId="0" applyNumberFormat="1" applyFill="1" applyBorder="1" applyAlignment="1">
      <alignment horizontal="center" vertical="center" wrapText="1"/>
    </xf>
    <xf numFmtId="168" fontId="0" fillId="0" borderId="79" xfId="0" applyNumberFormat="1" applyBorder="1"/>
    <xf numFmtId="168" fontId="0" fillId="0" borderId="4" xfId="0" applyNumberFormat="1" applyBorder="1"/>
    <xf numFmtId="168" fontId="0" fillId="0" borderId="70" xfId="0" applyNumberFormat="1" applyBorder="1"/>
    <xf numFmtId="168" fontId="0" fillId="0" borderId="72" xfId="0" applyNumberFormat="1" applyBorder="1"/>
    <xf numFmtId="168" fontId="8" fillId="7" borderId="81" xfId="0" applyNumberFormat="1" applyFont="1" applyFill="1" applyBorder="1" applyAlignment="1">
      <alignment horizontal="center"/>
    </xf>
    <xf numFmtId="49" fontId="3" fillId="0" borderId="6" xfId="0" applyNumberFormat="1" applyFont="1" applyFill="1" applyBorder="1" applyAlignment="1">
      <alignment wrapText="1"/>
    </xf>
    <xf numFmtId="166" fontId="3" fillId="0" borderId="35" xfId="0" applyNumberFormat="1" applyFont="1" applyBorder="1" applyAlignment="1" applyProtection="1">
      <alignment horizontal="center" vertical="center" wrapText="1"/>
      <protection locked="0"/>
    </xf>
    <xf numFmtId="166" fontId="3" fillId="0" borderId="36" xfId="0" applyNumberFormat="1" applyFont="1" applyBorder="1" applyAlignment="1" applyProtection="1">
      <alignment horizontal="center" vertical="center" wrapText="1"/>
      <protection locked="0"/>
    </xf>
    <xf numFmtId="166" fontId="3" fillId="0" borderId="37" xfId="0" applyNumberFormat="1" applyFont="1" applyBorder="1" applyAlignment="1" applyProtection="1">
      <alignment horizontal="center" vertical="center" wrapText="1"/>
      <protection locked="0"/>
    </xf>
    <xf numFmtId="0" fontId="3" fillId="0" borderId="6" xfId="0" applyFont="1" applyFill="1" applyBorder="1" applyAlignment="1">
      <alignment wrapText="1"/>
    </xf>
    <xf numFmtId="3" fontId="3" fillId="11" borderId="51" xfId="0" applyNumberFormat="1" applyFont="1" applyFill="1" applyBorder="1" applyAlignment="1" applyProtection="1">
      <alignment horizontal="center" vertical="center" wrapText="1"/>
    </xf>
    <xf numFmtId="0" fontId="3" fillId="0" borderId="0" xfId="0" applyNumberFormat="1" applyFont="1" applyBorder="1" applyAlignment="1" applyProtection="1">
      <alignment horizontal="left" vertical="center"/>
    </xf>
    <xf numFmtId="166" fontId="3" fillId="0" borderId="0" xfId="0" applyNumberFormat="1" applyFont="1" applyFill="1" applyBorder="1" applyAlignment="1">
      <alignment horizontal="center"/>
    </xf>
    <xf numFmtId="3" fontId="3" fillId="2" borderId="1" xfId="0" applyNumberFormat="1" applyFont="1" applyFill="1" applyBorder="1"/>
    <xf numFmtId="165" fontId="3" fillId="5" borderId="1" xfId="2" applyNumberFormat="1" applyFont="1" applyFill="1" applyBorder="1"/>
    <xf numFmtId="3" fontId="3" fillId="0" borderId="1" xfId="2" applyNumberFormat="1" applyFont="1" applyFill="1" applyBorder="1"/>
    <xf numFmtId="166" fontId="3" fillId="0" borderId="0" xfId="2" applyNumberFormat="1" applyFont="1" applyFill="1" applyBorder="1" applyAlignment="1">
      <alignment horizontal="center"/>
    </xf>
    <xf numFmtId="166" fontId="10" fillId="11" borderId="41" xfId="0" applyNumberFormat="1" applyFont="1" applyFill="1" applyBorder="1" applyAlignment="1">
      <alignment horizontal="center" vertical="center" wrapText="1"/>
    </xf>
    <xf numFmtId="166" fontId="10" fillId="11" borderId="42" xfId="0" applyNumberFormat="1" applyFont="1" applyFill="1" applyBorder="1" applyAlignment="1">
      <alignment horizontal="center" vertical="center" wrapText="1"/>
    </xf>
    <xf numFmtId="0" fontId="3" fillId="0" borderId="9" xfId="0" applyFont="1" applyBorder="1" applyAlignment="1">
      <alignment wrapText="1"/>
    </xf>
    <xf numFmtId="3" fontId="3" fillId="2" borderId="9" xfId="0" applyNumberFormat="1" applyFont="1" applyFill="1" applyBorder="1" applyAlignment="1" applyProtection="1">
      <alignment horizontal="center" wrapText="1"/>
      <protection locked="0"/>
    </xf>
    <xf numFmtId="166" fontId="3" fillId="0" borderId="9" xfId="0" applyNumberFormat="1" applyFont="1" applyFill="1" applyBorder="1" applyAlignment="1" applyProtection="1">
      <alignment horizontal="center" wrapText="1"/>
    </xf>
    <xf numFmtId="166" fontId="3" fillId="0" borderId="55" xfId="0" applyNumberFormat="1" applyFont="1" applyBorder="1" applyAlignment="1" applyProtection="1">
      <alignment horizontal="center" wrapText="1"/>
    </xf>
    <xf numFmtId="0" fontId="3" fillId="0" borderId="1" xfId="0" applyFont="1" applyBorder="1" applyAlignment="1">
      <alignment wrapText="1"/>
    </xf>
    <xf numFmtId="3" fontId="3" fillId="2" borderId="1" xfId="0" applyNumberFormat="1" applyFont="1" applyFill="1" applyBorder="1" applyAlignment="1" applyProtection="1">
      <alignment horizontal="center" wrapText="1"/>
      <protection locked="0"/>
    </xf>
    <xf numFmtId="166" fontId="3" fillId="0" borderId="1" xfId="0" applyNumberFormat="1" applyFont="1" applyFill="1" applyBorder="1" applyAlignment="1" applyProtection="1">
      <alignment horizontal="center" wrapText="1"/>
    </xf>
    <xf numFmtId="166" fontId="3" fillId="0" borderId="36" xfId="0" applyNumberFormat="1" applyFont="1" applyBorder="1" applyAlignment="1" applyProtection="1">
      <alignment horizontal="center" wrapText="1"/>
    </xf>
    <xf numFmtId="0" fontId="3" fillId="0" borderId="13" xfId="0" applyFont="1" applyBorder="1" applyAlignment="1">
      <alignment wrapText="1"/>
    </xf>
    <xf numFmtId="3" fontId="3" fillId="2" borderId="13" xfId="0" applyNumberFormat="1" applyFont="1" applyFill="1" applyBorder="1" applyAlignment="1" applyProtection="1">
      <alignment horizontal="center" wrapText="1"/>
      <protection locked="0"/>
    </xf>
    <xf numFmtId="166" fontId="3" fillId="0" borderId="13" xfId="0" applyNumberFormat="1" applyFont="1" applyFill="1" applyBorder="1" applyAlignment="1" applyProtection="1">
      <alignment horizontal="center" wrapText="1"/>
    </xf>
    <xf numFmtId="166" fontId="3" fillId="0" borderId="37" xfId="0" applyNumberFormat="1" applyFont="1" applyBorder="1" applyAlignment="1" applyProtection="1">
      <alignment horizontal="center" wrapText="1"/>
    </xf>
    <xf numFmtId="0" fontId="3" fillId="0" borderId="0" xfId="0" applyFont="1" applyBorder="1" applyAlignment="1">
      <alignment wrapText="1"/>
    </xf>
    <xf numFmtId="166" fontId="3" fillId="0" borderId="0" xfId="0" applyNumberFormat="1" applyFont="1" applyAlignment="1">
      <alignment horizontal="center" wrapText="1"/>
    </xf>
    <xf numFmtId="166" fontId="2" fillId="0" borderId="0" xfId="0" applyNumberFormat="1" applyFont="1" applyBorder="1" applyAlignment="1">
      <alignment horizontal="center" wrapText="1"/>
    </xf>
    <xf numFmtId="166" fontId="2" fillId="0" borderId="47" xfId="0" applyNumberFormat="1" applyFont="1" applyBorder="1" applyAlignment="1" applyProtection="1">
      <alignment horizontal="center" wrapText="1"/>
    </xf>
    <xf numFmtId="166" fontId="3" fillId="0" borderId="49" xfId="0" applyNumberFormat="1" applyFont="1" applyBorder="1" applyAlignment="1" applyProtection="1">
      <alignment horizontal="center" wrapText="1"/>
    </xf>
    <xf numFmtId="0" fontId="3" fillId="0" borderId="0" xfId="0" applyFont="1" applyAlignment="1">
      <alignment wrapText="1"/>
    </xf>
    <xf numFmtId="166" fontId="3" fillId="0" borderId="0" xfId="0" applyNumberFormat="1" applyFont="1" applyBorder="1" applyAlignment="1">
      <alignment horizontal="center" wrapText="1"/>
    </xf>
    <xf numFmtId="0" fontId="3" fillId="0" borderId="17" xfId="0" applyFont="1" applyBorder="1" applyAlignment="1">
      <alignment wrapText="1"/>
    </xf>
    <xf numFmtId="3" fontId="3" fillId="2" borderId="17" xfId="0" applyNumberFormat="1" applyFont="1" applyFill="1" applyBorder="1" applyAlignment="1" applyProtection="1">
      <alignment horizontal="center" wrapText="1"/>
      <protection locked="0"/>
    </xf>
    <xf numFmtId="166" fontId="3" fillId="0" borderId="17" xfId="0" applyNumberFormat="1" applyFont="1" applyFill="1" applyBorder="1" applyAlignment="1" applyProtection="1">
      <alignment horizontal="center" wrapText="1"/>
      <protection locked="0"/>
    </xf>
    <xf numFmtId="166" fontId="3" fillId="0" borderId="17" xfId="0" applyNumberFormat="1" applyFont="1" applyBorder="1" applyAlignment="1">
      <alignment horizontal="center" wrapText="1"/>
    </xf>
    <xf numFmtId="166" fontId="3" fillId="0" borderId="13" xfId="0" applyNumberFormat="1" applyFont="1" applyFill="1" applyBorder="1" applyAlignment="1" applyProtection="1">
      <alignment horizontal="center" wrapText="1"/>
      <protection locked="0"/>
    </xf>
    <xf numFmtId="166" fontId="3" fillId="0" borderId="13" xfId="0" applyNumberFormat="1" applyFont="1" applyBorder="1" applyAlignment="1">
      <alignment horizontal="center" wrapText="1"/>
    </xf>
    <xf numFmtId="166" fontId="2" fillId="0" borderId="0" xfId="0" applyNumberFormat="1" applyFont="1" applyFill="1" applyBorder="1" applyAlignment="1">
      <alignment horizontal="center" wrapText="1"/>
    </xf>
    <xf numFmtId="166" fontId="2" fillId="0" borderId="47" xfId="0" applyNumberFormat="1" applyFont="1" applyFill="1" applyBorder="1" applyAlignment="1">
      <alignment horizontal="center" wrapText="1"/>
    </xf>
    <xf numFmtId="166" fontId="3" fillId="0" borderId="49" xfId="0" applyNumberFormat="1" applyFont="1" applyBorder="1" applyAlignment="1">
      <alignment horizontal="center" wrapText="1"/>
    </xf>
    <xf numFmtId="0" fontId="10" fillId="11" borderId="54" xfId="0" applyFont="1" applyFill="1" applyBorder="1" applyAlignment="1">
      <alignment wrapText="1"/>
    </xf>
    <xf numFmtId="166" fontId="10" fillId="11" borderId="9" xfId="0" applyNumberFormat="1" applyFont="1" applyFill="1" applyBorder="1" applyAlignment="1">
      <alignment horizontal="center" wrapText="1"/>
    </xf>
    <xf numFmtId="166" fontId="10" fillId="11" borderId="55" xfId="0" applyNumberFormat="1" applyFont="1" applyFill="1" applyBorder="1" applyAlignment="1">
      <alignment horizontal="center" wrapText="1"/>
    </xf>
    <xf numFmtId="0" fontId="3" fillId="0" borderId="60" xfId="0" applyFont="1" applyFill="1" applyBorder="1" applyAlignment="1">
      <alignment wrapText="1"/>
    </xf>
    <xf numFmtId="3" fontId="3" fillId="5" borderId="11" xfId="0" applyNumberFormat="1" applyFont="1" applyFill="1" applyBorder="1" applyAlignment="1" applyProtection="1">
      <alignment wrapText="1"/>
      <protection locked="0"/>
    </xf>
    <xf numFmtId="166" fontId="3" fillId="0" borderId="36" xfId="0" applyNumberFormat="1" applyFont="1" applyFill="1" applyBorder="1" applyAlignment="1" applyProtection="1">
      <alignment horizontal="center" wrapText="1"/>
    </xf>
    <xf numFmtId="0" fontId="3" fillId="0" borderId="60" xfId="0" applyFont="1" applyBorder="1" applyAlignment="1">
      <alignment wrapText="1"/>
    </xf>
    <xf numFmtId="166" fontId="3" fillId="0" borderId="1" xfId="0" applyNumberFormat="1" applyFont="1" applyBorder="1" applyAlignment="1" applyProtection="1">
      <alignment horizontal="center" wrapText="1"/>
    </xf>
    <xf numFmtId="0" fontId="3" fillId="0" borderId="61" xfId="0" applyFont="1" applyBorder="1" applyAlignment="1">
      <alignment wrapText="1"/>
    </xf>
    <xf numFmtId="3" fontId="3" fillId="5" borderId="12" xfId="0" applyNumberFormat="1" applyFont="1" applyFill="1" applyBorder="1" applyAlignment="1" applyProtection="1">
      <alignment wrapText="1"/>
      <protection locked="0"/>
    </xf>
    <xf numFmtId="166" fontId="3" fillId="0" borderId="13" xfId="0" applyNumberFormat="1" applyFont="1" applyBorder="1" applyAlignment="1" applyProtection="1">
      <alignment horizontal="center" wrapText="1"/>
    </xf>
    <xf numFmtId="166" fontId="3" fillId="0" borderId="37" xfId="0" applyNumberFormat="1" applyFont="1" applyFill="1" applyBorder="1" applyAlignment="1" applyProtection="1">
      <alignment horizontal="center" wrapText="1"/>
    </xf>
    <xf numFmtId="166" fontId="2" fillId="0" borderId="59" xfId="0" applyNumberFormat="1" applyFont="1" applyBorder="1" applyAlignment="1" applyProtection="1">
      <alignment horizontal="center" wrapText="1"/>
    </xf>
    <xf numFmtId="166" fontId="10" fillId="11" borderId="41" xfId="0" applyNumberFormat="1" applyFont="1" applyFill="1" applyBorder="1" applyAlignment="1">
      <alignment horizontal="center" wrapText="1"/>
    </xf>
    <xf numFmtId="166" fontId="10" fillId="11" borderId="42" xfId="0" applyNumberFormat="1" applyFont="1" applyFill="1" applyBorder="1" applyAlignment="1">
      <alignment horizontal="center" wrapText="1"/>
    </xf>
    <xf numFmtId="0" fontId="3" fillId="0" borderId="63" xfId="0" applyFont="1" applyFill="1" applyBorder="1" applyAlignment="1">
      <alignment wrapText="1"/>
    </xf>
    <xf numFmtId="166" fontId="3" fillId="5" borderId="54" xfId="0" applyNumberFormat="1" applyFont="1" applyFill="1" applyBorder="1" applyAlignment="1" applyProtection="1">
      <alignment horizontal="center" wrapText="1"/>
      <protection locked="0"/>
    </xf>
    <xf numFmtId="169" fontId="3" fillId="0" borderId="9" xfId="0" applyNumberFormat="1" applyFont="1" applyFill="1" applyBorder="1" applyAlignment="1" applyProtection="1">
      <alignment horizontal="center" wrapText="1"/>
    </xf>
    <xf numFmtId="166" fontId="3" fillId="0" borderId="55" xfId="0" applyNumberFormat="1" applyFont="1" applyFill="1" applyBorder="1" applyAlignment="1" applyProtection="1">
      <alignment horizontal="center" wrapText="1"/>
    </xf>
    <xf numFmtId="166" fontId="3" fillId="5" borderId="11" xfId="0" applyNumberFormat="1" applyFont="1" applyFill="1" applyBorder="1" applyAlignment="1" applyProtection="1">
      <alignment horizontal="center" wrapText="1"/>
      <protection locked="0"/>
    </xf>
    <xf numFmtId="169" fontId="3" fillId="0" borderId="1" xfId="0" applyNumberFormat="1" applyFont="1" applyFill="1" applyBorder="1" applyAlignment="1" applyProtection="1">
      <alignment horizontal="center" wrapText="1"/>
    </xf>
    <xf numFmtId="169" fontId="3" fillId="0" borderId="1" xfId="0" applyNumberFormat="1" applyFont="1" applyBorder="1" applyAlignment="1" applyProtection="1">
      <alignment horizontal="center" wrapText="1"/>
    </xf>
    <xf numFmtId="166" fontId="3" fillId="5" borderId="12" xfId="0" applyNumberFormat="1" applyFont="1" applyFill="1" applyBorder="1" applyAlignment="1" applyProtection="1">
      <alignment horizontal="center" wrapText="1"/>
      <protection locked="0"/>
    </xf>
    <xf numFmtId="169" fontId="3" fillId="0" borderId="13" xfId="0" applyNumberFormat="1" applyFont="1" applyBorder="1" applyAlignment="1" applyProtection="1">
      <alignment horizontal="center" wrapText="1"/>
    </xf>
    <xf numFmtId="166" fontId="2" fillId="0" borderId="0" xfId="0" applyNumberFormat="1" applyFont="1" applyAlignment="1">
      <alignment horizontal="center" wrapText="1"/>
    </xf>
    <xf numFmtId="0" fontId="3" fillId="0" borderId="11" xfId="0" applyFont="1" applyFill="1" applyBorder="1" applyAlignment="1">
      <alignment wrapText="1"/>
    </xf>
    <xf numFmtId="170" fontId="3" fillId="0" borderId="1" xfId="0" applyNumberFormat="1" applyFont="1" applyBorder="1" applyAlignment="1">
      <alignment horizontal="center" vertical="center" wrapText="1"/>
    </xf>
    <xf numFmtId="8" fontId="3" fillId="0" borderId="1" xfId="0" applyNumberFormat="1" applyFont="1" applyBorder="1" applyAlignment="1">
      <alignment horizontal="center" vertical="center" wrapText="1"/>
    </xf>
    <xf numFmtId="171" fontId="3" fillId="0" borderId="1" xfId="0" applyNumberFormat="1" applyFont="1" applyBorder="1" applyAlignment="1">
      <alignment horizontal="center" vertical="center" wrapText="1"/>
    </xf>
    <xf numFmtId="49" fontId="3" fillId="0" borderId="11" xfId="0" applyNumberFormat="1" applyFont="1" applyFill="1" applyBorder="1" applyAlignment="1">
      <alignment wrapText="1"/>
    </xf>
    <xf numFmtId="49" fontId="3" fillId="0" borderId="12" xfId="0" applyNumberFormat="1" applyFont="1" applyFill="1" applyBorder="1" applyAlignment="1">
      <alignment wrapText="1"/>
    </xf>
    <xf numFmtId="170" fontId="3" fillId="0" borderId="13" xfId="0" applyNumberFormat="1" applyFont="1" applyBorder="1" applyAlignment="1">
      <alignment horizontal="center" vertical="center" wrapText="1"/>
    </xf>
    <xf numFmtId="0" fontId="3" fillId="0" borderId="35" xfId="0" applyNumberFormat="1" applyFont="1" applyBorder="1" applyAlignment="1" applyProtection="1">
      <alignment horizontal="center" vertical="center" wrapText="1"/>
    </xf>
    <xf numFmtId="0" fontId="3" fillId="0" borderId="36" xfId="0" applyNumberFormat="1" applyFont="1" applyBorder="1" applyAlignment="1" applyProtection="1">
      <alignment horizontal="center" vertical="center" wrapText="1"/>
    </xf>
    <xf numFmtId="49" fontId="3" fillId="0" borderId="36" xfId="0" applyNumberFormat="1" applyFont="1" applyBorder="1" applyAlignment="1" applyProtection="1">
      <alignment horizontal="center" wrapText="1"/>
      <protection locked="0"/>
    </xf>
    <xf numFmtId="164" fontId="3" fillId="0" borderId="36" xfId="0" applyNumberFormat="1" applyFont="1" applyBorder="1" applyAlignment="1" applyProtection="1">
      <alignment horizontal="center" wrapText="1"/>
      <protection locked="0"/>
    </xf>
    <xf numFmtId="0" fontId="2" fillId="0" borderId="11" xfId="0" applyFont="1" applyFill="1" applyBorder="1" applyAlignment="1">
      <alignment horizontal="left" vertical="center"/>
    </xf>
    <xf numFmtId="3" fontId="3" fillId="0" borderId="36" xfId="0" applyNumberFormat="1" applyFont="1" applyFill="1" applyBorder="1" applyAlignment="1" applyProtection="1">
      <alignment horizontal="center" vertical="center"/>
    </xf>
    <xf numFmtId="0" fontId="2" fillId="0" borderId="12" xfId="0" applyFont="1" applyFill="1" applyBorder="1" applyAlignment="1">
      <alignment horizontal="left" vertical="center"/>
    </xf>
    <xf numFmtId="3" fontId="3" fillId="0" borderId="37" xfId="0" applyNumberFormat="1" applyFont="1" applyFill="1" applyBorder="1" applyAlignment="1" applyProtection="1">
      <alignment horizontal="center" vertical="center"/>
    </xf>
    <xf numFmtId="1" fontId="2" fillId="0" borderId="1" xfId="0" applyNumberFormat="1" applyFont="1" applyFill="1" applyBorder="1" applyAlignment="1">
      <alignment horizontal="center" vertical="center"/>
    </xf>
    <xf numFmtId="49" fontId="3" fillId="0" borderId="12" xfId="2" applyNumberFormat="1" applyFont="1" applyFill="1" applyBorder="1" applyAlignment="1">
      <alignment horizontal="center" vertical="center"/>
    </xf>
    <xf numFmtId="166" fontId="3" fillId="0" borderId="13" xfId="2" applyNumberFormat="1" applyFont="1" applyFill="1" applyBorder="1" applyAlignment="1">
      <alignment horizontal="center" vertical="center"/>
    </xf>
    <xf numFmtId="166" fontId="3" fillId="0" borderId="13" xfId="0" applyNumberFormat="1" applyFont="1" applyFill="1" applyBorder="1" applyAlignment="1">
      <alignment horizontal="center" vertical="center"/>
    </xf>
    <xf numFmtId="0" fontId="2" fillId="0" borderId="54" xfId="0" applyFont="1" applyBorder="1" applyAlignment="1">
      <alignment horizontal="center" wrapText="1"/>
    </xf>
    <xf numFmtId="49" fontId="2" fillId="0" borderId="9" xfId="0" applyNumberFormat="1" applyFont="1" applyBorder="1" applyAlignment="1">
      <alignment horizontal="center" wrapText="1"/>
    </xf>
    <xf numFmtId="1" fontId="2" fillId="0" borderId="9" xfId="0" applyNumberFormat="1" applyFont="1" applyFill="1" applyBorder="1"/>
    <xf numFmtId="49" fontId="3" fillId="0" borderId="11" xfId="0" applyNumberFormat="1" applyFont="1" applyBorder="1" applyAlignment="1">
      <alignment wrapText="1"/>
    </xf>
    <xf numFmtId="170" fontId="3" fillId="0" borderId="1" xfId="0" applyNumberFormat="1" applyFont="1" applyFill="1" applyBorder="1" applyAlignment="1">
      <alignment horizontal="center" vertical="center"/>
    </xf>
    <xf numFmtId="49" fontId="3" fillId="0" borderId="12" xfId="0" applyNumberFormat="1" applyFont="1" applyBorder="1" applyAlignment="1">
      <alignment wrapText="1"/>
    </xf>
    <xf numFmtId="1" fontId="3" fillId="0" borderId="56" xfId="2" applyNumberFormat="1" applyFont="1" applyFill="1" applyBorder="1" applyAlignment="1">
      <alignment horizontal="center" vertical="center"/>
    </xf>
    <xf numFmtId="3" fontId="3" fillId="0" borderId="51" xfId="2" applyNumberFormat="1" applyFont="1" applyFill="1" applyBorder="1" applyAlignment="1">
      <alignment horizontal="center" vertical="center"/>
    </xf>
    <xf numFmtId="3" fontId="3" fillId="2" borderId="74" xfId="0" applyNumberFormat="1" applyFont="1" applyFill="1" applyBorder="1" applyProtection="1">
      <protection locked="0"/>
    </xf>
    <xf numFmtId="165" fontId="3" fillId="5" borderId="9" xfId="2" applyNumberFormat="1" applyFont="1" applyFill="1" applyBorder="1" applyProtection="1">
      <protection locked="0"/>
    </xf>
    <xf numFmtId="3" fontId="3" fillId="2" borderId="9" xfId="2" applyNumberFormat="1" applyFont="1" applyFill="1" applyBorder="1" applyProtection="1">
      <protection locked="0"/>
    </xf>
    <xf numFmtId="3" fontId="3" fillId="5" borderId="9" xfId="0" applyNumberFormat="1" applyFont="1" applyFill="1" applyBorder="1" applyProtection="1">
      <protection locked="0"/>
    </xf>
    <xf numFmtId="3" fontId="3" fillId="2" borderId="9" xfId="0" applyNumberFormat="1" applyFont="1" applyFill="1" applyBorder="1" applyProtection="1">
      <protection locked="0"/>
    </xf>
    <xf numFmtId="0" fontId="3" fillId="5" borderId="9" xfId="0" applyFont="1" applyFill="1" applyBorder="1" applyProtection="1">
      <protection locked="0"/>
    </xf>
    <xf numFmtId="166" fontId="3" fillId="0" borderId="5" xfId="0" applyNumberFormat="1" applyFont="1" applyFill="1" applyBorder="1"/>
    <xf numFmtId="3" fontId="3" fillId="0" borderId="63" xfId="0" applyNumberFormat="1" applyFont="1" applyFill="1" applyBorder="1"/>
    <xf numFmtId="3" fontId="3" fillId="2" borderId="24" xfId="0" applyNumberFormat="1" applyFont="1" applyFill="1" applyBorder="1" applyProtection="1">
      <protection locked="0"/>
    </xf>
    <xf numFmtId="9" fontId="3" fillId="5" borderId="1" xfId="2" applyFont="1" applyFill="1" applyBorder="1" applyProtection="1">
      <protection locked="0"/>
    </xf>
    <xf numFmtId="3" fontId="3" fillId="2" borderId="1" xfId="2" applyNumberFormat="1" applyFont="1" applyFill="1" applyBorder="1" applyProtection="1">
      <protection locked="0"/>
    </xf>
    <xf numFmtId="3" fontId="3" fillId="5" borderId="1" xfId="0" applyNumberFormat="1" applyFont="1" applyFill="1" applyBorder="1" applyProtection="1">
      <protection locked="0"/>
    </xf>
    <xf numFmtId="3" fontId="3" fillId="2" borderId="1" xfId="0" applyNumberFormat="1" applyFont="1" applyFill="1" applyBorder="1" applyProtection="1">
      <protection locked="0"/>
    </xf>
    <xf numFmtId="0" fontId="3" fillId="5" borderId="1" xfId="0" applyFont="1" applyFill="1" applyBorder="1" applyProtection="1">
      <protection locked="0"/>
    </xf>
    <xf numFmtId="166" fontId="3" fillId="0" borderId="2" xfId="0" applyNumberFormat="1" applyFont="1" applyFill="1" applyBorder="1"/>
    <xf numFmtId="3" fontId="3" fillId="0" borderId="60" xfId="0" applyNumberFormat="1" applyFont="1" applyFill="1" applyBorder="1"/>
    <xf numFmtId="9" fontId="3" fillId="5" borderId="8" xfId="2" applyFont="1" applyFill="1" applyBorder="1" applyProtection="1">
      <protection locked="0"/>
    </xf>
    <xf numFmtId="3" fontId="3" fillId="2" borderId="8" xfId="2" applyNumberFormat="1" applyFont="1" applyFill="1" applyBorder="1" applyProtection="1">
      <protection locked="0"/>
    </xf>
    <xf numFmtId="3" fontId="3" fillId="5" borderId="8" xfId="0" applyNumberFormat="1" applyFont="1" applyFill="1" applyBorder="1" applyProtection="1">
      <protection locked="0"/>
    </xf>
    <xf numFmtId="3" fontId="3" fillId="2" borderId="8" xfId="0" applyNumberFormat="1" applyFont="1" applyFill="1" applyBorder="1" applyProtection="1">
      <protection locked="0"/>
    </xf>
    <xf numFmtId="0" fontId="3" fillId="5" borderId="8" xfId="0" applyFont="1" applyFill="1" applyBorder="1" applyProtection="1">
      <protection locked="0"/>
    </xf>
    <xf numFmtId="3" fontId="3" fillId="2" borderId="29" xfId="0" applyNumberFormat="1" applyFont="1" applyFill="1" applyBorder="1" applyProtection="1">
      <protection locked="0"/>
    </xf>
    <xf numFmtId="3" fontId="3" fillId="0" borderId="25" xfId="0" applyNumberFormat="1" applyFont="1" applyFill="1" applyBorder="1"/>
    <xf numFmtId="9" fontId="3" fillId="0" borderId="13" xfId="2" applyFont="1" applyFill="1" applyBorder="1"/>
    <xf numFmtId="3" fontId="3" fillId="0" borderId="13" xfId="0" applyNumberFormat="1" applyFont="1" applyFill="1" applyBorder="1"/>
    <xf numFmtId="0" fontId="3" fillId="5" borderId="13" xfId="0" applyFont="1" applyFill="1" applyBorder="1" applyProtection="1">
      <protection locked="0"/>
    </xf>
    <xf numFmtId="166" fontId="3" fillId="0" borderId="22" xfId="0" applyNumberFormat="1" applyFont="1" applyFill="1" applyBorder="1"/>
    <xf numFmtId="3" fontId="3" fillId="0" borderId="61" xfId="0" applyNumberFormat="1" applyFont="1" applyFill="1" applyBorder="1"/>
    <xf numFmtId="3" fontId="3" fillId="0" borderId="0" xfId="2" applyNumberFormat="1" applyFont="1" applyFill="1" applyBorder="1"/>
    <xf numFmtId="3" fontId="3" fillId="0" borderId="0" xfId="0" applyNumberFormat="1" applyFont="1" applyFill="1" applyBorder="1"/>
    <xf numFmtId="3" fontId="3" fillId="2" borderId="23" xfId="0" applyNumberFormat="1" applyFont="1" applyFill="1" applyBorder="1" applyProtection="1">
      <protection locked="0"/>
    </xf>
    <xf numFmtId="3" fontId="3" fillId="2" borderId="17" xfId="2" applyNumberFormat="1" applyFont="1" applyFill="1" applyBorder="1" applyProtection="1">
      <protection locked="0"/>
    </xf>
    <xf numFmtId="3" fontId="3" fillId="5" borderId="17" xfId="0" applyNumberFormat="1" applyFont="1" applyFill="1" applyBorder="1" applyProtection="1">
      <protection locked="0"/>
    </xf>
    <xf numFmtId="3" fontId="3" fillId="2" borderId="17" xfId="0" applyNumberFormat="1" applyFont="1" applyFill="1" applyBorder="1" applyProtection="1">
      <protection locked="0"/>
    </xf>
    <xf numFmtId="0" fontId="3" fillId="5" borderId="17" xfId="0" applyFont="1" applyFill="1" applyBorder="1" applyProtection="1">
      <protection locked="0"/>
    </xf>
    <xf numFmtId="166" fontId="3" fillId="0" borderId="21" xfId="0" applyNumberFormat="1" applyFont="1" applyFill="1" applyBorder="1"/>
    <xf numFmtId="3" fontId="3" fillId="0" borderId="81" xfId="0" applyNumberFormat="1" applyFont="1" applyFill="1" applyBorder="1"/>
    <xf numFmtId="3" fontId="3" fillId="0" borderId="8" xfId="2" applyNumberFormat="1" applyFont="1" applyFill="1" applyBorder="1" applyProtection="1">
      <protection locked="0"/>
    </xf>
    <xf numFmtId="3" fontId="3" fillId="0" borderId="8" xfId="0" applyNumberFormat="1" applyFont="1" applyFill="1" applyBorder="1" applyProtection="1">
      <protection locked="0"/>
    </xf>
    <xf numFmtId="3" fontId="3" fillId="0" borderId="8" xfId="0" applyNumberFormat="1" applyFont="1" applyFill="1" applyBorder="1"/>
    <xf numFmtId="166" fontId="3" fillId="0" borderId="30" xfId="0" applyNumberFormat="1" applyFont="1" applyFill="1" applyBorder="1"/>
    <xf numFmtId="0" fontId="3" fillId="5" borderId="13" xfId="0" applyFont="1" applyFill="1" applyBorder="1"/>
    <xf numFmtId="0" fontId="2" fillId="0" borderId="0" xfId="0" applyFont="1" applyFill="1" applyBorder="1" applyAlignment="1"/>
    <xf numFmtId="165" fontId="3" fillId="5" borderId="17" xfId="2" applyNumberFormat="1" applyFont="1" applyFill="1" applyBorder="1" applyProtection="1">
      <protection locked="0"/>
    </xf>
    <xf numFmtId="3" fontId="3" fillId="0" borderId="24" xfId="0" applyNumberFormat="1" applyFont="1" applyFill="1" applyBorder="1"/>
    <xf numFmtId="9" fontId="3" fillId="0" borderId="1" xfId="2" applyFont="1" applyFill="1" applyBorder="1"/>
    <xf numFmtId="3" fontId="3" fillId="0" borderId="1" xfId="0" applyNumberFormat="1" applyFont="1" applyFill="1" applyBorder="1"/>
    <xf numFmtId="165" fontId="3" fillId="2" borderId="1" xfId="2" applyNumberFormat="1" applyFont="1" applyFill="1" applyBorder="1" applyProtection="1">
      <protection locked="0"/>
    </xf>
    <xf numFmtId="0" fontId="2" fillId="0" borderId="27" xfId="0" applyFont="1" applyFill="1" applyBorder="1" applyAlignment="1"/>
    <xf numFmtId="0" fontId="2" fillId="0" borderId="10" xfId="0" applyFont="1" applyFill="1" applyBorder="1" applyAlignment="1"/>
    <xf numFmtId="9" fontId="3" fillId="2" borderId="17" xfId="2" applyFont="1" applyFill="1" applyBorder="1" applyProtection="1">
      <protection locked="0"/>
    </xf>
    <xf numFmtId="9" fontId="3" fillId="2" borderId="1" xfId="2" applyFont="1" applyFill="1" applyBorder="1" applyProtection="1">
      <protection locked="0"/>
    </xf>
    <xf numFmtId="0" fontId="3" fillId="0" borderId="13" xfId="0" applyFont="1" applyFill="1" applyBorder="1"/>
    <xf numFmtId="165" fontId="3" fillId="0" borderId="26" xfId="2" applyNumberFormat="1" applyFont="1" applyFill="1" applyBorder="1"/>
    <xf numFmtId="3" fontId="3" fillId="0" borderId="26" xfId="2" applyNumberFormat="1" applyFont="1" applyFill="1" applyBorder="1"/>
    <xf numFmtId="3" fontId="3" fillId="0" borderId="26" xfId="0" applyNumberFormat="1" applyFont="1" applyFill="1" applyBorder="1"/>
    <xf numFmtId="0" fontId="3" fillId="0" borderId="26" xfId="0" applyFont="1" applyFill="1" applyBorder="1"/>
    <xf numFmtId="166" fontId="3" fillId="0" borderId="45" xfId="0" applyNumberFormat="1" applyFont="1" applyFill="1" applyBorder="1"/>
    <xf numFmtId="3" fontId="3" fillId="0" borderId="62" xfId="0" applyNumberFormat="1" applyFont="1" applyFill="1" applyBorder="1"/>
    <xf numFmtId="3" fontId="3" fillId="0" borderId="75" xfId="0" applyNumberFormat="1" applyFont="1" applyFill="1" applyBorder="1"/>
    <xf numFmtId="0" fontId="2" fillId="0" borderId="5" xfId="0" applyFont="1" applyFill="1" applyBorder="1" applyAlignment="1">
      <alignment horizontal="left" indent="5"/>
    </xf>
    <xf numFmtId="0" fontId="2" fillId="0" borderId="2" xfId="0" applyFont="1" applyFill="1" applyBorder="1" applyAlignment="1">
      <alignment horizontal="left" indent="5"/>
    </xf>
    <xf numFmtId="0" fontId="2" fillId="0" borderId="2" xfId="0" applyFont="1" applyFill="1" applyBorder="1" applyAlignment="1">
      <alignment horizontal="left" indent="8"/>
    </xf>
    <xf numFmtId="0" fontId="2" fillId="0" borderId="22" xfId="0" applyFont="1" applyFill="1" applyBorder="1"/>
    <xf numFmtId="0" fontId="2" fillId="0" borderId="22" xfId="0" applyFont="1" applyFill="1" applyBorder="1" applyAlignment="1">
      <alignment horizontal="left"/>
    </xf>
    <xf numFmtId="0" fontId="2" fillId="0" borderId="62" xfId="0" applyFont="1" applyFill="1" applyBorder="1"/>
    <xf numFmtId="0" fontId="2" fillId="0" borderId="75" xfId="0" applyFont="1" applyFill="1" applyBorder="1"/>
    <xf numFmtId="0" fontId="2" fillId="7" borderId="9" xfId="0" applyFont="1" applyFill="1" applyBorder="1" applyAlignment="1">
      <alignment wrapText="1"/>
    </xf>
    <xf numFmtId="0" fontId="2" fillId="7" borderId="5" xfId="0" applyFont="1" applyFill="1" applyBorder="1" applyAlignment="1">
      <alignment horizontal="center" wrapText="1"/>
    </xf>
    <xf numFmtId="3" fontId="2" fillId="7" borderId="56" xfId="0" applyNumberFormat="1" applyFont="1" applyFill="1" applyBorder="1" applyAlignment="1">
      <alignment wrapText="1"/>
    </xf>
    <xf numFmtId="165" fontId="2" fillId="7" borderId="49" xfId="2" applyNumberFormat="1" applyFont="1" applyFill="1" applyBorder="1" applyAlignment="1">
      <alignment wrapText="1"/>
    </xf>
    <xf numFmtId="3" fontId="2" fillId="7" borderId="49" xfId="0" applyNumberFormat="1" applyFont="1" applyFill="1" applyBorder="1" applyAlignment="1">
      <alignment wrapText="1"/>
    </xf>
    <xf numFmtId="3" fontId="2" fillId="7" borderId="75" xfId="0" applyNumberFormat="1" applyFont="1" applyFill="1" applyBorder="1" applyAlignment="1">
      <alignment wrapText="1"/>
    </xf>
    <xf numFmtId="3" fontId="3" fillId="0" borderId="74" xfId="0" applyNumberFormat="1" applyFont="1" applyFill="1" applyBorder="1"/>
    <xf numFmtId="9" fontId="3" fillId="0" borderId="9" xfId="2" applyFont="1" applyFill="1" applyBorder="1"/>
    <xf numFmtId="3" fontId="3" fillId="0" borderId="9" xfId="2" applyNumberFormat="1" applyFont="1" applyFill="1" applyBorder="1"/>
    <xf numFmtId="3" fontId="3" fillId="0" borderId="9" xfId="0" applyNumberFormat="1" applyFont="1" applyFill="1" applyBorder="1"/>
    <xf numFmtId="3" fontId="33" fillId="2" borderId="1" xfId="0" applyNumberFormat="1" applyFont="1" applyFill="1" applyBorder="1" applyProtection="1">
      <protection locked="0"/>
    </xf>
    <xf numFmtId="165" fontId="3" fillId="5" borderId="1" xfId="2" applyNumberFormat="1" applyFont="1" applyFill="1" applyBorder="1" applyProtection="1">
      <protection locked="0"/>
    </xf>
    <xf numFmtId="0" fontId="2" fillId="7" borderId="49" xfId="0" applyFont="1" applyFill="1" applyBorder="1" applyAlignment="1">
      <alignment wrapText="1"/>
    </xf>
    <xf numFmtId="166" fontId="2" fillId="7" borderId="51" xfId="0" applyNumberFormat="1" applyFont="1" applyFill="1" applyBorder="1" applyAlignment="1">
      <alignment wrapText="1"/>
    </xf>
    <xf numFmtId="0" fontId="3" fillId="2" borderId="1" xfId="0" applyFont="1" applyFill="1" applyBorder="1" applyAlignment="1">
      <alignment horizontal="center"/>
    </xf>
    <xf numFmtId="168" fontId="3" fillId="5" borderId="1" xfId="2" applyNumberFormat="1" applyFont="1" applyFill="1" applyBorder="1" applyAlignment="1">
      <alignment horizontal="center"/>
    </xf>
    <xf numFmtId="168" fontId="3" fillId="0" borderId="1" xfId="2" applyNumberFormat="1" applyFont="1" applyFill="1" applyBorder="1"/>
    <xf numFmtId="0" fontId="3" fillId="0" borderId="0" xfId="0" applyNumberFormat="1" applyFont="1" applyBorder="1" applyAlignment="1" applyProtection="1">
      <alignment horizontal="left" vertical="center" wrapText="1"/>
    </xf>
    <xf numFmtId="0" fontId="3" fillId="0" borderId="17" xfId="0" applyFont="1" applyBorder="1" applyAlignment="1">
      <alignment horizontal="center" vertical="center" wrapText="1"/>
    </xf>
    <xf numFmtId="3" fontId="3" fillId="2" borderId="17" xfId="0" applyNumberFormat="1" applyFont="1" applyFill="1" applyBorder="1" applyAlignment="1" applyProtection="1">
      <alignment horizontal="center"/>
      <protection locked="0"/>
    </xf>
    <xf numFmtId="166" fontId="3" fillId="15" borderId="21" xfId="0" applyNumberFormat="1" applyFont="1" applyFill="1" applyBorder="1" applyAlignment="1" applyProtection="1">
      <alignment horizontal="center"/>
      <protection locked="0"/>
    </xf>
    <xf numFmtId="168" fontId="3" fillId="0" borderId="81" xfId="0" applyNumberFormat="1" applyFont="1" applyBorder="1" applyAlignment="1">
      <alignment horizontal="center"/>
    </xf>
    <xf numFmtId="0" fontId="2" fillId="0" borderId="1" xfId="0" applyFont="1" applyBorder="1"/>
    <xf numFmtId="166" fontId="3" fillId="0" borderId="1" xfId="0" applyNumberFormat="1" applyFont="1" applyBorder="1" applyAlignment="1">
      <alignment horizontal="center"/>
    </xf>
    <xf numFmtId="166" fontId="3" fillId="0" borderId="2" xfId="0" applyNumberFormat="1" applyFont="1" applyBorder="1" applyAlignment="1">
      <alignment horizontal="center"/>
    </xf>
    <xf numFmtId="168" fontId="3" fillId="0" borderId="60" xfId="0" applyNumberFormat="1" applyFont="1" applyBorder="1" applyAlignment="1">
      <alignment horizontal="center"/>
    </xf>
    <xf numFmtId="0" fontId="3" fillId="0" borderId="1" xfId="0" applyFont="1" applyBorder="1" applyAlignment="1">
      <alignment horizontal="center" vertical="center" wrapText="1"/>
    </xf>
    <xf numFmtId="3" fontId="3" fillId="2" borderId="1" xfId="0" applyNumberFormat="1" applyFont="1" applyFill="1" applyBorder="1" applyAlignment="1" applyProtection="1">
      <alignment horizontal="center"/>
      <protection locked="0"/>
    </xf>
    <xf numFmtId="3" fontId="3" fillId="0" borderId="2" xfId="0" applyNumberFormat="1" applyFont="1" applyFill="1" applyBorder="1" applyAlignment="1" applyProtection="1">
      <alignment horizontal="center"/>
    </xf>
    <xf numFmtId="0" fontId="3" fillId="0" borderId="13" xfId="0" applyFont="1" applyBorder="1" applyAlignment="1">
      <alignment horizontal="center" vertical="center" wrapText="1"/>
    </xf>
    <xf numFmtId="3" fontId="3" fillId="2" borderId="13" xfId="0" applyNumberFormat="1" applyFont="1" applyFill="1" applyBorder="1" applyAlignment="1" applyProtection="1">
      <alignment horizontal="center"/>
      <protection locked="0"/>
    </xf>
    <xf numFmtId="3" fontId="3" fillId="0" borderId="22" xfId="0" applyNumberFormat="1" applyFont="1" applyFill="1" applyBorder="1" applyAlignment="1" applyProtection="1">
      <alignment horizontal="center"/>
    </xf>
    <xf numFmtId="168" fontId="3" fillId="0" borderId="61" xfId="0" applyNumberFormat="1" applyFont="1" applyBorder="1" applyAlignment="1">
      <alignment horizontal="center"/>
    </xf>
    <xf numFmtId="0" fontId="3" fillId="0" borderId="0" xfId="0" applyFont="1" applyBorder="1" applyAlignment="1">
      <alignment horizontal="right" wrapText="1"/>
    </xf>
    <xf numFmtId="0" fontId="3" fillId="0" borderId="0" xfId="0" applyFont="1" applyBorder="1" applyAlignment="1">
      <alignment horizontal="center"/>
    </xf>
    <xf numFmtId="166" fontId="2" fillId="0" borderId="0" xfId="0" applyNumberFormat="1" applyFont="1" applyBorder="1" applyAlignment="1">
      <alignment horizontal="center"/>
    </xf>
    <xf numFmtId="168" fontId="3" fillId="0" borderId="78" xfId="0" applyNumberFormat="1" applyFont="1" applyBorder="1" applyAlignment="1">
      <alignment horizontal="center"/>
    </xf>
    <xf numFmtId="3" fontId="3" fillId="2" borderId="35" xfId="0" applyNumberFormat="1" applyFont="1" applyFill="1" applyBorder="1" applyAlignment="1" applyProtection="1">
      <alignment horizontal="center"/>
      <protection locked="0"/>
    </xf>
    <xf numFmtId="0" fontId="3" fillId="0" borderId="13" xfId="0" applyFont="1" applyFill="1" applyBorder="1" applyAlignment="1">
      <alignment horizontal="center" vertical="top" wrapText="1"/>
    </xf>
    <xf numFmtId="165" fontId="3" fillId="2" borderId="37" xfId="0" applyNumberFormat="1" applyFont="1" applyFill="1" applyBorder="1" applyAlignment="1" applyProtection="1">
      <alignment horizontal="center" vertical="top"/>
      <protection locked="0"/>
    </xf>
    <xf numFmtId="0" fontId="33" fillId="0" borderId="9" xfId="0" applyFont="1" applyFill="1" applyBorder="1" applyAlignment="1">
      <alignment horizontal="center"/>
    </xf>
    <xf numFmtId="0" fontId="33" fillId="0" borderId="55" xfId="0" applyFont="1" applyFill="1" applyBorder="1" applyAlignment="1">
      <alignment horizontal="center"/>
    </xf>
    <xf numFmtId="0" fontId="33" fillId="0" borderId="1" xfId="0" applyFont="1" applyFill="1" applyBorder="1" applyAlignment="1">
      <alignment horizontal="center"/>
    </xf>
    <xf numFmtId="0" fontId="33" fillId="0" borderId="36" xfId="0" applyFont="1" applyFill="1" applyBorder="1" applyAlignment="1">
      <alignment horizontal="center"/>
    </xf>
    <xf numFmtId="0" fontId="33" fillId="0" borderId="13" xfId="0" applyFont="1" applyFill="1" applyBorder="1" applyAlignment="1">
      <alignment horizontal="center"/>
    </xf>
    <xf numFmtId="0" fontId="33" fillId="0" borderId="37" xfId="0" applyFont="1" applyFill="1" applyBorder="1" applyAlignment="1">
      <alignment horizontal="center"/>
    </xf>
    <xf numFmtId="165" fontId="3" fillId="0" borderId="1" xfId="0" applyNumberFormat="1" applyFont="1" applyBorder="1" applyAlignment="1">
      <alignment horizontal="right"/>
    </xf>
    <xf numFmtId="166" fontId="3" fillId="2" borderId="1" xfId="0" applyNumberFormat="1" applyFont="1" applyFill="1" applyBorder="1"/>
    <xf numFmtId="165" fontId="3" fillId="0" borderId="9" xfId="0" applyNumberFormat="1" applyFont="1" applyBorder="1" applyAlignment="1">
      <alignment horizontal="right"/>
    </xf>
    <xf numFmtId="166" fontId="3" fillId="2" borderId="9" xfId="0" applyNumberFormat="1" applyFont="1" applyFill="1" applyBorder="1"/>
    <xf numFmtId="165" fontId="3" fillId="0" borderId="15" xfId="0" applyNumberFormat="1" applyFont="1" applyBorder="1" applyAlignment="1">
      <alignment horizontal="right"/>
    </xf>
    <xf numFmtId="166" fontId="3" fillId="2" borderId="15" xfId="0" applyNumberFormat="1" applyFont="1" applyFill="1" applyBorder="1"/>
    <xf numFmtId="0" fontId="2" fillId="3" borderId="5" xfId="0" applyFont="1" applyFill="1" applyBorder="1" applyAlignment="1"/>
    <xf numFmtId="0" fontId="2" fillId="3" borderId="6" xfId="0" applyFont="1" applyFill="1" applyBorder="1" applyAlignment="1"/>
    <xf numFmtId="165" fontId="2" fillId="3" borderId="9" xfId="0" applyNumberFormat="1" applyFont="1" applyFill="1" applyBorder="1" applyAlignment="1">
      <alignment horizontal="right"/>
    </xf>
    <xf numFmtId="166" fontId="2" fillId="2" borderId="7" xfId="0" applyNumberFormat="1" applyFont="1" applyFill="1" applyBorder="1"/>
    <xf numFmtId="166" fontId="3" fillId="2" borderId="39" xfId="0" applyNumberFormat="1" applyFont="1" applyFill="1" applyBorder="1"/>
    <xf numFmtId="166" fontId="3" fillId="2" borderId="4" xfId="0" applyNumberFormat="1" applyFont="1" applyFill="1" applyBorder="1"/>
    <xf numFmtId="166" fontId="3" fillId="2" borderId="44" xfId="0" applyNumberFormat="1" applyFont="1" applyFill="1" applyBorder="1"/>
    <xf numFmtId="166" fontId="2" fillId="2" borderId="9" xfId="0" applyNumberFormat="1" applyFont="1" applyFill="1" applyBorder="1"/>
    <xf numFmtId="165" fontId="3" fillId="0" borderId="2" xfId="0" applyNumberFormat="1" applyFont="1" applyBorder="1" applyAlignment="1">
      <alignment horizontal="right"/>
    </xf>
    <xf numFmtId="165" fontId="2" fillId="3" borderId="5" xfId="0" applyNumberFormat="1" applyFont="1" applyFill="1" applyBorder="1" applyAlignment="1">
      <alignment horizontal="right"/>
    </xf>
    <xf numFmtId="9" fontId="2" fillId="12" borderId="43" xfId="0" applyNumberFormat="1" applyFont="1" applyFill="1" applyBorder="1" applyAlignment="1">
      <alignment horizontal="right"/>
    </xf>
    <xf numFmtId="166" fontId="3" fillId="0" borderId="1" xfId="0" applyNumberFormat="1" applyFont="1" applyBorder="1" applyAlignment="1">
      <alignment horizontal="center" vertical="center"/>
    </xf>
    <xf numFmtId="165" fontId="3" fillId="0" borderId="1" xfId="0" applyNumberFormat="1" applyFont="1" applyBorder="1" applyAlignment="1">
      <alignment horizontal="center" vertical="center"/>
    </xf>
    <xf numFmtId="0" fontId="2" fillId="7" borderId="9" xfId="0" applyFont="1" applyFill="1" applyBorder="1" applyAlignment="1">
      <alignment horizontal="center" vertical="center" wrapText="1"/>
    </xf>
    <xf numFmtId="0" fontId="3" fillId="0" borderId="1" xfId="0" applyFont="1" applyBorder="1" applyAlignment="1">
      <alignment horizontal="right" wrapText="1"/>
    </xf>
    <xf numFmtId="9" fontId="3" fillId="0" borderId="1" xfId="0" applyNumberFormat="1" applyFont="1" applyBorder="1" applyAlignment="1">
      <alignment horizontal="center"/>
    </xf>
    <xf numFmtId="0" fontId="3" fillId="0" borderId="1" xfId="0" applyFont="1" applyBorder="1" applyAlignment="1">
      <alignment horizontal="right" vertical="top" wrapText="1"/>
    </xf>
    <xf numFmtId="9" fontId="3" fillId="0" borderId="1" xfId="0" applyNumberFormat="1" applyFont="1" applyBorder="1" applyAlignment="1">
      <alignment horizontal="center" vertical="top"/>
    </xf>
    <xf numFmtId="0" fontId="2" fillId="16" borderId="26" xfId="0" applyFont="1" applyFill="1" applyBorder="1" applyAlignment="1">
      <alignment horizontal="center" vertical="center" wrapText="1"/>
    </xf>
    <xf numFmtId="166" fontId="2" fillId="16" borderId="50" xfId="0" applyNumberFormat="1" applyFont="1" applyFill="1" applyBorder="1" applyAlignment="1">
      <alignment horizontal="center" vertical="center" wrapText="1"/>
    </xf>
    <xf numFmtId="0" fontId="8" fillId="4" borderId="2" xfId="0" applyFont="1" applyFill="1" applyBorder="1" applyAlignment="1"/>
    <xf numFmtId="0" fontId="8" fillId="4" borderId="3" xfId="0" applyFont="1" applyFill="1" applyBorder="1" applyAlignment="1"/>
    <xf numFmtId="0" fontId="8" fillId="4" borderId="4" xfId="0" applyFont="1" applyFill="1" applyBorder="1" applyAlignment="1"/>
    <xf numFmtId="0" fontId="8" fillId="4" borderId="2" xfId="0" applyFont="1" applyFill="1" applyBorder="1" applyAlignment="1">
      <alignment vertical="top"/>
    </xf>
    <xf numFmtId="0" fontId="8" fillId="4" borderId="3" xfId="0" applyFont="1" applyFill="1" applyBorder="1" applyAlignment="1">
      <alignment vertical="top"/>
    </xf>
    <xf numFmtId="0" fontId="8" fillId="4" borderId="4" xfId="0" applyFont="1" applyFill="1" applyBorder="1" applyAlignment="1">
      <alignment vertical="top"/>
    </xf>
    <xf numFmtId="0" fontId="8" fillId="4" borderId="5" xfId="0" applyFont="1" applyFill="1" applyBorder="1" applyAlignment="1"/>
    <xf numFmtId="0" fontId="8" fillId="4" borderId="6" xfId="0" applyFont="1" applyFill="1" applyBorder="1" applyAlignment="1"/>
    <xf numFmtId="0" fontId="8" fillId="4" borderId="39" xfId="0" applyFont="1" applyFill="1" applyBorder="1" applyAlignment="1"/>
    <xf numFmtId="166" fontId="1" fillId="16" borderId="72" xfId="0" applyNumberFormat="1" applyFont="1" applyFill="1" applyBorder="1" applyAlignment="1">
      <alignment horizontal="center" vertical="center" wrapText="1"/>
    </xf>
    <xf numFmtId="166" fontId="1" fillId="16" borderId="41" xfId="0" applyNumberFormat="1" applyFont="1" applyFill="1" applyBorder="1" applyAlignment="1">
      <alignment horizontal="center" vertical="center" wrapText="1"/>
    </xf>
    <xf numFmtId="166" fontId="1" fillId="16" borderId="42" xfId="0" applyNumberFormat="1" applyFont="1" applyFill="1" applyBorder="1" applyAlignment="1">
      <alignment horizontal="center" vertical="center" wrapText="1"/>
    </xf>
    <xf numFmtId="166" fontId="1" fillId="12" borderId="72" xfId="0" applyNumberFormat="1" applyFont="1" applyFill="1" applyBorder="1"/>
    <xf numFmtId="166" fontId="2" fillId="2" borderId="42" xfId="0" applyNumberFormat="1" applyFont="1" applyFill="1" applyBorder="1"/>
    <xf numFmtId="0" fontId="1" fillId="0" borderId="19" xfId="0" applyFont="1" applyFill="1" applyBorder="1" applyAlignment="1"/>
    <xf numFmtId="0" fontId="1" fillId="0" borderId="28" xfId="0" applyFont="1" applyFill="1" applyBorder="1" applyAlignment="1"/>
    <xf numFmtId="3" fontId="8" fillId="0" borderId="0" xfId="2" applyNumberFormat="1" applyFont="1" applyFill="1" applyBorder="1" applyAlignment="1">
      <alignment vertical="center" wrapText="1"/>
    </xf>
    <xf numFmtId="165" fontId="1" fillId="0" borderId="0" xfId="2" applyNumberFormat="1" applyFont="1" applyFill="1" applyBorder="1" applyAlignment="1">
      <alignment vertical="top" wrapText="1"/>
    </xf>
    <xf numFmtId="3" fontId="1" fillId="0" borderId="0" xfId="2" applyNumberFormat="1" applyFont="1" applyFill="1" applyBorder="1" applyAlignment="1">
      <alignment vertical="top" wrapText="1"/>
    </xf>
    <xf numFmtId="1" fontId="0" fillId="0" borderId="0" xfId="2" applyNumberFormat="1" applyFont="1" applyFill="1" applyBorder="1" applyAlignment="1">
      <alignment horizontal="center"/>
    </xf>
    <xf numFmtId="3" fontId="0" fillId="0" borderId="0" xfId="2" applyNumberFormat="1" applyFont="1" applyFill="1" applyBorder="1" applyAlignment="1">
      <alignment horizontal="center"/>
    </xf>
    <xf numFmtId="165" fontId="3" fillId="0" borderId="0" xfId="2" applyNumberFormat="1" applyFont="1" applyFill="1" applyBorder="1"/>
    <xf numFmtId="3" fontId="3" fillId="0" borderId="83" xfId="0" applyNumberFormat="1" applyFont="1" applyFill="1" applyBorder="1"/>
    <xf numFmtId="3" fontId="3" fillId="0" borderId="56" xfId="0" applyNumberFormat="1" applyFont="1" applyFill="1" applyBorder="1"/>
    <xf numFmtId="165" fontId="3" fillId="0" borderId="49" xfId="2" applyNumberFormat="1" applyFont="1" applyFill="1" applyBorder="1"/>
    <xf numFmtId="3" fontId="3" fillId="0" borderId="49" xfId="0" applyNumberFormat="1" applyFont="1" applyFill="1" applyBorder="1"/>
    <xf numFmtId="0" fontId="3" fillId="0" borderId="49" xfId="0" applyFont="1" applyFill="1" applyBorder="1"/>
    <xf numFmtId="166" fontId="3" fillId="0" borderId="48" xfId="0" applyNumberFormat="1" applyFont="1" applyFill="1" applyBorder="1"/>
    <xf numFmtId="3" fontId="2" fillId="7" borderId="78" xfId="0" applyNumberFormat="1" applyFont="1" applyFill="1" applyBorder="1" applyAlignment="1"/>
    <xf numFmtId="165" fontId="2" fillId="16" borderId="12" xfId="2" applyNumberFormat="1" applyFont="1" applyFill="1" applyBorder="1" applyAlignment="1">
      <alignment horizontal="center" vertical="center" wrapText="1"/>
    </xf>
    <xf numFmtId="3" fontId="2" fillId="16" borderId="37" xfId="2" applyNumberFormat="1" applyFont="1" applyFill="1" applyBorder="1" applyAlignment="1">
      <alignment horizontal="center" vertical="center" wrapText="1"/>
    </xf>
    <xf numFmtId="0" fontId="3" fillId="7" borderId="67" xfId="0" applyFont="1" applyFill="1" applyBorder="1" applyAlignment="1">
      <alignment horizontal="center" vertical="center"/>
    </xf>
    <xf numFmtId="0" fontId="3" fillId="7" borderId="68" xfId="0" applyFont="1" applyFill="1" applyBorder="1" applyAlignment="1">
      <alignment horizontal="center" vertical="center" wrapText="1"/>
    </xf>
    <xf numFmtId="168" fontId="3" fillId="7" borderId="67" xfId="0" applyNumberFormat="1" applyFont="1" applyFill="1" applyBorder="1" applyAlignment="1">
      <alignment horizontal="center" vertical="center" wrapText="1"/>
    </xf>
    <xf numFmtId="166" fontId="3" fillId="0" borderId="39" xfId="0" applyNumberFormat="1" applyFont="1" applyFill="1" applyBorder="1"/>
    <xf numFmtId="166" fontId="3" fillId="0" borderId="4" xfId="0" applyNumberFormat="1" applyFont="1" applyFill="1" applyBorder="1"/>
    <xf numFmtId="166" fontId="3" fillId="0" borderId="44" xfId="0" applyNumberFormat="1" applyFont="1" applyFill="1" applyBorder="1"/>
    <xf numFmtId="166" fontId="2" fillId="11" borderId="9" xfId="0" applyNumberFormat="1" applyFont="1" applyFill="1" applyBorder="1"/>
    <xf numFmtId="0" fontId="19" fillId="0" borderId="0" xfId="0" applyFont="1" applyBorder="1" applyAlignment="1">
      <alignment horizontal="right" wrapText="1"/>
    </xf>
    <xf numFmtId="0" fontId="2" fillId="11" borderId="54" xfId="0" applyFont="1" applyFill="1" applyBorder="1" applyAlignment="1">
      <alignment horizontal="center" vertical="center" wrapText="1"/>
    </xf>
    <xf numFmtId="0" fontId="2" fillId="11" borderId="9" xfId="0" applyFont="1" applyFill="1" applyBorder="1" applyAlignment="1">
      <alignment horizontal="center" vertical="center" wrapText="1"/>
    </xf>
    <xf numFmtId="168" fontId="2" fillId="11" borderId="55" xfId="0" applyNumberFormat="1" applyFont="1" applyFill="1" applyBorder="1" applyAlignment="1">
      <alignment horizontal="center" vertical="center" wrapText="1"/>
    </xf>
    <xf numFmtId="0" fontId="3" fillId="0" borderId="11" xfId="0" applyFont="1" applyBorder="1" applyAlignment="1">
      <alignment horizontal="left" vertical="center" wrapText="1"/>
    </xf>
    <xf numFmtId="0" fontId="3" fillId="0" borderId="1" xfId="0" applyFont="1" applyBorder="1" applyAlignment="1">
      <alignment horizontal="left" vertical="center" wrapText="1"/>
    </xf>
    <xf numFmtId="0" fontId="3" fillId="0" borderId="12" xfId="0" applyFont="1" applyBorder="1" applyAlignment="1">
      <alignment horizontal="left" vertical="center" wrapText="1"/>
    </xf>
    <xf numFmtId="0" fontId="3" fillId="0" borderId="13" xfId="0" applyFont="1" applyBorder="1" applyAlignment="1">
      <alignment horizontal="left" vertical="center" wrapText="1"/>
    </xf>
    <xf numFmtId="3" fontId="3" fillId="0" borderId="36" xfId="0" applyNumberFormat="1" applyFont="1" applyBorder="1" applyAlignment="1">
      <alignment horizontal="center" vertical="center" wrapText="1"/>
    </xf>
    <xf numFmtId="3" fontId="3" fillId="0" borderId="37" xfId="0" applyNumberFormat="1" applyFont="1" applyBorder="1" applyAlignment="1">
      <alignment horizontal="center" vertical="center" wrapText="1"/>
    </xf>
    <xf numFmtId="0" fontId="3" fillId="5" borderId="1" xfId="0" applyFont="1" applyFill="1" applyBorder="1" applyAlignment="1" applyProtection="1">
      <alignment horizontal="center" vertical="center" wrapText="1"/>
      <protection locked="0"/>
    </xf>
    <xf numFmtId="0" fontId="3" fillId="5" borderId="13" xfId="0" applyFont="1" applyFill="1" applyBorder="1" applyAlignment="1" applyProtection="1">
      <alignment horizontal="center" vertical="center" wrapText="1"/>
      <protection locked="0"/>
    </xf>
    <xf numFmtId="3" fontId="3" fillId="0" borderId="24" xfId="0" applyNumberFormat="1" applyFont="1" applyFill="1" applyBorder="1" applyProtection="1">
      <protection locked="0"/>
    </xf>
    <xf numFmtId="9" fontId="3" fillId="0" borderId="1" xfId="2" applyFont="1" applyFill="1" applyBorder="1" applyProtection="1">
      <protection locked="0"/>
    </xf>
    <xf numFmtId="3" fontId="3" fillId="0" borderId="1" xfId="2" applyNumberFormat="1" applyFont="1" applyFill="1" applyBorder="1" applyProtection="1">
      <protection locked="0"/>
    </xf>
    <xf numFmtId="3" fontId="3" fillId="0" borderId="1" xfId="0" applyNumberFormat="1" applyFont="1" applyFill="1" applyBorder="1" applyProtection="1">
      <protection locked="0"/>
    </xf>
    <xf numFmtId="3" fontId="33" fillId="0" borderId="1" xfId="0" applyNumberFormat="1" applyFont="1" applyFill="1" applyBorder="1" applyProtection="1">
      <protection locked="0"/>
    </xf>
    <xf numFmtId="0" fontId="0" fillId="0" borderId="0" xfId="0" applyFill="1" applyBorder="1" applyAlignment="1">
      <alignment horizontal="center" vertical="center"/>
    </xf>
    <xf numFmtId="0" fontId="2" fillId="0" borderId="0" xfId="0" applyFont="1" applyFill="1" applyBorder="1" applyAlignment="1">
      <alignment horizontal="left" vertical="center"/>
    </xf>
    <xf numFmtId="9" fontId="3" fillId="0" borderId="8" xfId="2" applyFont="1" applyFill="1" applyBorder="1" applyProtection="1">
      <protection locked="0"/>
    </xf>
    <xf numFmtId="0" fontId="3" fillId="0" borderId="1" xfId="0" applyFont="1" applyFill="1" applyBorder="1" applyProtection="1">
      <protection locked="0"/>
    </xf>
    <xf numFmtId="170" fontId="3" fillId="0" borderId="1" xfId="0" applyNumberFormat="1" applyFont="1" applyFill="1" applyBorder="1" applyAlignment="1">
      <alignment horizontal="center" vertical="center" wrapText="1"/>
    </xf>
    <xf numFmtId="0" fontId="5" fillId="0" borderId="0" xfId="1" applyAlignment="1" applyProtection="1">
      <alignment wrapText="1"/>
    </xf>
    <xf numFmtId="0" fontId="5" fillId="0" borderId="1" xfId="1" applyBorder="1" applyAlignment="1" applyProtection="1"/>
    <xf numFmtId="3" fontId="33" fillId="2" borderId="1" xfId="0" applyNumberFormat="1" applyFont="1" applyFill="1" applyBorder="1" applyProtection="1"/>
    <xf numFmtId="0" fontId="3" fillId="0" borderId="13" xfId="0" applyFont="1" applyBorder="1" applyAlignment="1">
      <alignment horizontal="center"/>
    </xf>
    <xf numFmtId="49" fontId="2" fillId="0" borderId="16" xfId="2" applyNumberFormat="1" applyFont="1" applyFill="1" applyBorder="1" applyAlignment="1">
      <alignment horizontal="center" vertical="center"/>
    </xf>
    <xf numFmtId="1" fontId="2" fillId="0" borderId="17" xfId="2" applyNumberFormat="1" applyFont="1" applyFill="1" applyBorder="1" applyAlignment="1">
      <alignment horizontal="center" vertical="center"/>
    </xf>
    <xf numFmtId="1" fontId="2" fillId="0" borderId="17" xfId="0" applyNumberFormat="1" applyFont="1" applyFill="1" applyBorder="1" applyAlignment="1">
      <alignment horizontal="center" vertical="center"/>
    </xf>
    <xf numFmtId="0" fontId="2" fillId="0" borderId="35" xfId="0" applyFont="1" applyFill="1" applyBorder="1" applyAlignment="1">
      <alignment horizontal="center" vertical="center"/>
    </xf>
    <xf numFmtId="0" fontId="5" fillId="0" borderId="37" xfId="1" applyBorder="1" applyAlignment="1" applyProtection="1">
      <alignment horizontal="center"/>
    </xf>
    <xf numFmtId="0" fontId="3" fillId="0" borderId="0" xfId="0" applyFont="1" applyBorder="1" applyAlignment="1">
      <alignment vertical="top"/>
    </xf>
    <xf numFmtId="0" fontId="3" fillId="0" borderId="0" xfId="0" applyFont="1" applyBorder="1" applyAlignment="1">
      <alignment horizontal="center" vertical="top"/>
    </xf>
    <xf numFmtId="0" fontId="5" fillId="0" borderId="0" xfId="1" applyBorder="1" applyAlignment="1" applyProtection="1">
      <alignment vertical="top"/>
    </xf>
    <xf numFmtId="0" fontId="34" fillId="0" borderId="0" xfId="1" applyFont="1" applyBorder="1" applyAlignment="1" applyProtection="1">
      <alignment vertical="top" wrapText="1"/>
    </xf>
    <xf numFmtId="0" fontId="5" fillId="0" borderId="0" xfId="1" applyFill="1" applyBorder="1" applyAlignment="1" applyProtection="1">
      <alignment horizontal="left" vertical="top"/>
    </xf>
    <xf numFmtId="0" fontId="34" fillId="0" borderId="0" xfId="1" applyFont="1" applyBorder="1" applyAlignment="1" applyProtection="1">
      <alignment vertical="top" wrapText="1"/>
    </xf>
    <xf numFmtId="0" fontId="5" fillId="0" borderId="0" xfId="1" applyBorder="1" applyAlignment="1" applyProtection="1">
      <alignment horizontal="left" vertical="top"/>
    </xf>
    <xf numFmtId="0" fontId="3" fillId="0" borderId="1" xfId="0" applyFont="1" applyBorder="1" applyAlignment="1">
      <alignment horizontal="center" vertical="center"/>
    </xf>
    <xf numFmtId="8" fontId="45" fillId="0" borderId="1" xfId="0" applyNumberFormat="1" applyFont="1" applyBorder="1" applyAlignment="1">
      <alignment horizontal="center"/>
    </xf>
    <xf numFmtId="172" fontId="45" fillId="0" borderId="1" xfId="0" applyNumberFormat="1" applyFont="1" applyBorder="1" applyAlignment="1">
      <alignment horizontal="center"/>
    </xf>
    <xf numFmtId="0" fontId="2" fillId="0" borderId="2" xfId="0" applyFont="1" applyFill="1" applyBorder="1" applyAlignment="1"/>
    <xf numFmtId="3" fontId="3" fillId="17" borderId="24" xfId="0" applyNumberFormat="1" applyFont="1" applyFill="1" applyBorder="1" applyProtection="1">
      <protection locked="0"/>
    </xf>
    <xf numFmtId="9" fontId="3" fillId="17" borderId="1" xfId="2" applyFont="1" applyFill="1" applyBorder="1" applyProtection="1">
      <protection locked="0"/>
    </xf>
    <xf numFmtId="0" fontId="2" fillId="0" borderId="2" xfId="0" applyFont="1" applyFill="1" applyBorder="1" applyAlignment="1">
      <alignment horizontal="left"/>
    </xf>
    <xf numFmtId="0" fontId="2" fillId="0" borderId="21" xfId="0" applyFont="1" applyFill="1" applyBorder="1" applyAlignment="1"/>
    <xf numFmtId="0" fontId="2" fillId="0" borderId="30" xfId="0" applyFont="1" applyFill="1" applyBorder="1" applyAlignment="1"/>
    <xf numFmtId="9" fontId="3" fillId="2" borderId="8" xfId="2" applyFont="1" applyFill="1" applyBorder="1" applyProtection="1">
      <protection locked="0"/>
    </xf>
    <xf numFmtId="0" fontId="0" fillId="0" borderId="0" xfId="0" applyBorder="1" applyAlignment="1"/>
    <xf numFmtId="168" fontId="3" fillId="5" borderId="1" xfId="2" applyNumberFormat="1" applyFont="1" applyFill="1" applyBorder="1" applyProtection="1">
      <protection locked="0"/>
    </xf>
    <xf numFmtId="0" fontId="5" fillId="0" borderId="0" xfId="1" applyFill="1" applyAlignment="1" applyProtection="1"/>
    <xf numFmtId="3" fontId="1" fillId="7" borderId="0" xfId="0" applyNumberFormat="1" applyFont="1" applyFill="1" applyBorder="1" applyAlignment="1">
      <alignment wrapText="1"/>
    </xf>
    <xf numFmtId="3" fontId="39" fillId="7" borderId="0" xfId="0" applyNumberFormat="1" applyFont="1" applyFill="1" applyBorder="1" applyAlignment="1"/>
    <xf numFmtId="3" fontId="0" fillId="0" borderId="1" xfId="0" applyNumberFormat="1" applyFill="1" applyBorder="1"/>
    <xf numFmtId="0" fontId="0" fillId="0" borderId="1" xfId="0" applyFill="1" applyBorder="1"/>
    <xf numFmtId="0" fontId="1" fillId="0" borderId="1" xfId="0" applyFont="1" applyFill="1" applyBorder="1" applyAlignment="1">
      <alignment horizontal="center"/>
    </xf>
    <xf numFmtId="0" fontId="1" fillId="0" borderId="1" xfId="0" applyFont="1" applyFill="1" applyBorder="1" applyAlignment="1">
      <alignment horizontal="center" wrapText="1"/>
    </xf>
    <xf numFmtId="0" fontId="32" fillId="0" borderId="1" xfId="1" applyFont="1" applyBorder="1" applyAlignment="1" applyProtection="1">
      <alignment horizontal="center" vertical="center" wrapText="1"/>
    </xf>
    <xf numFmtId="166" fontId="32" fillId="0" borderId="1" xfId="1" applyNumberFormat="1" applyFont="1" applyBorder="1" applyAlignment="1" applyProtection="1">
      <alignment horizontal="center" vertical="center" wrapText="1"/>
    </xf>
    <xf numFmtId="2" fontId="0" fillId="0" borderId="1" xfId="0" applyNumberFormat="1" applyFill="1" applyBorder="1" applyAlignment="1">
      <alignment horizontal="center" vertical="center"/>
    </xf>
    <xf numFmtId="0" fontId="0" fillId="0" borderId="1" xfId="0" applyFill="1" applyBorder="1" applyAlignment="1">
      <alignment horizontal="center" vertical="center"/>
    </xf>
    <xf numFmtId="0" fontId="2" fillId="0" borderId="17" xfId="0" applyFont="1" applyFill="1" applyBorder="1" applyAlignment="1">
      <alignment horizontal="center" vertical="center"/>
    </xf>
    <xf numFmtId="0" fontId="1" fillId="0" borderId="17" xfId="0" applyFont="1" applyFill="1" applyBorder="1" applyAlignment="1">
      <alignment horizontal="center" vertical="center"/>
    </xf>
    <xf numFmtId="3" fontId="0" fillId="0" borderId="17" xfId="0" applyNumberFormat="1" applyFill="1" applyBorder="1"/>
    <xf numFmtId="0" fontId="0" fillId="0" borderId="17" xfId="0" applyFill="1" applyBorder="1"/>
    <xf numFmtId="0" fontId="1" fillId="0" borderId="17" xfId="0" applyFont="1" applyFill="1" applyBorder="1" applyAlignment="1">
      <alignment horizontal="center"/>
    </xf>
    <xf numFmtId="168" fontId="0" fillId="0" borderId="13" xfId="0" applyNumberFormat="1" applyBorder="1" applyAlignment="1">
      <alignment horizontal="center"/>
    </xf>
    <xf numFmtId="0" fontId="0" fillId="0" borderId="13" xfId="0" applyFill="1" applyBorder="1"/>
    <xf numFmtId="0" fontId="0" fillId="0" borderId="13" xfId="0" applyFill="1" applyBorder="1" applyAlignment="1">
      <alignment horizontal="center"/>
    </xf>
    <xf numFmtId="0" fontId="3" fillId="0" borderId="54" xfId="0" applyFont="1" applyFill="1" applyBorder="1" applyAlignment="1">
      <alignment wrapText="1"/>
    </xf>
    <xf numFmtId="49" fontId="3" fillId="0" borderId="9" xfId="0" applyNumberFormat="1" applyFont="1" applyFill="1" applyBorder="1" applyAlignment="1">
      <alignment horizontal="center" vertical="center" wrapText="1"/>
    </xf>
    <xf numFmtId="166" fontId="0" fillId="11" borderId="0" xfId="0" applyNumberFormat="1" applyFill="1" applyBorder="1" applyAlignment="1">
      <alignment horizontal="center" wrapText="1"/>
    </xf>
    <xf numFmtId="0" fontId="0" fillId="11" borderId="0" xfId="0" applyFill="1" applyBorder="1" applyAlignment="1">
      <alignment wrapText="1"/>
    </xf>
    <xf numFmtId="0" fontId="3" fillId="0" borderId="1" xfId="0" applyFont="1" applyFill="1" applyBorder="1" applyAlignment="1">
      <alignment horizontal="center" wrapText="1"/>
    </xf>
    <xf numFmtId="166" fontId="0" fillId="0" borderId="1" xfId="0" applyNumberFormat="1" applyBorder="1" applyAlignment="1">
      <alignment horizontal="center" wrapText="1"/>
    </xf>
    <xf numFmtId="0" fontId="0" fillId="0" borderId="1" xfId="0" applyBorder="1" applyAlignment="1">
      <alignment wrapText="1"/>
    </xf>
    <xf numFmtId="0" fontId="5" fillId="17" borderId="1" xfId="1" applyFill="1" applyBorder="1" applyAlignment="1" applyProtection="1">
      <alignment wrapText="1"/>
    </xf>
    <xf numFmtId="0" fontId="5" fillId="0" borderId="1" xfId="1" applyBorder="1" applyAlignment="1" applyProtection="1">
      <alignment wrapText="1"/>
    </xf>
    <xf numFmtId="166" fontId="8" fillId="11" borderId="43" xfId="0" applyNumberFormat="1" applyFont="1" applyFill="1" applyBorder="1" applyAlignment="1">
      <alignment horizontal="center" vertical="center" wrapText="1"/>
    </xf>
    <xf numFmtId="166" fontId="10" fillId="11" borderId="43" xfId="0" applyNumberFormat="1" applyFont="1" applyFill="1" applyBorder="1" applyAlignment="1">
      <alignment horizontal="center" vertical="center" wrapText="1"/>
    </xf>
    <xf numFmtId="166" fontId="3" fillId="0" borderId="5" xfId="0" applyNumberFormat="1" applyFont="1" applyFill="1" applyBorder="1" applyAlignment="1" applyProtection="1">
      <alignment horizontal="center" wrapText="1"/>
    </xf>
    <xf numFmtId="166" fontId="3" fillId="0" borderId="2" xfId="0" applyNumberFormat="1" applyFont="1" applyFill="1" applyBorder="1" applyAlignment="1" applyProtection="1">
      <alignment horizontal="center" wrapText="1"/>
    </xf>
    <xf numFmtId="166" fontId="3" fillId="0" borderId="22" xfId="0" applyNumberFormat="1" applyFont="1" applyFill="1" applyBorder="1" applyAlignment="1" applyProtection="1">
      <alignment horizontal="center" wrapText="1"/>
    </xf>
    <xf numFmtId="166" fontId="2" fillId="0" borderId="52" xfId="0" applyNumberFormat="1" applyFont="1" applyBorder="1" applyAlignment="1" applyProtection="1">
      <alignment horizontal="center" wrapText="1"/>
    </xf>
    <xf numFmtId="166" fontId="2" fillId="0" borderId="52" xfId="0" applyNumberFormat="1" applyFont="1" applyFill="1" applyBorder="1" applyAlignment="1">
      <alignment horizontal="center" wrapText="1"/>
    </xf>
    <xf numFmtId="0" fontId="8" fillId="16" borderId="0" xfId="0" applyFont="1" applyFill="1" applyBorder="1" applyAlignment="1">
      <alignment horizontal="center" wrapText="1"/>
    </xf>
    <xf numFmtId="166" fontId="10" fillId="11" borderId="0" xfId="0" applyNumberFormat="1" applyFont="1" applyFill="1" applyBorder="1" applyAlignment="1">
      <alignment horizontal="center" wrapText="1"/>
    </xf>
    <xf numFmtId="166" fontId="3" fillId="0" borderId="0" xfId="0" applyNumberFormat="1" applyFont="1" applyFill="1" applyBorder="1" applyAlignment="1" applyProtection="1">
      <alignment horizontal="center" wrapText="1"/>
    </xf>
    <xf numFmtId="166" fontId="2" fillId="0" borderId="0" xfId="0" applyNumberFormat="1" applyFont="1" applyBorder="1" applyAlignment="1" applyProtection="1">
      <alignment horizontal="center" wrapText="1"/>
    </xf>
    <xf numFmtId="0" fontId="8" fillId="7" borderId="0" xfId="0" applyFont="1" applyFill="1" applyBorder="1" applyAlignment="1">
      <alignment horizontal="center" wrapText="1"/>
    </xf>
    <xf numFmtId="0" fontId="31" fillId="0" borderId="0" xfId="0" applyFont="1" applyBorder="1" applyAlignment="1">
      <alignment vertical="top" wrapText="1"/>
    </xf>
    <xf numFmtId="166" fontId="8" fillId="11" borderId="0" xfId="0" applyNumberFormat="1" applyFont="1" applyFill="1" applyBorder="1" applyAlignment="1">
      <alignment vertical="center" wrapText="1"/>
    </xf>
    <xf numFmtId="166" fontId="1" fillId="11" borderId="0" xfId="0" applyNumberFormat="1" applyFont="1" applyFill="1" applyBorder="1" applyAlignment="1">
      <alignment horizontal="center" vertical="center" wrapText="1"/>
    </xf>
    <xf numFmtId="166" fontId="0" fillId="0" borderId="0" xfId="0" applyNumberFormat="1" applyBorder="1" applyAlignment="1" applyProtection="1">
      <alignment horizontal="center" wrapText="1"/>
    </xf>
    <xf numFmtId="0" fontId="0" fillId="0" borderId="1" xfId="0" applyBorder="1" applyAlignment="1">
      <alignment horizontal="center" wrapText="1"/>
    </xf>
    <xf numFmtId="8" fontId="0" fillId="0" borderId="1" xfId="0" applyNumberFormat="1" applyBorder="1" applyAlignment="1">
      <alignment horizontal="center" wrapText="1"/>
    </xf>
    <xf numFmtId="0" fontId="33" fillId="0" borderId="1" xfId="0" applyFont="1" applyFill="1" applyBorder="1" applyAlignment="1">
      <alignment horizontal="left" vertical="top" wrapText="1"/>
    </xf>
    <xf numFmtId="0" fontId="33" fillId="0" borderId="1" xfId="0" applyFont="1" applyBorder="1" applyAlignment="1">
      <alignment horizontal="left" vertical="top" wrapText="1"/>
    </xf>
    <xf numFmtId="0" fontId="33" fillId="0" borderId="0" xfId="0" applyFont="1" applyBorder="1" applyAlignment="1">
      <alignment vertical="top" wrapText="1"/>
    </xf>
    <xf numFmtId="0" fontId="46" fillId="0" borderId="13" xfId="1" applyFont="1" applyFill="1" applyBorder="1" applyAlignment="1" applyProtection="1">
      <alignment horizontal="center"/>
    </xf>
    <xf numFmtId="4" fontId="0" fillId="0" borderId="1" xfId="0" applyNumberFormat="1" applyFill="1" applyBorder="1" applyAlignment="1">
      <alignment horizontal="center" vertical="center"/>
    </xf>
    <xf numFmtId="1" fontId="1" fillId="0" borderId="1" xfId="0" applyNumberFormat="1" applyFont="1" applyFill="1" applyBorder="1" applyAlignment="1">
      <alignment horizontal="center"/>
    </xf>
    <xf numFmtId="1" fontId="1" fillId="0" borderId="17" xfId="0" applyNumberFormat="1" applyFont="1" applyFill="1" applyBorder="1" applyAlignment="1">
      <alignment horizontal="center"/>
    </xf>
    <xf numFmtId="0" fontId="46" fillId="0" borderId="1" xfId="1" applyFont="1" applyFill="1" applyBorder="1" applyAlignment="1" applyProtection="1">
      <alignment horizontal="center" vertical="center" wrapText="1"/>
    </xf>
    <xf numFmtId="166" fontId="0" fillId="0" borderId="13" xfId="0" applyNumberFormat="1" applyFill="1" applyBorder="1" applyAlignment="1">
      <alignment horizontal="center"/>
    </xf>
    <xf numFmtId="49" fontId="5" fillId="0" borderId="37" xfId="1" applyNumberFormat="1" applyBorder="1" applyAlignment="1" applyProtection="1">
      <alignment horizontal="center" wrapText="1"/>
      <protection locked="0"/>
    </xf>
    <xf numFmtId="173" fontId="0" fillId="0" borderId="17" xfId="0" applyNumberFormat="1" applyBorder="1" applyAlignment="1">
      <alignment horizontal="center" wrapText="1"/>
    </xf>
    <xf numFmtId="3" fontId="3" fillId="0" borderId="35" xfId="0" applyNumberFormat="1" applyFont="1" applyFill="1" applyBorder="1" applyAlignment="1" applyProtection="1">
      <alignment horizontal="center" vertical="center" wrapText="1"/>
      <protection locked="0"/>
    </xf>
    <xf numFmtId="3" fontId="3" fillId="0" borderId="55" xfId="0" applyNumberFormat="1" applyFont="1" applyFill="1" applyBorder="1" applyAlignment="1" applyProtection="1">
      <alignment horizontal="center" vertical="center" wrapText="1"/>
      <protection locked="0"/>
    </xf>
    <xf numFmtId="3" fontId="3" fillId="0" borderId="36" xfId="0" applyNumberFormat="1" applyFont="1" applyFill="1" applyBorder="1" applyAlignment="1" applyProtection="1">
      <alignment horizontal="center" vertical="center" wrapText="1"/>
      <protection locked="0"/>
    </xf>
    <xf numFmtId="3" fontId="3" fillId="0" borderId="58" xfId="0" applyNumberFormat="1" applyFont="1" applyFill="1" applyBorder="1" applyAlignment="1" applyProtection="1">
      <alignment horizontal="center" vertical="center" wrapText="1"/>
      <protection locked="0"/>
    </xf>
    <xf numFmtId="0" fontId="3" fillId="0" borderId="1" xfId="0" applyFont="1" applyFill="1" applyBorder="1" applyAlignment="1" applyProtection="1">
      <alignment horizontal="left" vertical="top"/>
      <protection locked="0"/>
    </xf>
    <xf numFmtId="0" fontId="3" fillId="0" borderId="1" xfId="0" applyFont="1" applyBorder="1" applyAlignment="1" applyProtection="1">
      <alignment horizontal="left" vertical="top" wrapText="1"/>
      <protection locked="0"/>
    </xf>
    <xf numFmtId="0" fontId="8" fillId="16" borderId="40" xfId="0" applyFont="1" applyFill="1" applyBorder="1" applyAlignment="1">
      <alignment horizontal="center" vertical="center" wrapText="1"/>
    </xf>
    <xf numFmtId="0" fontId="8" fillId="16" borderId="41" xfId="0" applyFont="1" applyFill="1" applyBorder="1" applyAlignment="1">
      <alignment horizontal="center" vertical="center" wrapText="1"/>
    </xf>
    <xf numFmtId="0" fontId="31" fillId="0" borderId="0" xfId="0" applyFont="1" applyBorder="1" applyAlignment="1">
      <alignment horizontal="center" vertical="top" wrapText="1"/>
    </xf>
    <xf numFmtId="0" fontId="8" fillId="16" borderId="40" xfId="0" applyFont="1" applyFill="1" applyBorder="1" applyAlignment="1">
      <alignment horizontal="center" wrapText="1"/>
    </xf>
    <xf numFmtId="0" fontId="8" fillId="16" borderId="41" xfId="0" applyFont="1" applyFill="1" applyBorder="1" applyAlignment="1">
      <alignment horizontal="center" wrapText="1"/>
    </xf>
    <xf numFmtId="0" fontId="8" fillId="16" borderId="42" xfId="0" applyFont="1" applyFill="1" applyBorder="1" applyAlignment="1">
      <alignment horizontal="center" wrapText="1"/>
    </xf>
    <xf numFmtId="0" fontId="8" fillId="7" borderId="40" xfId="0" applyFont="1" applyFill="1" applyBorder="1" applyAlignment="1">
      <alignment horizontal="center" wrapText="1"/>
    </xf>
    <xf numFmtId="0" fontId="8" fillId="7" borderId="41" xfId="0" applyFont="1" applyFill="1" applyBorder="1" applyAlignment="1">
      <alignment horizontal="center" wrapText="1"/>
    </xf>
    <xf numFmtId="0" fontId="8" fillId="7" borderId="42" xfId="0" applyFont="1" applyFill="1" applyBorder="1" applyAlignment="1">
      <alignment horizontal="center" wrapText="1"/>
    </xf>
    <xf numFmtId="49" fontId="10" fillId="11" borderId="0" xfId="0" applyNumberFormat="1" applyFont="1" applyFill="1" applyBorder="1" applyAlignment="1">
      <alignment horizontal="center" wrapText="1"/>
    </xf>
    <xf numFmtId="0" fontId="8" fillId="0" borderId="16" xfId="0" applyFont="1" applyBorder="1" applyAlignment="1">
      <alignment horizontal="center" vertical="center" textRotation="90" wrapText="1"/>
    </xf>
    <xf numFmtId="0" fontId="8" fillId="0" borderId="12" xfId="0" applyFont="1" applyBorder="1" applyAlignment="1">
      <alignment horizontal="center" vertical="center" textRotation="90" wrapText="1"/>
    </xf>
    <xf numFmtId="0" fontId="8" fillId="0" borderId="54" xfId="0" applyFont="1" applyBorder="1" applyAlignment="1">
      <alignment horizontal="center" vertical="center" textRotation="90" wrapText="1"/>
    </xf>
    <xf numFmtId="0" fontId="8" fillId="0" borderId="11" xfId="0" applyFont="1" applyBorder="1" applyAlignment="1">
      <alignment horizontal="center" vertical="center" textRotation="90" wrapText="1"/>
    </xf>
    <xf numFmtId="3" fontId="8" fillId="16" borderId="64" xfId="2" applyNumberFormat="1" applyFont="1" applyFill="1" applyBorder="1" applyAlignment="1">
      <alignment horizontal="center" vertical="center" wrapText="1"/>
    </xf>
    <xf numFmtId="3" fontId="8" fillId="16" borderId="66" xfId="2" applyNumberFormat="1" applyFont="1" applyFill="1" applyBorder="1" applyAlignment="1">
      <alignment horizontal="center" vertical="center" wrapText="1"/>
    </xf>
    <xf numFmtId="0" fontId="8" fillId="7" borderId="54" xfId="0" applyFont="1" applyFill="1" applyBorder="1" applyAlignment="1">
      <alignment horizontal="center" vertical="center" textRotation="90" wrapText="1"/>
    </xf>
    <xf numFmtId="0" fontId="8" fillId="7" borderId="11" xfId="0" applyFont="1" applyFill="1" applyBorder="1" applyAlignment="1">
      <alignment horizontal="center" vertical="center" textRotation="90"/>
    </xf>
    <xf numFmtId="0" fontId="8" fillId="7" borderId="20" xfId="0" applyFont="1" applyFill="1" applyBorder="1" applyAlignment="1">
      <alignment horizontal="center" vertical="center" textRotation="90"/>
    </xf>
    <xf numFmtId="0" fontId="8" fillId="7" borderId="12" xfId="0" applyFont="1" applyFill="1" applyBorder="1" applyAlignment="1">
      <alignment horizontal="center" vertical="center" textRotation="90"/>
    </xf>
    <xf numFmtId="0" fontId="8" fillId="7" borderId="16" xfId="0" applyFont="1" applyFill="1" applyBorder="1" applyAlignment="1">
      <alignment horizontal="center" vertical="center" textRotation="90"/>
    </xf>
    <xf numFmtId="0" fontId="8" fillId="16" borderId="16" xfId="0" applyFont="1" applyFill="1" applyBorder="1" applyAlignment="1">
      <alignment horizontal="center" vertical="top" wrapText="1"/>
    </xf>
    <xf numFmtId="0" fontId="8" fillId="16" borderId="35" xfId="0" applyFont="1" applyFill="1" applyBorder="1" applyAlignment="1">
      <alignment horizontal="center" vertical="top"/>
    </xf>
    <xf numFmtId="49" fontId="10" fillId="16" borderId="84" xfId="0" applyNumberFormat="1" applyFont="1" applyFill="1" applyBorder="1" applyAlignment="1">
      <alignment horizontal="center" vertical="top" wrapText="1"/>
    </xf>
    <xf numFmtId="0" fontId="0" fillId="0" borderId="0" xfId="0" applyBorder="1" applyAlignment="1"/>
    <xf numFmtId="0" fontId="0" fillId="0" borderId="0" xfId="0" applyAlignment="1"/>
    <xf numFmtId="49" fontId="10" fillId="16" borderId="84" xfId="0" applyNumberFormat="1" applyFont="1" applyFill="1" applyBorder="1" applyAlignment="1">
      <alignment horizontal="center" wrapText="1"/>
    </xf>
    <xf numFmtId="49" fontId="10" fillId="16" borderId="0" xfId="0" applyNumberFormat="1" applyFont="1" applyFill="1" applyBorder="1" applyAlignment="1">
      <alignment horizontal="center" wrapText="1"/>
    </xf>
    <xf numFmtId="0" fontId="39" fillId="16" borderId="33" xfId="0" applyFont="1" applyFill="1" applyBorder="1" applyAlignment="1">
      <alignment horizontal="center" wrapText="1"/>
    </xf>
    <xf numFmtId="0" fontId="39" fillId="16" borderId="19" xfId="0" applyFont="1" applyFill="1" applyBorder="1" applyAlignment="1">
      <alignment horizontal="center" wrapText="1"/>
    </xf>
    <xf numFmtId="0" fontId="39" fillId="7" borderId="40" xfId="0" applyFont="1" applyFill="1" applyBorder="1" applyAlignment="1">
      <alignment horizontal="center" vertical="center"/>
    </xf>
    <xf numFmtId="0" fontId="39" fillId="7" borderId="41" xfId="0" applyFont="1" applyFill="1" applyBorder="1" applyAlignment="1">
      <alignment horizontal="center" vertical="center"/>
    </xf>
    <xf numFmtId="0" fontId="39" fillId="7" borderId="42" xfId="0" applyFont="1" applyFill="1" applyBorder="1" applyAlignment="1">
      <alignment horizontal="center" vertical="center"/>
    </xf>
    <xf numFmtId="0" fontId="8" fillId="7" borderId="16" xfId="0" applyFont="1" applyFill="1" applyBorder="1" applyAlignment="1">
      <alignment horizontal="center" vertical="center" textRotation="90" wrapText="1"/>
    </xf>
    <xf numFmtId="0" fontId="1" fillId="7" borderId="16" xfId="0" applyFont="1" applyFill="1" applyBorder="1" applyAlignment="1">
      <alignment horizontal="center"/>
    </xf>
    <xf numFmtId="0" fontId="1" fillId="7" borderId="12" xfId="0" applyFont="1" applyFill="1" applyBorder="1" applyAlignment="1">
      <alignment horizontal="center"/>
    </xf>
    <xf numFmtId="0" fontId="2" fillId="7" borderId="35" xfId="0" applyFont="1" applyFill="1" applyBorder="1" applyAlignment="1">
      <alignment horizontal="center" wrapText="1"/>
    </xf>
    <xf numFmtId="0" fontId="2" fillId="7" borderId="37" xfId="0" applyFont="1" applyFill="1" applyBorder="1" applyAlignment="1">
      <alignment horizontal="center" wrapText="1"/>
    </xf>
    <xf numFmtId="0" fontId="2" fillId="7" borderId="40" xfId="0" applyFont="1" applyFill="1" applyBorder="1" applyAlignment="1">
      <alignment horizontal="center"/>
    </xf>
    <xf numFmtId="0" fontId="2" fillId="7" borderId="41" xfId="0" applyFont="1" applyFill="1" applyBorder="1" applyAlignment="1">
      <alignment horizontal="center"/>
    </xf>
    <xf numFmtId="0" fontId="2" fillId="7" borderId="42" xfId="0" applyFont="1" applyFill="1" applyBorder="1" applyAlignment="1">
      <alignment horizontal="center"/>
    </xf>
    <xf numFmtId="0" fontId="40" fillId="0" borderId="0" xfId="0" applyFont="1" applyFill="1" applyAlignment="1">
      <alignment horizontal="center" vertical="top" wrapText="1"/>
    </xf>
    <xf numFmtId="0" fontId="8" fillId="11" borderId="33" xfId="0" applyFont="1" applyFill="1" applyBorder="1" applyAlignment="1">
      <alignment horizontal="center"/>
    </xf>
    <xf numFmtId="0" fontId="8" fillId="11" borderId="19" xfId="0" applyFont="1" applyFill="1" applyBorder="1" applyAlignment="1">
      <alignment horizontal="center"/>
    </xf>
    <xf numFmtId="0" fontId="8" fillId="11" borderId="32" xfId="0" applyFont="1" applyFill="1" applyBorder="1" applyAlignment="1">
      <alignment horizontal="center"/>
    </xf>
    <xf numFmtId="0" fontId="38" fillId="16" borderId="33" xfId="0" applyFont="1" applyFill="1" applyBorder="1" applyAlignment="1">
      <alignment horizontal="center" vertical="top" wrapText="1"/>
    </xf>
    <xf numFmtId="0" fontId="38" fillId="16" borderId="19" xfId="0" applyFont="1" applyFill="1" applyBorder="1" applyAlignment="1">
      <alignment horizontal="center" vertical="top" wrapText="1"/>
    </xf>
    <xf numFmtId="0" fontId="38" fillId="16" borderId="32" xfId="0" applyFont="1" applyFill="1" applyBorder="1" applyAlignment="1">
      <alignment horizontal="center" vertical="top" wrapText="1"/>
    </xf>
    <xf numFmtId="0" fontId="33" fillId="0" borderId="69" xfId="0" applyFont="1" applyFill="1" applyBorder="1" applyAlignment="1">
      <alignment horizontal="left"/>
    </xf>
    <xf numFmtId="0" fontId="33" fillId="0" borderId="70" xfId="0" applyFont="1" applyFill="1" applyBorder="1" applyAlignment="1">
      <alignment horizontal="left"/>
    </xf>
    <xf numFmtId="0" fontId="33" fillId="0" borderId="71" xfId="0" applyFont="1" applyFill="1" applyBorder="1" applyAlignment="1">
      <alignment horizontal="left"/>
    </xf>
    <xf numFmtId="0" fontId="33" fillId="0" borderId="4" xfId="0" applyFont="1" applyFill="1" applyBorder="1" applyAlignment="1">
      <alignment horizontal="left"/>
    </xf>
    <xf numFmtId="0" fontId="33" fillId="0" borderId="76" xfId="0" applyFont="1" applyFill="1" applyBorder="1" applyAlignment="1">
      <alignment horizontal="left"/>
    </xf>
    <xf numFmtId="0" fontId="33" fillId="0" borderId="39" xfId="0" applyFont="1" applyFill="1" applyBorder="1" applyAlignment="1">
      <alignment horizontal="left"/>
    </xf>
    <xf numFmtId="0" fontId="8" fillId="7" borderId="11" xfId="0" applyFont="1" applyFill="1" applyBorder="1" applyAlignment="1">
      <alignment horizontal="center" vertical="center" textRotation="90" wrapText="1"/>
    </xf>
    <xf numFmtId="0" fontId="8" fillId="7" borderId="12" xfId="0" applyFont="1" applyFill="1" applyBorder="1" applyAlignment="1">
      <alignment horizontal="center" vertical="center" textRotation="90" wrapText="1"/>
    </xf>
    <xf numFmtId="0" fontId="0" fillId="0" borderId="0" xfId="0" applyBorder="1" applyAlignment="1">
      <alignment horizontal="center" vertical="center" wrapText="1"/>
    </xf>
    <xf numFmtId="0" fontId="8" fillId="7" borderId="64" xfId="0" applyFont="1" applyFill="1" applyBorder="1" applyAlignment="1">
      <alignment horizontal="center"/>
    </xf>
    <xf numFmtId="0" fontId="8" fillId="7" borderId="65" xfId="0" applyFont="1" applyFill="1" applyBorder="1" applyAlignment="1">
      <alignment horizontal="center"/>
    </xf>
    <xf numFmtId="0" fontId="8" fillId="16" borderId="46" xfId="0" applyFont="1" applyFill="1" applyBorder="1" applyAlignment="1">
      <alignment horizontal="center" vertical="top" wrapText="1"/>
    </xf>
    <xf numFmtId="0" fontId="8" fillId="16" borderId="73" xfId="0" applyFont="1" applyFill="1" applyBorder="1" applyAlignment="1">
      <alignment horizontal="center" vertical="top" wrapText="1"/>
    </xf>
    <xf numFmtId="0" fontId="8" fillId="16" borderId="47" xfId="0" applyFont="1" applyFill="1" applyBorder="1" applyAlignment="1">
      <alignment horizontal="center" vertical="top" wrapText="1"/>
    </xf>
    <xf numFmtId="0" fontId="8" fillId="16" borderId="59" xfId="0" applyFont="1" applyFill="1" applyBorder="1" applyAlignment="1">
      <alignment horizontal="center" vertical="top" wrapText="1"/>
    </xf>
    <xf numFmtId="0" fontId="8" fillId="16" borderId="33" xfId="0" applyFont="1" applyFill="1" applyBorder="1" applyAlignment="1">
      <alignment horizontal="center" wrapText="1"/>
    </xf>
    <xf numFmtId="0" fontId="8" fillId="16" borderId="19" xfId="0" applyFont="1" applyFill="1" applyBorder="1" applyAlignment="1">
      <alignment horizontal="center" wrapText="1"/>
    </xf>
    <xf numFmtId="0" fontId="8" fillId="16" borderId="32" xfId="0" applyFont="1" applyFill="1" applyBorder="1" applyAlignment="1">
      <alignment horizontal="center" wrapText="1"/>
    </xf>
    <xf numFmtId="0" fontId="3" fillId="0" borderId="1" xfId="0" applyFont="1" applyBorder="1" applyAlignment="1">
      <alignment horizontal="right"/>
    </xf>
    <xf numFmtId="0" fontId="3" fillId="0" borderId="2" xfId="0" applyFont="1" applyBorder="1" applyAlignment="1">
      <alignment horizontal="right"/>
    </xf>
    <xf numFmtId="0" fontId="3" fillId="0" borderId="15" xfId="0" applyFont="1" applyBorder="1" applyAlignment="1">
      <alignment horizontal="right"/>
    </xf>
    <xf numFmtId="0" fontId="3" fillId="0" borderId="14" xfId="0" applyFont="1" applyBorder="1" applyAlignment="1">
      <alignment horizontal="right"/>
    </xf>
    <xf numFmtId="0" fontId="8" fillId="16" borderId="26" xfId="0" applyFont="1" applyFill="1" applyBorder="1" applyAlignment="1">
      <alignment horizontal="center" wrapText="1"/>
    </xf>
    <xf numFmtId="0" fontId="8" fillId="16" borderId="33" xfId="0" applyFont="1" applyFill="1" applyBorder="1" applyAlignment="1">
      <alignment horizontal="center"/>
    </xf>
    <xf numFmtId="0" fontId="8" fillId="16" borderId="19" xfId="0" applyFont="1" applyFill="1" applyBorder="1" applyAlignment="1">
      <alignment horizontal="center"/>
    </xf>
    <xf numFmtId="0" fontId="8" fillId="16" borderId="32" xfId="0" applyFont="1" applyFill="1" applyBorder="1" applyAlignment="1">
      <alignment horizontal="center"/>
    </xf>
    <xf numFmtId="0" fontId="2" fillId="3" borderId="9" xfId="0" applyFont="1" applyFill="1" applyBorder="1" applyAlignment="1">
      <alignment horizontal="left"/>
    </xf>
    <xf numFmtId="0" fontId="2" fillId="0" borderId="1" xfId="0" applyFont="1" applyBorder="1" applyAlignment="1">
      <alignment horizontal="left"/>
    </xf>
    <xf numFmtId="0" fontId="2" fillId="3" borderId="5" xfId="0" applyFont="1" applyFill="1" applyBorder="1" applyAlignment="1">
      <alignment horizontal="left"/>
    </xf>
    <xf numFmtId="0" fontId="10" fillId="12" borderId="40" xfId="0" applyFont="1" applyFill="1" applyBorder="1" applyAlignment="1">
      <alignment horizontal="left"/>
    </xf>
    <xf numFmtId="0" fontId="10" fillId="12" borderId="41" xfId="0" applyFont="1" applyFill="1" applyBorder="1" applyAlignment="1">
      <alignment horizontal="left"/>
    </xf>
    <xf numFmtId="0" fontId="10" fillId="12" borderId="43" xfId="0" applyFont="1" applyFill="1" applyBorder="1" applyAlignment="1">
      <alignment horizontal="left"/>
    </xf>
    <xf numFmtId="0" fontId="8" fillId="7" borderId="9" xfId="0" applyFont="1" applyFill="1" applyBorder="1" applyAlignment="1">
      <alignment horizontal="center" vertical="center"/>
    </xf>
    <xf numFmtId="0" fontId="3" fillId="0" borderId="3" xfId="0" applyFont="1" applyBorder="1" applyAlignment="1">
      <alignment horizontal="right"/>
    </xf>
    <xf numFmtId="0" fontId="3" fillId="0" borderId="9" xfId="0" applyFont="1" applyBorder="1" applyAlignment="1">
      <alignment horizontal="right"/>
    </xf>
    <xf numFmtId="0" fontId="3" fillId="0" borderId="5" xfId="0" applyFont="1" applyBorder="1" applyAlignment="1">
      <alignment horizontal="right"/>
    </xf>
    <xf numFmtId="0" fontId="3" fillId="0" borderId="8" xfId="0" applyFont="1" applyBorder="1" applyAlignment="1">
      <alignment horizontal="right" vertical="top"/>
    </xf>
    <xf numFmtId="0" fontId="3" fillId="0" borderId="30" xfId="0" applyFont="1" applyBorder="1" applyAlignment="1">
      <alignment horizontal="right" vertical="top"/>
    </xf>
    <xf numFmtId="0" fontId="3" fillId="0" borderId="15" xfId="0" applyFont="1" applyBorder="1" applyAlignment="1">
      <alignment horizontal="right" vertical="top"/>
    </xf>
    <xf numFmtId="0" fontId="3" fillId="0" borderId="14" xfId="0" applyFont="1" applyBorder="1" applyAlignment="1">
      <alignment horizontal="right" vertical="top"/>
    </xf>
    <xf numFmtId="0" fontId="8" fillId="0" borderId="19" xfId="0" applyFont="1" applyBorder="1" applyAlignment="1">
      <alignment horizontal="center"/>
    </xf>
    <xf numFmtId="0" fontId="8" fillId="0" borderId="32" xfId="0" applyFont="1" applyBorder="1" applyAlignment="1">
      <alignment horizontal="center"/>
    </xf>
    <xf numFmtId="0" fontId="8" fillId="0" borderId="33" xfId="0" applyFont="1" applyBorder="1" applyAlignment="1">
      <alignment horizontal="center"/>
    </xf>
    <xf numFmtId="0" fontId="8" fillId="0" borderId="40" xfId="0" applyFont="1" applyBorder="1" applyAlignment="1">
      <alignment horizontal="center"/>
    </xf>
    <xf numFmtId="0" fontId="8" fillId="0" borderId="41" xfId="0" applyFont="1" applyBorder="1" applyAlignment="1">
      <alignment horizontal="center"/>
    </xf>
    <xf numFmtId="0" fontId="8" fillId="0" borderId="42" xfId="0" applyFont="1" applyBorder="1" applyAlignment="1">
      <alignment horizontal="center"/>
    </xf>
    <xf numFmtId="0" fontId="6" fillId="14" borderId="2" xfId="0" applyFont="1" applyFill="1" applyBorder="1" applyAlignment="1">
      <alignment horizontal="left" vertical="top"/>
    </xf>
    <xf numFmtId="0" fontId="6" fillId="14" borderId="4" xfId="0" applyFont="1" applyFill="1" applyBorder="1" applyAlignment="1">
      <alignment horizontal="left" vertical="top"/>
    </xf>
    <xf numFmtId="0" fontId="6" fillId="5" borderId="1" xfId="0" applyFont="1" applyFill="1" applyBorder="1" applyAlignment="1">
      <alignment horizontal="left" vertical="top" wrapText="1"/>
    </xf>
    <xf numFmtId="0" fontId="31" fillId="13" borderId="1" xfId="0" applyFont="1" applyFill="1" applyBorder="1" applyAlignment="1">
      <alignment horizontal="center" vertical="center" textRotation="90"/>
    </xf>
    <xf numFmtId="0" fontId="6" fillId="5" borderId="1" xfId="0" applyFont="1" applyFill="1" applyBorder="1" applyAlignment="1">
      <alignment horizontal="center" vertical="top" wrapText="1"/>
    </xf>
    <xf numFmtId="0" fontId="3" fillId="0" borderId="1" xfId="0" applyFont="1" applyBorder="1" applyAlignment="1">
      <alignment horizontal="left" vertical="top"/>
    </xf>
    <xf numFmtId="0" fontId="3" fillId="0" borderId="1" xfId="0" applyFont="1" applyFill="1" applyBorder="1" applyAlignment="1">
      <alignment horizontal="left" vertical="top"/>
    </xf>
    <xf numFmtId="0" fontId="3" fillId="0" borderId="2" xfId="0" applyFont="1" applyBorder="1" applyAlignment="1">
      <alignment horizontal="left" vertical="top"/>
    </xf>
    <xf numFmtId="0" fontId="3" fillId="0" borderId="4" xfId="0" applyFont="1" applyBorder="1" applyAlignment="1">
      <alignment horizontal="left" vertical="top"/>
    </xf>
    <xf numFmtId="0" fontId="3" fillId="0" borderId="2" xfId="0" applyFont="1" applyFill="1" applyBorder="1" applyAlignment="1">
      <alignment horizontal="left" vertical="top"/>
    </xf>
    <xf numFmtId="0" fontId="3" fillId="0" borderId="4" xfId="0" applyFont="1" applyFill="1" applyBorder="1" applyAlignment="1">
      <alignment horizontal="left" vertical="top"/>
    </xf>
    <xf numFmtId="0" fontId="6" fillId="5" borderId="2" xfId="0" applyFont="1" applyFill="1" applyBorder="1" applyAlignment="1">
      <alignment horizontal="center" vertical="top"/>
    </xf>
    <xf numFmtId="0" fontId="6" fillId="5" borderId="4" xfId="0" applyFont="1" applyFill="1" applyBorder="1" applyAlignment="1">
      <alignment horizontal="center" vertical="top"/>
    </xf>
    <xf numFmtId="0" fontId="6" fillId="5" borderId="1" xfId="0" applyFont="1" applyFill="1" applyBorder="1" applyAlignment="1">
      <alignment horizontal="center" vertical="top"/>
    </xf>
    <xf numFmtId="0" fontId="6" fillId="14" borderId="1" xfId="0" applyFont="1" applyFill="1" applyBorder="1" applyAlignment="1">
      <alignment horizontal="center" vertical="top" wrapText="1"/>
    </xf>
    <xf numFmtId="0" fontId="31" fillId="13" borderId="1" xfId="0" applyFont="1" applyFill="1" applyBorder="1" applyAlignment="1">
      <alignment horizontal="center" vertical="center" textRotation="90" wrapText="1"/>
    </xf>
    <xf numFmtId="0" fontId="3" fillId="0" borderId="1" xfId="0" applyFont="1" applyBorder="1" applyAlignment="1">
      <alignment horizontal="left" vertical="top" wrapText="1"/>
    </xf>
    <xf numFmtId="0" fontId="3" fillId="0" borderId="1" xfId="0" applyFont="1" applyBorder="1" applyAlignment="1">
      <alignment vertical="top" wrapText="1"/>
    </xf>
    <xf numFmtId="0" fontId="3" fillId="0" borderId="34" xfId="0" applyFont="1" applyFill="1" applyBorder="1" applyAlignment="1">
      <alignment horizontal="left" vertical="top" wrapText="1"/>
    </xf>
    <xf numFmtId="0" fontId="0" fillId="0" borderId="0" xfId="0" applyAlignment="1">
      <alignment wrapText="1"/>
    </xf>
    <xf numFmtId="0" fontId="5" fillId="0" borderId="31" xfId="1" applyBorder="1" applyAlignment="1" applyProtection="1">
      <alignment horizontal="left" vertical="top"/>
    </xf>
    <xf numFmtId="0" fontId="0" fillId="0" borderId="31" xfId="0" applyBorder="1" applyAlignment="1"/>
    <xf numFmtId="0" fontId="0" fillId="0" borderId="82" xfId="0" applyBorder="1" applyAlignment="1"/>
  </cellXfs>
  <cellStyles count="4">
    <cellStyle name="Hyperlink" xfId="1" builtinId="8"/>
    <cellStyle name="Normal" xfId="0" builtinId="0"/>
    <cellStyle name="Normal 2" xfId="3"/>
    <cellStyle name="Percent" xfId="2" builtinId="5"/>
  </cellStyles>
  <dxfs count="23">
    <dxf>
      <alignment horizontal="center" vertical="center" textRotation="0" wrapText="0" relativeIndent="0" justifyLastLine="0" shrinkToFit="0" readingOrder="0"/>
      <border diagonalUp="0" diagonalDown="0">
        <left style="thin">
          <color indexed="64"/>
        </left>
        <right/>
        <top style="thin">
          <color indexed="64"/>
        </top>
        <bottom style="medium">
          <color indexed="64"/>
        </bottom>
        <vertical/>
        <horizontal/>
      </border>
    </dxf>
    <dxf>
      <alignment horizontal="center" vertical="center" textRotation="0" wrapText="0" relativeIndent="0" justifyLastLine="0" shrinkToFit="0" readingOrder="0"/>
      <border diagonalUp="0" diagonalDown="0">
        <left style="thin">
          <color indexed="64"/>
        </left>
        <right style="thin">
          <color indexed="64"/>
        </right>
        <top style="thin">
          <color indexed="64"/>
        </top>
        <bottom style="medium">
          <color indexed="64"/>
        </bottom>
        <vertical/>
        <horizontal/>
      </border>
    </dxf>
    <dxf>
      <alignment horizontal="center" vertical="center" textRotation="0" wrapText="0" relativeIndent="0" justifyLastLine="0" shrinkToFit="0" readingOrder="0"/>
      <border diagonalUp="0" diagonalDown="0">
        <left style="thin">
          <color indexed="64"/>
        </left>
        <right style="thin">
          <color indexed="64"/>
        </right>
        <top style="thin">
          <color indexed="64"/>
        </top>
        <bottom style="medium">
          <color indexed="64"/>
        </bottom>
        <vertical/>
        <horizontal/>
      </border>
    </dxf>
    <dxf>
      <alignment horizontal="center" vertical="center" textRotation="0" wrapText="0" relativeIndent="0" justifyLastLine="0" shrinkToFit="0" readingOrder="0"/>
      <border diagonalUp="0" diagonalDown="0">
        <left style="thin">
          <color indexed="64"/>
        </left>
        <right style="thin">
          <color indexed="64"/>
        </right>
        <top style="thin">
          <color indexed="64"/>
        </top>
        <bottom style="medium">
          <color indexed="64"/>
        </bottom>
        <vertical/>
        <horizontal/>
      </border>
    </dxf>
    <dxf>
      <alignment horizontal="center" vertical="center" textRotation="0" wrapText="0" relativeIndent="0" justifyLastLine="0" shrinkToFit="0" readingOrder="0"/>
      <border diagonalUp="0" diagonalDown="0">
        <left style="thin">
          <color indexed="64"/>
        </left>
        <right style="thin">
          <color indexed="64"/>
        </right>
        <top style="thin">
          <color indexed="64"/>
        </top>
        <bottom style="medium">
          <color indexed="64"/>
        </bottom>
        <vertical/>
        <horizontal/>
      </border>
    </dxf>
    <dxf>
      <alignment horizontal="center" vertical="center" textRotation="0" wrapText="0" relativeIndent="0" justifyLastLine="0" shrinkToFit="0" readingOrder="0"/>
      <border diagonalUp="0" diagonalDown="0">
        <left style="thin">
          <color indexed="64"/>
        </left>
        <right style="thin">
          <color indexed="64"/>
        </right>
        <top style="thin">
          <color indexed="64"/>
        </top>
        <bottom style="medium">
          <color indexed="64"/>
        </bottom>
        <vertical/>
        <horizontal/>
      </border>
    </dxf>
    <dxf>
      <alignment horizontal="center" vertical="center" textRotation="0" wrapText="0" relativeIndent="0" justifyLastLine="0" shrinkToFit="0" readingOrder="0"/>
      <border diagonalUp="0" diagonalDown="0">
        <left style="thin">
          <color indexed="64"/>
        </left>
        <right style="thin">
          <color indexed="64"/>
        </right>
        <top style="thin">
          <color indexed="64"/>
        </top>
        <bottom style="medium">
          <color indexed="64"/>
        </bottom>
        <vertical/>
        <horizontal/>
      </border>
    </dxf>
    <dxf>
      <alignment horizontal="center" vertical="center" textRotation="0" wrapText="0" relativeIndent="0" justifyLastLine="0" shrinkToFit="0" readingOrder="0"/>
      <border diagonalUp="0" diagonalDown="0">
        <left style="thin">
          <color indexed="64"/>
        </left>
        <right style="thin">
          <color indexed="64"/>
        </right>
        <top style="thin">
          <color indexed="64"/>
        </top>
        <bottom style="medium">
          <color indexed="64"/>
        </bottom>
        <vertical/>
        <horizontal/>
      </border>
    </dxf>
    <dxf>
      <alignment horizontal="center" vertical="center" textRotation="0" wrapText="0" relativeIndent="0" justifyLastLine="0" shrinkToFit="0" readingOrder="0"/>
      <border diagonalUp="0" diagonalDown="0">
        <left style="thin">
          <color indexed="64"/>
        </left>
        <right style="thin">
          <color indexed="64"/>
        </right>
        <top style="thin">
          <color indexed="64"/>
        </top>
        <bottom style="medium">
          <color indexed="64"/>
        </bottom>
        <vertical/>
        <horizontal/>
      </border>
    </dxf>
    <dxf>
      <alignment horizontal="center" vertical="center" textRotation="0" wrapText="0" relativeIndent="0" justifyLastLine="0" shrinkToFit="0" readingOrder="0"/>
      <border diagonalUp="0" diagonalDown="0">
        <left style="thin">
          <color indexed="64"/>
        </left>
        <right style="thin">
          <color indexed="64"/>
        </right>
        <top style="thin">
          <color indexed="64"/>
        </top>
        <bottom style="medium">
          <color indexed="64"/>
        </bottom>
        <vertical/>
        <horizontal/>
      </border>
    </dxf>
    <dxf>
      <alignment horizontal="center" vertical="center" textRotation="0" wrapText="0" relativeIndent="0" justifyLastLine="0" shrinkToFit="0" readingOrder="0"/>
      <border diagonalUp="0" diagonalDown="0">
        <left style="thin">
          <color indexed="64"/>
        </left>
        <right style="thin">
          <color indexed="64"/>
        </right>
        <top style="thin">
          <color indexed="64"/>
        </top>
        <bottom style="medium">
          <color indexed="64"/>
        </bottom>
        <vertical/>
        <horizontal/>
      </border>
    </dxf>
    <dxf>
      <numFmt numFmtId="0" formatCode="General"/>
      <alignment horizontal="center" vertical="center" textRotation="0" wrapText="0" relativeIndent="0" justifyLastLine="0" shrinkToFit="0" readingOrder="0"/>
      <border diagonalUp="0" diagonalDown="0" outline="0">
        <left style="thin">
          <color indexed="64"/>
        </left>
        <right style="thin">
          <color indexed="64"/>
        </right>
        <top style="thin">
          <color indexed="64"/>
        </top>
        <bottom style="medium">
          <color indexed="64"/>
        </bottom>
      </border>
    </dxf>
    <dxf>
      <alignment horizontal="center" vertical="center" textRotation="0" wrapText="0" relativeIndent="0" justifyLastLine="0" shrinkToFit="0" readingOrder="0"/>
      <border diagonalUp="0" diagonalDown="0">
        <left style="thin">
          <color indexed="64"/>
        </left>
        <right style="thin">
          <color indexed="64"/>
        </right>
        <top style="thin">
          <color indexed="64"/>
        </top>
        <bottom style="medium">
          <color indexed="64"/>
        </bottom>
        <vertical/>
        <horizontal/>
      </border>
    </dxf>
    <dxf>
      <border diagonalUp="0" diagonalDown="0">
        <left style="thin">
          <color indexed="64"/>
        </left>
        <right style="thin">
          <color indexed="64"/>
        </right>
        <top style="thin">
          <color indexed="64"/>
        </top>
        <bottom style="medium">
          <color indexed="64"/>
        </bottom>
        <vertical/>
        <horizontal/>
      </border>
    </dxf>
    <dxf>
      <numFmt numFmtId="0" formatCode="General"/>
      <border diagonalUp="0" diagonalDown="0" outline="0">
        <left style="thin">
          <color indexed="64"/>
        </left>
        <right style="thin">
          <color indexed="64"/>
        </right>
        <top style="thin">
          <color indexed="64"/>
        </top>
        <bottom/>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outline="0">
        <right style="thin">
          <color indexed="64"/>
        </right>
      </border>
    </dxf>
    <dxf>
      <alignment horizontal="center" vertical="center" textRotation="0" wrapText="0" relativeIndent="0" justifyLastLine="0" shrinkToFit="0" readingOrder="0"/>
    </dxf>
    <dxf>
      <border outline="0">
        <bottom style="thin">
          <color indexed="64"/>
        </bottom>
      </border>
    </dxf>
    <dxf>
      <font>
        <b val="0"/>
        <i val="0"/>
        <strike val="0"/>
        <condense val="0"/>
        <extend val="0"/>
        <outline val="0"/>
        <shadow val="0"/>
        <u val="none"/>
        <vertAlign val="baseline"/>
        <sz val="11"/>
        <color theme="1"/>
        <name val="Arial"/>
        <scheme val="none"/>
      </font>
      <alignment horizontal="center" vertical="center" textRotation="0" wrapText="1" relativeIndent="0" justifyLastLine="0" shrinkToFit="0" readingOrder="0"/>
      <border diagonalUp="0" diagonalDown="0" outline="0">
        <left style="thin">
          <color indexed="64"/>
        </left>
        <right style="thin">
          <color indexed="64"/>
        </right>
        <top/>
        <bottom/>
      </border>
    </dxf>
  </dxfs>
  <tableStyles count="0" defaultTableStyle="TableStyleMedium9" defaultPivotStyle="PivotStyleLight16"/>
  <colors>
    <mruColors>
      <color rgb="FFA5C4E9"/>
      <color rgb="FF99CCFF"/>
      <color rgb="FF66CCFF"/>
      <color rgb="FFF9FC8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chemeClr val="tx1">
                    <a:lumMod val="65000"/>
                    <a:lumOff val="35000"/>
                  </a:schemeClr>
                </a:solidFill>
                <a:latin typeface="+mn-lt"/>
                <a:ea typeface="+mn-ea"/>
                <a:cs typeface="+mn-cs"/>
              </a:defRPr>
            </a:pPr>
            <a:r>
              <a:rPr lang="en-US"/>
              <a:t>2015 North</a:t>
            </a:r>
            <a:r>
              <a:rPr lang="en-US" baseline="0"/>
              <a:t> Seattle College </a:t>
            </a:r>
            <a:br>
              <a:rPr lang="en-US" baseline="0"/>
            </a:br>
            <a:r>
              <a:rPr lang="en-US"/>
              <a:t>Greenhouse Gas Emissions</a:t>
            </a:r>
            <a:r>
              <a:rPr lang="en-US" baseline="0"/>
              <a:t> </a:t>
            </a:r>
            <a:r>
              <a:rPr lang="en-US"/>
              <a:t>by</a:t>
            </a:r>
            <a:r>
              <a:rPr lang="en-US" baseline="0"/>
              <a:t> Source</a:t>
            </a:r>
            <a:endParaRPr lang="en-US"/>
          </a:p>
        </c:rich>
      </c:tx>
      <c:layout>
        <c:manualLayout>
          <c:xMode val="edge"/>
          <c:yMode val="edge"/>
          <c:x val="0.24207357743648381"/>
          <c:y val="1.879825246031909E-2"/>
        </c:manualLayout>
      </c:layout>
      <c:overlay val="0"/>
      <c:spPr>
        <a:noFill/>
        <a:ln>
          <a:noFill/>
        </a:ln>
        <a:effectLst/>
      </c:spPr>
      <c:txPr>
        <a:bodyPr rot="0" spcFirstLastPara="1" vertOverflow="ellipsis" vert="horz" wrap="square" anchor="ctr" anchorCtr="1"/>
        <a:lstStyle/>
        <a:p>
          <a:pPr>
            <a:defRPr sz="144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ofPieChart>
        <c:ofPieType val="bar"/>
        <c:varyColors val="1"/>
        <c:ser>
          <c:idx val="0"/>
          <c:order val="0"/>
          <c:tx>
            <c:strRef>
              <c:f>'5-GHG Emissions Summary'!$B$40</c:f>
              <c:strCache>
                <c:ptCount val="1"/>
                <c:pt idx="0">
                  <c:v>Percent of Greenhouse Gas Emissions</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DDC8-41A6-80D5-CA76EE818F0B}"/>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DDC8-41A6-80D5-CA76EE818F0B}"/>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DDC8-41A6-80D5-CA76EE818F0B}"/>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DDC8-41A6-80D5-CA76EE818F0B}"/>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DDC8-41A6-80D5-CA76EE818F0B}"/>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DDC8-41A6-80D5-CA76EE818F0B}"/>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DDC8-41A6-80D5-CA76EE818F0B}"/>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DDC8-41A6-80D5-CA76EE818F0B}"/>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11-DDC8-41A6-80D5-CA76EE818F0B}"/>
              </c:ext>
            </c:extLst>
          </c:dPt>
          <c:dPt>
            <c:idx val="9"/>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13-DDC8-41A6-80D5-CA76EE818F0B}"/>
              </c:ext>
            </c:extLst>
          </c:dPt>
          <c:dPt>
            <c:idx val="10"/>
            <c:bubble3D val="0"/>
            <c:spPr>
              <a:solidFill>
                <a:schemeClr val="accent5">
                  <a:lumMod val="60000"/>
                </a:schemeClr>
              </a:solidFill>
              <a:ln w="19050">
                <a:solidFill>
                  <a:schemeClr val="lt1"/>
                </a:solidFill>
              </a:ln>
              <a:effectLst/>
            </c:spPr>
            <c:extLst>
              <c:ext xmlns:c16="http://schemas.microsoft.com/office/drawing/2014/chart" uri="{C3380CC4-5D6E-409C-BE32-E72D297353CC}">
                <c16:uniqueId val="{00000015-DDC8-41A6-80D5-CA76EE818F0B}"/>
              </c:ext>
            </c:extLst>
          </c:dPt>
          <c:dPt>
            <c:idx val="11"/>
            <c:bubble3D val="0"/>
            <c:spPr>
              <a:solidFill>
                <a:schemeClr val="accent6">
                  <a:lumMod val="60000"/>
                </a:schemeClr>
              </a:solidFill>
              <a:ln w="19050">
                <a:solidFill>
                  <a:schemeClr val="lt1"/>
                </a:solidFill>
              </a:ln>
              <a:effectLst/>
            </c:spPr>
            <c:extLst>
              <c:ext xmlns:c16="http://schemas.microsoft.com/office/drawing/2014/chart" uri="{C3380CC4-5D6E-409C-BE32-E72D297353CC}">
                <c16:uniqueId val="{00000017-DDC8-41A6-80D5-CA76EE818F0B}"/>
              </c:ext>
            </c:extLst>
          </c:dPt>
          <c:dLbls>
            <c:dLbl>
              <c:idx val="0"/>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solidFill>
                      <a:latin typeface="+mn-lt"/>
                      <a:ea typeface="+mn-ea"/>
                      <a:cs typeface="+mn-cs"/>
                    </a:defRPr>
                  </a:pPr>
                  <a:endParaRPr lang="en-US"/>
                </a:p>
              </c:txPr>
              <c:showLegendKey val="0"/>
              <c:showVal val="1"/>
              <c:showCatName val="1"/>
              <c:showSerName val="0"/>
              <c:showPercent val="0"/>
              <c:showBubbleSize val="0"/>
              <c:extLst>
                <c:ext xmlns:c16="http://schemas.microsoft.com/office/drawing/2014/chart" uri="{C3380CC4-5D6E-409C-BE32-E72D297353CC}">
                  <c16:uniqueId val="{00000001-DDC8-41A6-80D5-CA76EE818F0B}"/>
                </c:ext>
              </c:extLst>
            </c:dLbl>
            <c:dLbl>
              <c:idx val="1"/>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solidFill>
                      <a:latin typeface="+mn-lt"/>
                      <a:ea typeface="+mn-ea"/>
                      <a:cs typeface="+mn-cs"/>
                    </a:defRPr>
                  </a:pPr>
                  <a:endParaRPr lang="en-US"/>
                </a:p>
              </c:txPr>
              <c:showLegendKey val="0"/>
              <c:showVal val="1"/>
              <c:showCatName val="1"/>
              <c:showSerName val="0"/>
              <c:showPercent val="0"/>
              <c:showBubbleSize val="0"/>
              <c:extLst>
                <c:ext xmlns:c16="http://schemas.microsoft.com/office/drawing/2014/chart" uri="{C3380CC4-5D6E-409C-BE32-E72D297353CC}">
                  <c16:uniqueId val="{00000003-DDC8-41A6-80D5-CA76EE818F0B}"/>
                </c:ext>
              </c:extLst>
            </c:dLbl>
            <c:dLbl>
              <c:idx val="2"/>
              <c:delete val="1"/>
              <c:extLst>
                <c:ext xmlns:c15="http://schemas.microsoft.com/office/drawing/2012/chart" uri="{CE6537A1-D6FC-4f65-9D91-7224C49458BB}"/>
                <c:ext xmlns:c16="http://schemas.microsoft.com/office/drawing/2014/chart" uri="{C3380CC4-5D6E-409C-BE32-E72D297353CC}">
                  <c16:uniqueId val="{00000005-DDC8-41A6-80D5-CA76EE818F0B}"/>
                </c:ext>
              </c:extLst>
            </c:dLbl>
            <c:dLbl>
              <c:idx val="3"/>
              <c:delete val="1"/>
              <c:extLst>
                <c:ext xmlns:c15="http://schemas.microsoft.com/office/drawing/2012/chart" uri="{CE6537A1-D6FC-4f65-9D91-7224C49458BB}"/>
                <c:ext xmlns:c16="http://schemas.microsoft.com/office/drawing/2014/chart" uri="{C3380CC4-5D6E-409C-BE32-E72D297353CC}">
                  <c16:uniqueId val="{00000007-DDC8-41A6-80D5-CA76EE818F0B}"/>
                </c:ext>
              </c:extLst>
            </c:dLbl>
            <c:dLbl>
              <c:idx val="4"/>
              <c:delete val="1"/>
              <c:extLst>
                <c:ext xmlns:c15="http://schemas.microsoft.com/office/drawing/2012/chart" uri="{CE6537A1-D6FC-4f65-9D91-7224C49458BB}"/>
                <c:ext xmlns:c16="http://schemas.microsoft.com/office/drawing/2014/chart" uri="{C3380CC4-5D6E-409C-BE32-E72D297353CC}">
                  <c16:uniqueId val="{00000009-DDC8-41A6-80D5-CA76EE818F0B}"/>
                </c:ext>
              </c:extLst>
            </c:dLbl>
            <c:dLbl>
              <c:idx val="5"/>
              <c:layout>
                <c:manualLayout>
                  <c:x val="1.1467903246788029E-2"/>
                  <c:y val="-4.5384289329126012E-2"/>
                </c:manualLayout>
              </c:layout>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solidFill>
                      <a:latin typeface="+mn-lt"/>
                      <a:ea typeface="+mn-ea"/>
                      <a:cs typeface="+mn-cs"/>
                    </a:defRPr>
                  </a:pPr>
                  <a:endParaRPr lang="en-US"/>
                </a:p>
              </c:txPr>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B-DDC8-41A6-80D5-CA76EE818F0B}"/>
                </c:ext>
              </c:extLst>
            </c:dLbl>
            <c:dLbl>
              <c:idx val="6"/>
              <c:delete val="1"/>
              <c:extLst>
                <c:ext xmlns:c15="http://schemas.microsoft.com/office/drawing/2012/chart" uri="{CE6537A1-D6FC-4f65-9D91-7224C49458BB}"/>
                <c:ext xmlns:c16="http://schemas.microsoft.com/office/drawing/2014/chart" uri="{C3380CC4-5D6E-409C-BE32-E72D297353CC}">
                  <c16:uniqueId val="{0000000D-DDC8-41A6-80D5-CA76EE818F0B}"/>
                </c:ext>
              </c:extLst>
            </c:dLbl>
            <c:dLbl>
              <c:idx val="7"/>
              <c:delete val="1"/>
              <c:extLst>
                <c:ext xmlns:c15="http://schemas.microsoft.com/office/drawing/2012/chart" uri="{CE6537A1-D6FC-4f65-9D91-7224C49458BB}"/>
                <c:ext xmlns:c16="http://schemas.microsoft.com/office/drawing/2014/chart" uri="{C3380CC4-5D6E-409C-BE32-E72D297353CC}">
                  <c16:uniqueId val="{0000000F-DDC8-41A6-80D5-CA76EE818F0B}"/>
                </c:ext>
              </c:extLst>
            </c:dLbl>
            <c:dLbl>
              <c:idx val="8"/>
              <c:delete val="1"/>
              <c:extLst>
                <c:ext xmlns:c15="http://schemas.microsoft.com/office/drawing/2012/chart" uri="{CE6537A1-D6FC-4f65-9D91-7224C49458BB}"/>
                <c:ext xmlns:c16="http://schemas.microsoft.com/office/drawing/2014/chart" uri="{C3380CC4-5D6E-409C-BE32-E72D297353CC}">
                  <c16:uniqueId val="{00000011-DDC8-41A6-80D5-CA76EE818F0B}"/>
                </c:ext>
              </c:extLst>
            </c:dLbl>
            <c:dLbl>
              <c:idx val="9"/>
              <c:layout>
                <c:manualLayout>
                  <c:x val="-3.7403740374037403E-2"/>
                  <c:y val="-0.1159420172247437"/>
                </c:manualLayout>
              </c:layout>
              <c:spPr>
                <a:solidFill>
                  <a:sysClr val="window" lastClr="FFFFFF"/>
                </a:solidFill>
                <a:ln>
                  <a:solidFill>
                    <a:sysClr val="windowText" lastClr="000000">
                      <a:lumMod val="50000"/>
                      <a:lumOff val="50000"/>
                    </a:sysClr>
                  </a:solidFill>
                </a:ln>
                <a:effectLst/>
              </c:spPr>
              <c:txPr>
                <a:bodyPr rot="0" spcFirstLastPara="1" vertOverflow="clip" horzOverflow="clip" vert="horz" wrap="square" lIns="36576" tIns="18288" rIns="36576" bIns="18288" anchor="ctr" anchorCtr="1">
                  <a:spAutoFit/>
                </a:bodyPr>
                <a:lstStyle/>
                <a:p>
                  <a:pPr>
                    <a:defRPr sz="1200" b="0" i="0" u="none" strike="noStrike" kern="1200" baseline="0">
                      <a:solidFill>
                        <a:schemeClr val="dk1">
                          <a:lumMod val="65000"/>
                          <a:lumOff val="35000"/>
                        </a:schemeClr>
                      </a:solidFill>
                      <a:latin typeface="+mn-lt"/>
                      <a:ea typeface="+mn-ea"/>
                      <a:cs typeface="+mn-cs"/>
                    </a:defRPr>
                  </a:pPr>
                  <a:endParaRPr lang="en-US"/>
                </a:p>
              </c:txPr>
              <c:showLegendKey val="0"/>
              <c:showVal val="1"/>
              <c:showCatName val="1"/>
              <c:showSerName val="0"/>
              <c:showPercent val="0"/>
              <c:showBubbleSize val="0"/>
              <c:extLst>
                <c:ext xmlns:c15="http://schemas.microsoft.com/office/drawing/2012/chart" uri="{CE6537A1-D6FC-4f65-9D91-7224C49458BB}">
                  <c15:spPr xmlns:c15="http://schemas.microsoft.com/office/drawing/2012/chart">
                    <a:prstGeom prst="wedgeRoundRectCallout">
                      <a:avLst/>
                    </a:prstGeom>
                    <a:noFill/>
                    <a:ln>
                      <a:noFill/>
                    </a:ln>
                  </c15:spPr>
                </c:ext>
                <c:ext xmlns:c16="http://schemas.microsoft.com/office/drawing/2014/chart" uri="{C3380CC4-5D6E-409C-BE32-E72D297353CC}">
                  <c16:uniqueId val="{00000013-DDC8-41A6-80D5-CA76EE818F0B}"/>
                </c:ext>
              </c:extLst>
            </c:dLbl>
            <c:dLbl>
              <c:idx val="10"/>
              <c:layout>
                <c:manualLayout>
                  <c:x val="-6.6006600660066167E-2"/>
                  <c:y val="7.9871167421490114E-2"/>
                </c:manualLayout>
              </c:layout>
              <c:spPr>
                <a:solidFill>
                  <a:sysClr val="window" lastClr="FFFFFF"/>
                </a:solidFill>
                <a:ln>
                  <a:solidFill>
                    <a:sysClr val="windowText" lastClr="000000">
                      <a:lumMod val="50000"/>
                      <a:lumOff val="50000"/>
                    </a:sysClr>
                  </a:solidFill>
                </a:ln>
                <a:effectLst/>
              </c:spPr>
              <c:txPr>
                <a:bodyPr rot="0" spcFirstLastPara="1" vertOverflow="clip" horzOverflow="clip" vert="horz" wrap="square" lIns="36576" tIns="18288" rIns="36576" bIns="18288" anchor="ctr" anchorCtr="1">
                  <a:spAutoFit/>
                </a:bodyPr>
                <a:lstStyle/>
                <a:p>
                  <a:pPr>
                    <a:defRPr sz="1200" b="0" i="0" u="none" strike="noStrike" kern="1200" baseline="0">
                      <a:solidFill>
                        <a:schemeClr val="dk1">
                          <a:lumMod val="65000"/>
                          <a:lumOff val="35000"/>
                        </a:schemeClr>
                      </a:solidFill>
                      <a:latin typeface="+mn-lt"/>
                      <a:ea typeface="+mn-ea"/>
                      <a:cs typeface="+mn-cs"/>
                    </a:defRPr>
                  </a:pPr>
                  <a:endParaRPr lang="en-US"/>
                </a:p>
              </c:txPr>
              <c:showLegendKey val="0"/>
              <c:showVal val="1"/>
              <c:showCatName val="1"/>
              <c:showSerName val="0"/>
              <c:showPercent val="0"/>
              <c:showBubbleSize val="0"/>
              <c:extLst>
                <c:ext xmlns:c15="http://schemas.microsoft.com/office/drawing/2012/chart" uri="{CE6537A1-D6FC-4f65-9D91-7224C49458BB}">
                  <c15:spPr xmlns:c15="http://schemas.microsoft.com/office/drawing/2012/chart">
                    <a:prstGeom prst="wedgeRoundRectCallout">
                      <a:avLst/>
                    </a:prstGeom>
                    <a:noFill/>
                    <a:ln>
                      <a:noFill/>
                    </a:ln>
                  </c15:spPr>
                </c:ext>
                <c:ext xmlns:c16="http://schemas.microsoft.com/office/drawing/2014/chart" uri="{C3380CC4-5D6E-409C-BE32-E72D297353CC}">
                  <c16:uniqueId val="{00000015-DDC8-41A6-80D5-CA76EE818F0B}"/>
                </c:ext>
              </c:extLst>
            </c:dLbl>
            <c:dLbl>
              <c:idx val="11"/>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solidFill>
                      <a:latin typeface="+mn-lt"/>
                      <a:ea typeface="+mn-ea"/>
                      <a:cs typeface="+mn-cs"/>
                    </a:defRPr>
                  </a:pPr>
                  <a:endParaRPr lang="en-US"/>
                </a:p>
              </c:txPr>
              <c:showLegendKey val="0"/>
              <c:showVal val="1"/>
              <c:showCatName val="1"/>
              <c:showSerName val="0"/>
              <c:showPercent val="0"/>
              <c:showBubbleSize val="0"/>
              <c:extLst>
                <c:ext xmlns:c16="http://schemas.microsoft.com/office/drawing/2014/chart" uri="{C3380CC4-5D6E-409C-BE32-E72D297353CC}">
                  <c16:uniqueId val="{00000017-DDC8-41A6-80D5-CA76EE818F0B}"/>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65000"/>
                        <a:lumOff val="35000"/>
                      </a:schemeClr>
                    </a:solidFill>
                    <a:latin typeface="+mn-lt"/>
                    <a:ea typeface="+mn-ea"/>
                    <a:cs typeface="+mn-cs"/>
                  </a:defRPr>
                </a:pPr>
                <a:endParaRPr lang="en-US"/>
              </a:p>
            </c:txPr>
            <c:showLegendKey val="0"/>
            <c:showVal val="1"/>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'5-GHG Emissions Summary'!$A$41:$A$51</c:f>
              <c:strCache>
                <c:ptCount val="11"/>
                <c:pt idx="0">
                  <c:v>Stationary Combustion (i.e. natural gas)</c:v>
                </c:pt>
                <c:pt idx="1">
                  <c:v>Purchased Electricity</c:v>
                </c:pt>
                <c:pt idx="2">
                  <c:v>Purchased Steam</c:v>
                </c:pt>
                <c:pt idx="3">
                  <c:v>On-road light duty</c:v>
                </c:pt>
                <c:pt idx="4">
                  <c:v>On-road heavy duty</c:v>
                </c:pt>
                <c:pt idx="5">
                  <c:v>Off-road </c:v>
                </c:pt>
                <c:pt idx="6">
                  <c:v>Ferry</c:v>
                </c:pt>
                <c:pt idx="7">
                  <c:v>Boat</c:v>
                </c:pt>
                <c:pt idx="8">
                  <c:v>Air</c:v>
                </c:pt>
                <c:pt idx="9">
                  <c:v>Employee Business Travel</c:v>
                </c:pt>
                <c:pt idx="10">
                  <c:v>Employee Commuting</c:v>
                </c:pt>
              </c:strCache>
            </c:strRef>
          </c:cat>
          <c:val>
            <c:numRef>
              <c:f>'5-GHG Emissions Summary'!$B$41:$B$51</c:f>
              <c:numCache>
                <c:formatCode>0%</c:formatCode>
                <c:ptCount val="11"/>
                <c:pt idx="0">
                  <c:v>0.1435843730327433</c:v>
                </c:pt>
                <c:pt idx="1">
                  <c:v>9.2386686703501184E-2</c:v>
                </c:pt>
                <c:pt idx="2">
                  <c:v>0</c:v>
                </c:pt>
                <c:pt idx="3">
                  <c:v>4.0332114980847229E-3</c:v>
                </c:pt>
                <c:pt idx="4">
                  <c:v>0</c:v>
                </c:pt>
                <c:pt idx="5">
                  <c:v>7.1195093690274045E-3</c:v>
                </c:pt>
                <c:pt idx="6">
                  <c:v>0</c:v>
                </c:pt>
                <c:pt idx="7">
                  <c:v>0</c:v>
                </c:pt>
                <c:pt idx="8">
                  <c:v>0</c:v>
                </c:pt>
                <c:pt idx="9">
                  <c:v>0.12135553973432059</c:v>
                </c:pt>
                <c:pt idx="10">
                  <c:v>0.63152067966232284</c:v>
                </c:pt>
              </c:numCache>
            </c:numRef>
          </c:val>
          <c:extLst>
            <c:ext xmlns:c16="http://schemas.microsoft.com/office/drawing/2014/chart" uri="{C3380CC4-5D6E-409C-BE32-E72D297353CC}">
              <c16:uniqueId val="{00000018-DDC8-41A6-80D5-CA76EE818F0B}"/>
            </c:ext>
          </c:extLst>
        </c:ser>
        <c:dLbls>
          <c:showLegendKey val="0"/>
          <c:showVal val="0"/>
          <c:showCatName val="0"/>
          <c:showSerName val="0"/>
          <c:showPercent val="0"/>
          <c:showBubbleSize val="0"/>
          <c:showLeaderLines val="1"/>
        </c:dLbls>
        <c:gapWidth val="100"/>
        <c:secondPieSize val="75"/>
        <c:serLines>
          <c:spPr>
            <a:ln w="9525" cap="flat" cmpd="sng" algn="ctr">
              <a:solidFill>
                <a:schemeClr val="tx1">
                  <a:lumMod val="35000"/>
                  <a:lumOff val="65000"/>
                </a:schemeClr>
              </a:solidFill>
              <a:round/>
            </a:ln>
            <a:effectLst/>
          </c:spPr>
        </c:serLines>
      </c:of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33">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65000"/>
        <a:lumOff val="3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50000"/>
            <a:lumOff val="50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19050">
        <a:solidFill>
          <a:schemeClr val="lt1"/>
        </a:solidFill>
      </a:ln>
    </cs:spPr>
  </cs:dataPoint>
  <cs:dataPoint3D>
    <cs:lnRef idx="0"/>
    <cs:fillRef idx="0">
      <cs:styleClr val="auto"/>
    </cs:fillRef>
    <cs:effectRef idx="0"/>
    <cs:fontRef idx="minor">
      <a:schemeClr val="tx1"/>
    </cs:fontRef>
    <cs:spPr>
      <a:solidFill>
        <a:schemeClr val="phClr"/>
      </a:solidFill>
      <a:ln w="1905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40" b="0" kern="1200" spc="0"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2</xdr:col>
      <xdr:colOff>304800</xdr:colOff>
      <xdr:row>37</xdr:row>
      <xdr:rowOff>14287</xdr:rowOff>
    </xdr:from>
    <xdr:to>
      <xdr:col>14</xdr:col>
      <xdr:colOff>447675</xdr:colOff>
      <xdr:row>50</xdr:row>
      <xdr:rowOff>285751</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ables/table1.xml><?xml version="1.0" encoding="utf-8"?>
<table xmlns="http://schemas.openxmlformats.org/spreadsheetml/2006/main" id="1" name="Table1" displayName="Table1" ref="A8:S206" totalsRowShown="0" headerRowDxfId="22" dataDxfId="20" headerRowBorderDxfId="21" tableBorderDxfId="19">
  <autoFilter ref="A8:S206"/>
  <tableColumns count="19">
    <tableColumn id="1" name="Site" dataDxfId="18"/>
    <tableColumn id="2" name="Facility" dataDxfId="17"/>
    <tableColumn id="20" name="Owned or Leased?" dataDxfId="16"/>
    <tableColumn id="3" name="Primary Type of Space (office, retail, education, vacant, etc.)" dataDxfId="15"/>
    <tableColumn id="15" name="FTEs" dataDxfId="14">
      <calculatedColumnFormula>#REF!</calculatedColumnFormula>
    </tableColumn>
    <tableColumn id="4" name="Sq. Ft." dataDxfId="13"/>
    <tableColumn id="5" name="Natural Gas (therms)" dataDxfId="12"/>
    <tableColumn id="16" name="Natural Gas Purchases ($)" dataDxfId="11"/>
    <tableColumn id="6" name="Fuel Oil (gallons)" dataDxfId="10"/>
    <tableColumn id="7" name="Propane (Gallons)" dataDxfId="9"/>
    <tableColumn id="8" name="Wood _x000a_(short tons)" dataDxfId="8"/>
    <tableColumn id="9" name="Diesel _x000a_(used in fixed generators) (gallons)" dataDxfId="7"/>
    <tableColumn id="10" name="Gasoline (used in fixed generators) (gallons)" dataDxfId="6"/>
    <tableColumn id="17" name="Other fuel (used in fixed equipment) - list fuel &amp; gallons" dataDxfId="5"/>
    <tableColumn id="11" name="Electricity (kwh)" dataDxfId="4"/>
    <tableColumn id="18" name="Electricity Purchases ($)" dataDxfId="3"/>
    <tableColumn id="12" name="Steam_x000a_(MMBtu)" dataDxfId="2"/>
    <tableColumn id="13" name="Onsite Renewable Energy Generated (kwh)" dataDxfId="1"/>
    <tableColumn id="14" name="Green Tags Purchased (kwh)" dataDxfId="0"/>
  </tableColumns>
  <tableStyleInfo name="TableStyleLight16"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hyperlink" Target="mailto:timothy.albertson@seattlecolleges.edu" TargetMode="External"/><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8" Type="http://schemas.openxmlformats.org/officeDocument/2006/relationships/hyperlink" Target="http://www.eia.gov/consumption/commercial/data/archive/cbecs/cbecs2003/detailed_tables_2003/2003set11/2003html/c24.html" TargetMode="External"/><Relationship Id="rId3" Type="http://schemas.openxmlformats.org/officeDocument/2006/relationships/hyperlink" Target="http://tonto.eia.doe.gov/dnav/ng/ng_pri_sum_dcu_SWA_a.htm" TargetMode="External"/><Relationship Id="rId7" Type="http://schemas.openxmlformats.org/officeDocument/2006/relationships/hyperlink" Target="http://www.eia.gov/consumption/commercial/data/archive/cbecs/cbecs2003/detailed_tables_2003/2003set10/2003html/c14.html" TargetMode="External"/><Relationship Id="rId2" Type="http://schemas.openxmlformats.org/officeDocument/2006/relationships/hyperlink" Target="http://tonto.eia.doe.gov/dnav/pet/pet_pri_gnd_dcus_r50_a.htm" TargetMode="External"/><Relationship Id="rId1" Type="http://schemas.openxmlformats.org/officeDocument/2006/relationships/hyperlink" Target="http://www.eia.gov/dnav/pet/pet_pri_gnd_dcus_swa_a.htm" TargetMode="External"/><Relationship Id="rId6" Type="http://schemas.openxmlformats.org/officeDocument/2006/relationships/hyperlink" Target="http://www.eia.gov/electricity/data.cfm" TargetMode="External"/><Relationship Id="rId11" Type="http://schemas.openxmlformats.org/officeDocument/2006/relationships/comments" Target="../comments2.xml"/><Relationship Id="rId5" Type="http://schemas.openxmlformats.org/officeDocument/2006/relationships/hyperlink" Target="http://www.eia.gov/consumption/commercial/reports/2012/energyusage/" TargetMode="External"/><Relationship Id="rId10" Type="http://schemas.openxmlformats.org/officeDocument/2006/relationships/vmlDrawing" Target="../drawings/vmlDrawing2.vml"/><Relationship Id="rId4" Type="http://schemas.openxmlformats.org/officeDocument/2006/relationships/hyperlink" Target="http://www.eia.gov/consumption/commercial/reports/2012/energyusage/" TargetMode="External"/><Relationship Id="rId9"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hyperlink" Target="https://www3.epa.gov/fueleconomy/fetrends/1975-2015/420r15016.pdf" TargetMode="External"/><Relationship Id="rId2" Type="http://schemas.openxmlformats.org/officeDocument/2006/relationships/hyperlink" Target="http://www.eia.gov/dnav/pet/pet_pri_gnd_dcus_r5xca_a.htm" TargetMode="External"/><Relationship Id="rId1" Type="http://schemas.openxmlformats.org/officeDocument/2006/relationships/hyperlink" Target="http://tonto.eia.doe.gov/dnav/pet/pet_pri_gnd_dcus_swa_a.htm" TargetMode="External"/><Relationship Id="rId6" Type="http://schemas.openxmlformats.org/officeDocument/2006/relationships/comments" Target="../comments3.xml"/><Relationship Id="rId5" Type="http://schemas.openxmlformats.org/officeDocument/2006/relationships/vmlDrawing" Target="../drawings/vmlDrawing3.vml"/><Relationship Id="rId4"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printerSettings" Target="../printerSettings/printerSettings5.bin"/><Relationship Id="rId1" Type="http://schemas.openxmlformats.org/officeDocument/2006/relationships/hyperlink" Target="http://www.webflyer.com/travel/milemarker/" TargetMode="External"/><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1.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6.vml"/><Relationship Id="rId1" Type="http://schemas.openxmlformats.org/officeDocument/2006/relationships/printerSettings" Target="../printerSettings/printerSettings7.bin"/><Relationship Id="rId4" Type="http://schemas.openxmlformats.org/officeDocument/2006/relationships/comments" Target="../comments6.xml"/></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www.ipcc.ch/publications_and_data/ar4/wg1/en/ch2s2-10-2.html" TargetMode="External"/><Relationship Id="rId1" Type="http://schemas.openxmlformats.org/officeDocument/2006/relationships/hyperlink" Target="http://www.seattlesteam.com/climate-registry-reporting.htm" TargetMode="External"/><Relationship Id="rId5" Type="http://schemas.openxmlformats.org/officeDocument/2006/relationships/comments" Target="../comments7.xml"/><Relationship Id="rId4" Type="http://schemas.openxmlformats.org/officeDocument/2006/relationships/vmlDrawing" Target="../drawings/vmlDrawing7.vm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www.onlineconversion.com/energy.ht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5"/>
  <sheetViews>
    <sheetView zoomScaleNormal="100" workbookViewId="0">
      <selection activeCell="B19" sqref="B19"/>
    </sheetView>
  </sheetViews>
  <sheetFormatPr defaultRowHeight="15"/>
  <cols>
    <col min="1" max="1" width="28" customWidth="1"/>
  </cols>
  <sheetData>
    <row r="1" spans="1:10" ht="18.75">
      <c r="A1" s="17" t="s">
        <v>59</v>
      </c>
      <c r="B1" s="17"/>
      <c r="C1" s="17"/>
      <c r="D1" s="17"/>
      <c r="E1" s="17"/>
      <c r="F1" s="15"/>
      <c r="G1" s="15"/>
      <c r="H1" s="15"/>
      <c r="I1" s="15"/>
      <c r="J1" s="15"/>
    </row>
    <row r="2" spans="1:10" ht="15.75">
      <c r="A2" s="16" t="s">
        <v>311</v>
      </c>
      <c r="B2" s="15"/>
      <c r="C2" s="15"/>
      <c r="D2" s="15"/>
      <c r="E2" s="15"/>
      <c r="F2" s="15"/>
      <c r="G2" s="15"/>
      <c r="H2" s="15"/>
      <c r="I2" s="15"/>
      <c r="J2" s="15"/>
    </row>
    <row r="3" spans="1:10" s="27" customFormat="1" ht="15.75">
      <c r="A3" s="159" t="s">
        <v>154</v>
      </c>
      <c r="B3" s="687" t="s">
        <v>485</v>
      </c>
      <c r="C3" s="687"/>
      <c r="D3" s="687"/>
      <c r="E3" s="687"/>
      <c r="F3" s="687"/>
      <c r="G3" s="687"/>
    </row>
    <row r="4" spans="1:10" s="27" customFormat="1" ht="15.75">
      <c r="A4" s="159" t="s">
        <v>486</v>
      </c>
      <c r="B4" s="687">
        <v>2016</v>
      </c>
      <c r="C4" s="687"/>
      <c r="D4" s="687"/>
      <c r="E4" s="687"/>
      <c r="F4" s="687"/>
      <c r="G4" s="687"/>
    </row>
    <row r="6" spans="1:10" ht="20.100000000000001" customHeight="1">
      <c r="A6" s="142" t="s">
        <v>363</v>
      </c>
      <c r="B6" s="143" t="s">
        <v>130</v>
      </c>
      <c r="C6" s="143"/>
      <c r="D6" s="143"/>
      <c r="E6" s="143"/>
      <c r="F6" s="143"/>
      <c r="G6" s="143"/>
      <c r="H6" s="143"/>
      <c r="I6" s="143"/>
      <c r="J6" s="143"/>
    </row>
    <row r="7" spans="1:10" ht="20.100000000000001" customHeight="1">
      <c r="A7" s="142" t="s">
        <v>129</v>
      </c>
      <c r="B7" s="143" t="s">
        <v>300</v>
      </c>
      <c r="C7" s="143"/>
      <c r="D7" s="143"/>
      <c r="E7" s="143"/>
      <c r="F7" s="143"/>
      <c r="G7" s="143"/>
      <c r="H7" s="143"/>
      <c r="I7" s="143"/>
      <c r="J7" s="143"/>
    </row>
    <row r="8" spans="1:10" ht="20.100000000000001" customHeight="1">
      <c r="A8" s="142" t="s">
        <v>128</v>
      </c>
      <c r="B8" s="143" t="s">
        <v>301</v>
      </c>
      <c r="C8" s="143"/>
      <c r="D8" s="143"/>
      <c r="E8" s="143"/>
      <c r="F8" s="143"/>
      <c r="G8" s="143"/>
      <c r="H8" s="143"/>
      <c r="I8" s="143"/>
      <c r="J8" s="143"/>
    </row>
    <row r="9" spans="1:10" ht="20.100000000000001" customHeight="1">
      <c r="A9" s="142" t="s">
        <v>127</v>
      </c>
      <c r="B9" s="143" t="s">
        <v>443</v>
      </c>
      <c r="C9" s="143"/>
      <c r="D9" s="143"/>
      <c r="E9" s="143"/>
      <c r="F9" s="143"/>
      <c r="G9" s="143"/>
      <c r="H9" s="143"/>
      <c r="I9" s="143"/>
      <c r="J9" s="143"/>
    </row>
    <row r="10" spans="1:10" ht="20.100000000000001" customHeight="1">
      <c r="A10" s="142" t="s">
        <v>126</v>
      </c>
      <c r="B10" s="143" t="s">
        <v>125</v>
      </c>
      <c r="C10" s="143"/>
      <c r="D10" s="143"/>
      <c r="E10" s="143"/>
      <c r="F10" s="143"/>
      <c r="G10" s="143"/>
      <c r="H10" s="143"/>
      <c r="I10" s="143"/>
      <c r="J10" s="143"/>
    </row>
    <row r="11" spans="1:10" ht="20.100000000000001" customHeight="1">
      <c r="A11" s="142" t="s">
        <v>124</v>
      </c>
      <c r="B11" s="143" t="s">
        <v>122</v>
      </c>
      <c r="C11" s="143"/>
      <c r="D11" s="143"/>
      <c r="E11" s="143"/>
      <c r="F11" s="143"/>
      <c r="G11" s="143"/>
      <c r="H11" s="143"/>
      <c r="I11" s="143"/>
      <c r="J11" s="143"/>
    </row>
    <row r="12" spans="1:10" ht="20.100000000000001" customHeight="1">
      <c r="A12" s="142" t="s">
        <v>296</v>
      </c>
      <c r="B12" s="143" t="s">
        <v>297</v>
      </c>
      <c r="C12" s="143"/>
      <c r="D12" s="143"/>
      <c r="E12" s="143"/>
      <c r="F12" s="143"/>
      <c r="G12" s="143"/>
      <c r="H12" s="143"/>
      <c r="I12" s="143"/>
      <c r="J12" s="143"/>
    </row>
    <row r="13" spans="1:10" ht="20.100000000000001" customHeight="1">
      <c r="A13" s="142" t="s">
        <v>123</v>
      </c>
      <c r="B13" s="143" t="s">
        <v>298</v>
      </c>
      <c r="C13" s="143"/>
      <c r="D13" s="143"/>
      <c r="E13" s="143"/>
      <c r="F13" s="143"/>
      <c r="G13" s="143"/>
      <c r="H13" s="143"/>
      <c r="I13" s="143"/>
      <c r="J13" s="143"/>
    </row>
    <row r="14" spans="1:10" ht="20.100000000000001" customHeight="1">
      <c r="A14" s="142"/>
      <c r="B14" s="143"/>
      <c r="C14" s="143"/>
      <c r="D14" s="143"/>
      <c r="E14" s="143"/>
      <c r="F14" s="143"/>
      <c r="G14" s="143"/>
      <c r="H14" s="143"/>
      <c r="I14" s="143"/>
      <c r="J14" s="143"/>
    </row>
    <row r="15" spans="1:10" ht="15.75">
      <c r="A15" s="160" t="s">
        <v>354</v>
      </c>
      <c r="B15" s="143"/>
      <c r="C15" s="143"/>
      <c r="D15" s="143"/>
      <c r="E15" s="143"/>
      <c r="F15" s="143"/>
      <c r="G15" s="143"/>
      <c r="H15" s="143"/>
      <c r="I15" s="143"/>
      <c r="J15" s="143"/>
    </row>
    <row r="16" spans="1:10" ht="99.95" customHeight="1">
      <c r="A16" s="144" t="s">
        <v>355</v>
      </c>
      <c r="B16" s="688" t="s">
        <v>491</v>
      </c>
      <c r="C16" s="688"/>
      <c r="D16" s="688"/>
      <c r="E16" s="688"/>
      <c r="F16" s="688"/>
      <c r="G16" s="688"/>
      <c r="H16" s="688"/>
      <c r="I16" s="688"/>
      <c r="J16" s="688"/>
    </row>
    <row r="17" spans="1:10" ht="15.75">
      <c r="A17" s="145"/>
      <c r="B17" s="146"/>
      <c r="C17" s="146"/>
      <c r="D17" s="146"/>
      <c r="E17" s="146"/>
      <c r="F17" s="146"/>
      <c r="G17" s="146"/>
      <c r="H17" s="147"/>
      <c r="I17" s="147"/>
      <c r="J17" s="147"/>
    </row>
    <row r="18" spans="1:10" ht="99.95" customHeight="1">
      <c r="A18" s="144" t="s">
        <v>356</v>
      </c>
      <c r="B18" s="688" t="s">
        <v>492</v>
      </c>
      <c r="C18" s="688"/>
      <c r="D18" s="688"/>
      <c r="E18" s="688"/>
      <c r="F18" s="688"/>
      <c r="G18" s="688"/>
      <c r="H18" s="688"/>
      <c r="I18" s="688"/>
      <c r="J18" s="688"/>
    </row>
    <row r="19" spans="1:10" ht="15" customHeight="1">
      <c r="A19" s="145"/>
      <c r="B19" s="146"/>
      <c r="C19" s="146"/>
      <c r="D19" s="146"/>
      <c r="E19" s="146"/>
      <c r="F19" s="146"/>
      <c r="G19" s="146"/>
      <c r="H19" s="147"/>
      <c r="I19" s="147"/>
      <c r="J19" s="147"/>
    </row>
    <row r="20" spans="1:10" ht="99.95" customHeight="1">
      <c r="A20" s="144" t="s">
        <v>310</v>
      </c>
      <c r="B20" s="688"/>
      <c r="C20" s="688"/>
      <c r="D20" s="688"/>
      <c r="E20" s="688"/>
      <c r="F20" s="688"/>
      <c r="G20" s="688"/>
      <c r="H20" s="688"/>
      <c r="I20" s="688"/>
      <c r="J20" s="688"/>
    </row>
    <row r="21" spans="1:10" ht="15" customHeight="1">
      <c r="A21" s="145"/>
      <c r="B21" s="146"/>
      <c r="C21" s="146"/>
      <c r="D21" s="146"/>
      <c r="E21" s="146"/>
      <c r="F21" s="146"/>
      <c r="G21" s="146"/>
      <c r="H21" s="147"/>
      <c r="I21" s="147"/>
      <c r="J21" s="147"/>
    </row>
    <row r="22" spans="1:10" ht="99.95" customHeight="1">
      <c r="A22" s="144" t="s">
        <v>357</v>
      </c>
      <c r="B22" s="688"/>
      <c r="C22" s="688"/>
      <c r="D22" s="688"/>
      <c r="E22" s="688"/>
      <c r="F22" s="688"/>
      <c r="G22" s="688"/>
      <c r="H22" s="688"/>
      <c r="I22" s="688"/>
      <c r="J22" s="688"/>
    </row>
    <row r="23" spans="1:10" ht="15" customHeight="1">
      <c r="A23" s="145"/>
      <c r="B23" s="146"/>
      <c r="C23" s="146"/>
      <c r="D23" s="146"/>
      <c r="E23" s="146"/>
      <c r="F23" s="146"/>
      <c r="G23" s="146"/>
      <c r="H23" s="147"/>
      <c r="I23" s="147"/>
      <c r="J23" s="147"/>
    </row>
    <row r="24" spans="1:10" ht="99.95" customHeight="1">
      <c r="A24" s="144" t="s">
        <v>353</v>
      </c>
      <c r="B24" s="688"/>
      <c r="C24" s="688"/>
      <c r="D24" s="688"/>
      <c r="E24" s="688"/>
      <c r="F24" s="688"/>
      <c r="G24" s="688"/>
      <c r="H24" s="688"/>
      <c r="I24" s="688"/>
      <c r="J24" s="688"/>
    </row>
    <row r="25" spans="1:10">
      <c r="B25" s="139"/>
      <c r="C25" s="139"/>
      <c r="D25" s="139"/>
      <c r="E25" s="139"/>
      <c r="F25" s="139"/>
      <c r="G25" s="139"/>
      <c r="H25" s="139"/>
      <c r="I25" s="139"/>
      <c r="J25" s="139"/>
    </row>
  </sheetData>
  <sheetProtection formatColumns="0" formatRows="0"/>
  <mergeCells count="7">
    <mergeCell ref="B3:G3"/>
    <mergeCell ref="B4:G4"/>
    <mergeCell ref="B18:J18"/>
    <mergeCell ref="B16:J16"/>
    <mergeCell ref="B24:J24"/>
    <mergeCell ref="B22:J22"/>
    <mergeCell ref="B20:J20"/>
  </mergeCells>
  <hyperlinks>
    <hyperlink ref="A6" location="'1-General Agency Info'!A1" display="Worksheet 1"/>
    <hyperlink ref="A7" location="'2-Building Energy Use'!A1" display="Worksheet 2"/>
    <hyperlink ref="A8" location="'3-Fleet Energy Use'!A1" display="Worksheet 3"/>
    <hyperlink ref="A9" location="'4-Travel &amp; CTR'!A1" display="Worksheet 4"/>
    <hyperlink ref="A10" location="'5-GHG Emissions Summary'!A1" display="Worksheet 5"/>
    <hyperlink ref="A11" location="'6-Energy Use by Facility'!A1" display="Worksheet 6"/>
    <hyperlink ref="A12" location="'7-Emissions Factors'!A1" display="Worksheet 7"/>
    <hyperlink ref="A13" location="'8-Conversion Factors'!A1" display="Worksheet 8"/>
  </hyperlinks>
  <pageMargins left="0.7" right="0.7" top="0.75" bottom="0.75" header="0.3" footer="0.3"/>
  <pageSetup scale="81" orientation="portrait" r:id="rId1"/>
  <headerFooter scaleWithDoc="0">
    <oddFooter>&amp;L&amp;"Times New Roman,Regular"&amp;12Agency GHG Calculator
Last updated June 12, 2012&amp;C&amp;"Times New Roman,Regular"&amp;12&amp;A</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2" workbookViewId="0"/>
  </sheetViews>
  <sheetFormatPr defaultRowHeight="1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D23"/>
  <sheetViews>
    <sheetView zoomScaleNormal="100" workbookViewId="0">
      <selection activeCell="B14" sqref="B14:B17"/>
    </sheetView>
  </sheetViews>
  <sheetFormatPr defaultColWidth="9.140625" defaultRowHeight="15"/>
  <cols>
    <col min="1" max="1" width="40" style="1" customWidth="1"/>
    <col min="2" max="2" width="44.85546875" style="1" customWidth="1"/>
    <col min="3" max="3" width="18.42578125" style="1" customWidth="1"/>
    <col min="4" max="4" width="28" style="1" customWidth="1"/>
    <col min="5" max="5" width="28.85546875" style="1" customWidth="1"/>
    <col min="6" max="16384" width="9.140625" style="1"/>
  </cols>
  <sheetData>
    <row r="1" spans="1:4" ht="18.75" customHeight="1">
      <c r="A1" s="25" t="s">
        <v>59</v>
      </c>
      <c r="B1" s="31"/>
      <c r="C1" s="29"/>
      <c r="D1" s="29"/>
    </row>
    <row r="2" spans="1:4" ht="18.75" customHeight="1">
      <c r="A2" s="16" t="s">
        <v>162</v>
      </c>
      <c r="B2" s="30"/>
      <c r="C2" s="29"/>
      <c r="D2" s="29"/>
    </row>
    <row r="3" spans="1:4" ht="15.75" thickBot="1"/>
    <row r="4" spans="1:4" ht="18.75">
      <c r="A4" s="229" t="s">
        <v>6</v>
      </c>
      <c r="B4" s="379" t="str">
        <f>IF(Agency="","",Agency)</f>
        <v>North Seattle College</v>
      </c>
    </row>
    <row r="5" spans="1:4" ht="18.75">
      <c r="A5" s="230" t="s">
        <v>161</v>
      </c>
      <c r="B5" s="380">
        <f>IF(Year="","",Year)</f>
        <v>2016</v>
      </c>
    </row>
    <row r="6" spans="1:4" ht="18.75">
      <c r="A6" s="230" t="s">
        <v>160</v>
      </c>
      <c r="B6" s="381" t="s">
        <v>487</v>
      </c>
    </row>
    <row r="7" spans="1:4" ht="18.75">
      <c r="A7" s="230" t="s">
        <v>7</v>
      </c>
      <c r="B7" s="382" t="s">
        <v>488</v>
      </c>
    </row>
    <row r="8" spans="1:4" ht="19.5" thickBot="1">
      <c r="A8" s="231" t="s">
        <v>8</v>
      </c>
      <c r="B8" s="681" t="s">
        <v>489</v>
      </c>
    </row>
    <row r="9" spans="1:4" ht="19.5" thickBot="1">
      <c r="A9" s="228"/>
      <c r="B9" s="305"/>
    </row>
    <row r="10" spans="1:4" ht="18.75">
      <c r="A10" s="229" t="s">
        <v>159</v>
      </c>
      <c r="B10" s="306">
        <v>560</v>
      </c>
      <c r="C10" s="10"/>
      <c r="D10" s="10"/>
    </row>
    <row r="11" spans="1:4" ht="18.75">
      <c r="A11" s="232" t="s">
        <v>305</v>
      </c>
      <c r="B11" s="307">
        <v>778</v>
      </c>
      <c r="C11" s="10"/>
      <c r="D11" s="10"/>
    </row>
    <row r="12" spans="1:4" ht="41.25" customHeight="1" thickBot="1">
      <c r="A12" s="231" t="s">
        <v>272</v>
      </c>
      <c r="B12" s="308">
        <v>16666</v>
      </c>
      <c r="C12" s="10"/>
      <c r="D12" s="10"/>
    </row>
    <row r="13" spans="1:4" ht="19.5" thickBot="1">
      <c r="A13" s="228"/>
      <c r="B13" s="309"/>
      <c r="C13" s="136"/>
      <c r="D13" s="10"/>
    </row>
    <row r="14" spans="1:4" ht="24" customHeight="1">
      <c r="A14" s="229" t="s">
        <v>365</v>
      </c>
      <c r="B14" s="683">
        <v>735756</v>
      </c>
    </row>
    <row r="15" spans="1:4" ht="45.75" customHeight="1">
      <c r="A15" s="233" t="s">
        <v>424</v>
      </c>
      <c r="B15" s="684">
        <v>0</v>
      </c>
      <c r="C15" s="140"/>
    </row>
    <row r="16" spans="1:4" ht="45" customHeight="1">
      <c r="A16" s="230" t="s">
        <v>366</v>
      </c>
      <c r="B16" s="685">
        <v>0</v>
      </c>
    </row>
    <row r="17" spans="1:2" ht="44.25" customHeight="1" thickBot="1">
      <c r="A17" s="234" t="s">
        <v>199</v>
      </c>
      <c r="B17" s="686">
        <v>0</v>
      </c>
    </row>
    <row r="18" spans="1:2" ht="20.25" thickTop="1" thickBot="1">
      <c r="A18" s="235" t="s">
        <v>304</v>
      </c>
      <c r="B18" s="310">
        <f>SUM(B14:B17)</f>
        <v>735756</v>
      </c>
    </row>
    <row r="23" spans="1:2" ht="18.75" customHeight="1"/>
  </sheetData>
  <sheetProtection formatColumns="0" formatRows="0"/>
  <hyperlinks>
    <hyperlink ref="B8" r:id="rId1"/>
  </hyperlinks>
  <pageMargins left="0.7" right="0.7" top="0.75" bottom="0.75" header="0.3" footer="0.3"/>
  <pageSetup scale="97" orientation="portrait" r:id="rId2"/>
  <headerFooter scaleWithDoc="0">
    <oddFooter>&amp;C&amp;"Times New Roman,Regular"&amp;12&amp;A</oddFooter>
  </headerFooter>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75"/>
  <sheetViews>
    <sheetView tabSelected="1" topLeftCell="A16" zoomScaleNormal="100" workbookViewId="0">
      <selection activeCell="C21" sqref="C21"/>
    </sheetView>
  </sheetViews>
  <sheetFormatPr defaultColWidth="9.140625" defaultRowHeight="15"/>
  <cols>
    <col min="1" max="1" width="13.7109375" style="1" customWidth="1"/>
    <col min="2" max="2" width="25.5703125" style="1" customWidth="1"/>
    <col min="3" max="3" width="16.28515625" style="88" bestFit="1" customWidth="1"/>
    <col min="4" max="4" width="14.7109375" style="88" customWidth="1"/>
    <col min="5" max="5" width="14" style="88" customWidth="1"/>
    <col min="6" max="6" width="0.140625" style="88" customWidth="1"/>
    <col min="7" max="7" width="13.140625" style="88" bestFit="1" customWidth="1"/>
    <col min="8" max="8" width="10.5703125" style="88" bestFit="1" customWidth="1"/>
    <col min="9" max="9" width="4.5703125" style="88" bestFit="1" customWidth="1"/>
    <col min="10" max="10" width="4.85546875" style="88" bestFit="1" customWidth="1"/>
    <col min="11" max="11" width="8.28515625" style="88" bestFit="1" customWidth="1"/>
    <col min="12" max="12" width="6" style="88" bestFit="1" customWidth="1"/>
    <col min="13" max="13" width="9.140625" style="1" customWidth="1"/>
    <col min="14" max="14" width="11.42578125" style="1" customWidth="1"/>
    <col min="15" max="15" width="9.140625" style="1" customWidth="1"/>
    <col min="16" max="16" width="15.28515625" style="1" customWidth="1"/>
    <col min="17" max="18" width="12.5703125" style="1" customWidth="1"/>
    <col min="19" max="19" width="15.85546875" style="1" customWidth="1"/>
    <col min="20" max="27" width="9.140625" style="1" customWidth="1"/>
    <col min="28" max="28" width="5.5703125" style="1" customWidth="1"/>
    <col min="29" max="29" width="10.7109375" style="1" hidden="1" customWidth="1"/>
    <col min="30" max="30" width="0.140625" style="1" hidden="1" customWidth="1"/>
    <col min="31" max="31" width="14" style="1" hidden="1" customWidth="1"/>
    <col min="32" max="32" width="15.28515625" style="1" hidden="1" customWidth="1"/>
    <col min="33" max="33" width="0.140625" style="1" customWidth="1"/>
    <col min="34" max="34" width="18.42578125" style="1" customWidth="1"/>
    <col min="35" max="16384" width="9.140625" style="1"/>
  </cols>
  <sheetData>
    <row r="1" spans="1:33" ht="18.75">
      <c r="A1" s="25" t="s">
        <v>59</v>
      </c>
      <c r="B1" s="22"/>
      <c r="C1" s="85"/>
      <c r="D1" s="85"/>
      <c r="E1" s="85"/>
      <c r="F1" s="85"/>
      <c r="G1" s="85"/>
      <c r="H1" s="85"/>
      <c r="I1" s="85"/>
      <c r="J1" s="85"/>
      <c r="K1" s="85"/>
      <c r="L1" s="85"/>
      <c r="M1" s="2"/>
    </row>
    <row r="2" spans="1:33" ht="15.75">
      <c r="A2" s="16" t="s">
        <v>302</v>
      </c>
      <c r="B2" s="22"/>
      <c r="C2" s="92"/>
      <c r="D2" s="92"/>
      <c r="E2" s="92"/>
      <c r="F2" s="92"/>
      <c r="G2" s="86"/>
      <c r="H2" s="86"/>
      <c r="I2" s="85"/>
      <c r="J2" s="85"/>
      <c r="K2" s="85"/>
      <c r="L2" s="85"/>
      <c r="M2" s="2"/>
    </row>
    <row r="3" spans="1:33" ht="16.5">
      <c r="A3" s="576" t="s">
        <v>154</v>
      </c>
      <c r="B3" s="311" t="str">
        <f>IF(Agency="","",Agency)</f>
        <v>North Seattle College</v>
      </c>
      <c r="C3" s="312"/>
      <c r="D3" s="313" t="s">
        <v>65</v>
      </c>
      <c r="E3" s="314" t="s">
        <v>66</v>
      </c>
      <c r="F3" s="314"/>
      <c r="G3" s="315" t="s">
        <v>67</v>
      </c>
      <c r="H3" s="87"/>
      <c r="J3" s="136"/>
      <c r="K3" s="136"/>
      <c r="L3" s="136"/>
    </row>
    <row r="4" spans="1:33" ht="21.75" customHeight="1">
      <c r="A4" s="576" t="s">
        <v>153</v>
      </c>
      <c r="B4" s="311">
        <f>IF(Year="","",Year)</f>
        <v>2016</v>
      </c>
      <c r="C4" s="312"/>
      <c r="D4" s="312"/>
      <c r="E4" s="312"/>
      <c r="F4" s="312"/>
      <c r="G4" s="316"/>
      <c r="H4" s="87"/>
      <c r="J4" s="136"/>
      <c r="K4" s="136"/>
      <c r="L4" s="136"/>
    </row>
    <row r="5" spans="1:33" ht="19.5" customHeight="1">
      <c r="A5" s="21"/>
      <c r="B5" s="135"/>
      <c r="C5" s="93"/>
      <c r="D5" s="93"/>
      <c r="E5" s="93"/>
      <c r="F5" s="93"/>
      <c r="G5" s="87"/>
      <c r="H5" s="87"/>
      <c r="J5" s="136"/>
      <c r="K5" s="136"/>
      <c r="L5" s="136"/>
    </row>
    <row r="6" spans="1:33" ht="262.5" customHeight="1" thickBot="1">
      <c r="A6" s="691" t="s">
        <v>452</v>
      </c>
      <c r="B6" s="691"/>
      <c r="C6" s="691"/>
      <c r="D6" s="691"/>
      <c r="E6" s="691"/>
      <c r="F6" s="691"/>
      <c r="G6" s="691"/>
      <c r="H6" s="275"/>
      <c r="I6" s="275"/>
      <c r="J6" s="275"/>
      <c r="K6" s="275"/>
      <c r="L6" s="666"/>
    </row>
    <row r="7" spans="1:33" ht="66.75" customHeight="1" thickBot="1">
      <c r="A7" s="689" t="s">
        <v>402</v>
      </c>
      <c r="B7" s="690"/>
      <c r="C7" s="272" t="s">
        <v>381</v>
      </c>
      <c r="D7" s="272" t="s">
        <v>382</v>
      </c>
      <c r="E7" s="272" t="s">
        <v>383</v>
      </c>
      <c r="F7" s="654"/>
      <c r="G7" s="281" t="s">
        <v>152</v>
      </c>
      <c r="H7" s="276"/>
      <c r="I7" s="276"/>
      <c r="J7" s="276"/>
      <c r="K7" s="277"/>
      <c r="L7" s="667"/>
      <c r="M7" s="2"/>
      <c r="N7" s="2"/>
      <c r="Q7" s="2"/>
      <c r="AC7" s="95" t="s">
        <v>190</v>
      </c>
      <c r="AD7" s="95" t="s">
        <v>186</v>
      </c>
      <c r="AE7" s="95" t="s">
        <v>187</v>
      </c>
      <c r="AF7" s="95" t="s">
        <v>188</v>
      </c>
      <c r="AG7" s="95" t="s">
        <v>189</v>
      </c>
    </row>
    <row r="8" spans="1:33" ht="68.25" customHeight="1" thickBot="1">
      <c r="A8" s="282" t="s">
        <v>385</v>
      </c>
      <c r="B8" s="283" t="s">
        <v>384</v>
      </c>
      <c r="C8" s="317" t="s">
        <v>190</v>
      </c>
      <c r="D8" s="317" t="s">
        <v>190</v>
      </c>
      <c r="E8" s="317" t="s">
        <v>427</v>
      </c>
      <c r="F8" s="655"/>
      <c r="G8" s="318" t="s">
        <v>182</v>
      </c>
      <c r="H8" s="278" t="s">
        <v>418</v>
      </c>
      <c r="I8" s="240" t="s">
        <v>151</v>
      </c>
      <c r="J8" s="240" t="s">
        <v>150</v>
      </c>
      <c r="K8" s="241" t="s">
        <v>419</v>
      </c>
      <c r="L8" s="668"/>
      <c r="M8" s="2"/>
      <c r="N8" s="2"/>
      <c r="Q8" s="2"/>
    </row>
    <row r="9" spans="1:33" ht="15" customHeight="1">
      <c r="A9" s="701" t="s">
        <v>63</v>
      </c>
      <c r="B9" s="319" t="s">
        <v>0</v>
      </c>
      <c r="C9" s="320">
        <v>35798</v>
      </c>
      <c r="D9" s="320"/>
      <c r="E9" s="321">
        <f>SUM(C9:D9)</f>
        <v>35798</v>
      </c>
      <c r="F9" s="656"/>
      <c r="G9" s="322">
        <f>SUM(H9:K9)</f>
        <v>190.98483586</v>
      </c>
      <c r="H9" s="279">
        <f>(AC9*AD9)/1000</f>
        <v>189.944188</v>
      </c>
      <c r="I9" s="245">
        <f t="shared" ref="I9:I18" si="0">((AC9*AF9)/1000000)*25</f>
        <v>8.0545499999999992E-2</v>
      </c>
      <c r="J9" s="245">
        <f t="shared" ref="J9:J18" si="1">((AC9*AG9)/1000000)*298</f>
        <v>0.96010235999999993</v>
      </c>
      <c r="K9" s="246">
        <v>0</v>
      </c>
      <c r="L9" s="669"/>
      <c r="AC9" s="91">
        <f>E9</f>
        <v>35798</v>
      </c>
      <c r="AD9" s="1">
        <f>'7-Emissions Factors'!$C$5</f>
        <v>5.306</v>
      </c>
      <c r="AF9" s="1">
        <f>'7-Emissions Factors'!E5</f>
        <v>0.09</v>
      </c>
      <c r="AG9" s="1">
        <f>'7-Emissions Factors'!G5</f>
        <v>0.09</v>
      </c>
    </row>
    <row r="10" spans="1:33" ht="15.75">
      <c r="A10" s="702"/>
      <c r="B10" s="323" t="s">
        <v>1</v>
      </c>
      <c r="C10" s="324"/>
      <c r="D10" s="324"/>
      <c r="E10" s="325">
        <f t="shared" ref="E10:E18" si="2">SUM(C10:D10)</f>
        <v>0</v>
      </c>
      <c r="F10" s="657"/>
      <c r="G10" s="326">
        <f>SUM(H10:K10)</f>
        <v>0</v>
      </c>
      <c r="H10" s="279">
        <f>(AC10*AD10)/1000</f>
        <v>0</v>
      </c>
      <c r="I10" s="245">
        <f t="shared" si="0"/>
        <v>0</v>
      </c>
      <c r="J10" s="245">
        <f t="shared" si="1"/>
        <v>0</v>
      </c>
      <c r="K10" s="246">
        <v>0</v>
      </c>
      <c r="L10" s="669"/>
      <c r="AC10" s="91">
        <f t="shared" ref="AC10:AC18" si="3">E10</f>
        <v>0</v>
      </c>
      <c r="AD10" s="1">
        <f>'7-Emissions Factors'!C6</f>
        <v>10.210000000000001</v>
      </c>
      <c r="AF10" s="1">
        <f>'7-Emissions Factors'!E6</f>
        <v>0.19600000000000001</v>
      </c>
      <c r="AG10" s="1">
        <f>'7-Emissions Factors'!G6</f>
        <v>4.2000000000000003E-2</v>
      </c>
    </row>
    <row r="11" spans="1:33" ht="15.75">
      <c r="A11" s="702"/>
      <c r="B11" s="323" t="s">
        <v>2</v>
      </c>
      <c r="C11" s="324"/>
      <c r="D11" s="324"/>
      <c r="E11" s="325">
        <f t="shared" si="2"/>
        <v>0</v>
      </c>
      <c r="F11" s="657"/>
      <c r="G11" s="326">
        <f>SUM(H11:K11)</f>
        <v>0</v>
      </c>
      <c r="H11" s="279">
        <f>(AC11*AD11)/1000</f>
        <v>0</v>
      </c>
      <c r="I11" s="245">
        <f t="shared" si="0"/>
        <v>0</v>
      </c>
      <c r="J11" s="245">
        <f t="shared" si="1"/>
        <v>0</v>
      </c>
      <c r="K11" s="246">
        <v>0</v>
      </c>
      <c r="L11" s="669"/>
      <c r="AC11" s="91">
        <f t="shared" si="3"/>
        <v>0</v>
      </c>
      <c r="AD11" s="1">
        <f>'7-Emissions Factors'!C12</f>
        <v>5.72</v>
      </c>
      <c r="AF11" s="1">
        <f>'7-Emissions Factors'!E12</f>
        <v>1.0009999999999999</v>
      </c>
      <c r="AG11" s="1">
        <f>'7-Emissions Factors'!G12</f>
        <v>5.4600000000000003E-2</v>
      </c>
    </row>
    <row r="12" spans="1:33" ht="15.75">
      <c r="A12" s="702"/>
      <c r="B12" s="323" t="s">
        <v>62</v>
      </c>
      <c r="C12" s="324"/>
      <c r="D12" s="324"/>
      <c r="E12" s="325">
        <f t="shared" si="2"/>
        <v>0</v>
      </c>
      <c r="F12" s="657"/>
      <c r="G12" s="326">
        <f>SUM(H12,I12:K12)</f>
        <v>0</v>
      </c>
      <c r="H12" s="279">
        <v>0</v>
      </c>
      <c r="I12" s="245">
        <f t="shared" si="0"/>
        <v>0</v>
      </c>
      <c r="J12" s="245">
        <f t="shared" si="1"/>
        <v>0</v>
      </c>
      <c r="K12" s="246">
        <f>(AC12*AE12)/1000</f>
        <v>0</v>
      </c>
      <c r="L12" s="669"/>
      <c r="AC12" s="91">
        <f t="shared" si="3"/>
        <v>0</v>
      </c>
      <c r="AE12" s="1">
        <f>'7-Emissions Factors'!C11</f>
        <v>1639.62</v>
      </c>
      <c r="AF12" s="1">
        <f>'7-Emissions Factors'!E11</f>
        <v>143.03</v>
      </c>
      <c r="AG12" s="1">
        <f>'7-Emissions Factors'!G11</f>
        <v>90.74</v>
      </c>
    </row>
    <row r="13" spans="1:33" ht="31.5">
      <c r="A13" s="702"/>
      <c r="B13" s="323" t="s">
        <v>308</v>
      </c>
      <c r="C13" s="324"/>
      <c r="D13" s="324"/>
      <c r="E13" s="325">
        <f t="shared" si="2"/>
        <v>0</v>
      </c>
      <c r="F13" s="657"/>
      <c r="G13" s="326">
        <f>SUM(H13:K13)</f>
        <v>0</v>
      </c>
      <c r="H13" s="279">
        <f>(AC13*AD13)/1000</f>
        <v>0</v>
      </c>
      <c r="I13" s="245">
        <f t="shared" si="0"/>
        <v>0</v>
      </c>
      <c r="J13" s="245">
        <f t="shared" si="1"/>
        <v>0</v>
      </c>
      <c r="K13" s="246">
        <v>0</v>
      </c>
      <c r="L13" s="669"/>
      <c r="AC13" s="91">
        <f t="shared" si="3"/>
        <v>0</v>
      </c>
      <c r="AD13" s="1">
        <f>'7-Emissions Factors'!C7</f>
        <v>10.210000000000001</v>
      </c>
      <c r="AF13" s="1">
        <f>'7-Emissions Factors'!E7</f>
        <v>9.6600000000000005E-2</v>
      </c>
      <c r="AG13" s="1">
        <f>'7-Emissions Factors'!G7</f>
        <v>5.5199999999999999E-2</v>
      </c>
    </row>
    <row r="14" spans="1:33" ht="31.5">
      <c r="A14" s="702"/>
      <c r="B14" s="323" t="s">
        <v>312</v>
      </c>
      <c r="C14" s="324"/>
      <c r="D14" s="324"/>
      <c r="E14" s="325">
        <f t="shared" si="2"/>
        <v>0</v>
      </c>
      <c r="F14" s="657"/>
      <c r="G14" s="326">
        <f>SUM(H14:J14)</f>
        <v>0</v>
      </c>
      <c r="H14" s="279">
        <v>0</v>
      </c>
      <c r="I14" s="245">
        <f t="shared" si="0"/>
        <v>0</v>
      </c>
      <c r="J14" s="245">
        <f t="shared" si="1"/>
        <v>0</v>
      </c>
      <c r="K14" s="246">
        <f>(AC14*AE14)/1000</f>
        <v>0</v>
      </c>
      <c r="L14" s="669"/>
      <c r="AC14" s="91">
        <f t="shared" si="3"/>
        <v>0</v>
      </c>
      <c r="AE14" s="1">
        <v>9.4499999999999993</v>
      </c>
      <c r="AF14" s="1">
        <v>8.9599999999999999E-2</v>
      </c>
      <c r="AG14" s="1">
        <v>5.1200000000000002E-2</v>
      </c>
    </row>
    <row r="15" spans="1:33" ht="31.5">
      <c r="A15" s="702"/>
      <c r="B15" s="323" t="s">
        <v>307</v>
      </c>
      <c r="C15" s="324"/>
      <c r="D15" s="324"/>
      <c r="E15" s="325">
        <f t="shared" si="2"/>
        <v>0</v>
      </c>
      <c r="F15" s="657"/>
      <c r="G15" s="326">
        <f>SUM(H15:K15)</f>
        <v>0</v>
      </c>
      <c r="H15" s="279">
        <f>(AC15*AD15)/1000</f>
        <v>0</v>
      </c>
      <c r="I15" s="245">
        <f t="shared" si="0"/>
        <v>0</v>
      </c>
      <c r="J15" s="245">
        <f t="shared" si="1"/>
        <v>0</v>
      </c>
      <c r="K15" s="246">
        <v>0</v>
      </c>
      <c r="L15" s="669"/>
      <c r="AC15" s="91">
        <f t="shared" si="3"/>
        <v>0</v>
      </c>
      <c r="AD15" s="1">
        <f>'7-Emissions Factors'!C9</f>
        <v>8.7799999999999994</v>
      </c>
      <c r="AF15" s="1">
        <f>'7-Emissions Factors'!E9</f>
        <v>8.7499999999999994E-2</v>
      </c>
      <c r="AG15" s="1">
        <f>'7-Emissions Factors'!G9</f>
        <v>0.05</v>
      </c>
    </row>
    <row r="16" spans="1:33" ht="31.5">
      <c r="A16" s="702"/>
      <c r="B16" s="323" t="s">
        <v>313</v>
      </c>
      <c r="C16" s="324"/>
      <c r="D16" s="324"/>
      <c r="E16" s="325">
        <f t="shared" si="2"/>
        <v>0</v>
      </c>
      <c r="F16" s="657"/>
      <c r="G16" s="326">
        <f>SUM(H16,I16:K16)</f>
        <v>0</v>
      </c>
      <c r="H16" s="279">
        <v>0</v>
      </c>
      <c r="I16" s="245">
        <f t="shared" si="0"/>
        <v>0</v>
      </c>
      <c r="J16" s="245">
        <f t="shared" si="1"/>
        <v>0</v>
      </c>
      <c r="K16" s="246">
        <f>(AC16*AE16)/1000</f>
        <v>0</v>
      </c>
      <c r="L16" s="669"/>
      <c r="AC16" s="91">
        <f t="shared" si="3"/>
        <v>0</v>
      </c>
      <c r="AE16" s="1">
        <v>5.75</v>
      </c>
      <c r="AF16" s="1">
        <v>5.8799999999999998E-2</v>
      </c>
      <c r="AG16" s="1">
        <v>3.3599999999999998E-2</v>
      </c>
    </row>
    <row r="17" spans="1:33" ht="31.5">
      <c r="A17" s="702"/>
      <c r="B17" s="323" t="s">
        <v>337</v>
      </c>
      <c r="C17" s="324"/>
      <c r="D17" s="324"/>
      <c r="E17" s="325">
        <f t="shared" si="2"/>
        <v>0</v>
      </c>
      <c r="F17" s="657"/>
      <c r="G17" s="326">
        <f>SUM(H17:K17)</f>
        <v>0</v>
      </c>
      <c r="H17" s="279">
        <f>(AC17*AD17)/1000</f>
        <v>0</v>
      </c>
      <c r="I17" s="245">
        <f t="shared" si="0"/>
        <v>0</v>
      </c>
      <c r="J17" s="245">
        <f t="shared" si="1"/>
        <v>0</v>
      </c>
      <c r="K17" s="246">
        <v>0</v>
      </c>
      <c r="L17" s="669"/>
      <c r="AC17" s="91">
        <f t="shared" si="3"/>
        <v>0</v>
      </c>
      <c r="AD17" s="1">
        <f>'7-Emissions Factors'!C13</f>
        <v>8.31</v>
      </c>
      <c r="AF17" s="1">
        <f>'7-Emissions Factors'!E13</f>
        <v>1.32</v>
      </c>
      <c r="AG17" s="1">
        <f>'7-Emissions Factors'!G13</f>
        <v>7.1999999999999995E-2</v>
      </c>
    </row>
    <row r="18" spans="1:33" ht="32.25" thickBot="1">
      <c r="A18" s="700"/>
      <c r="B18" s="327" t="s">
        <v>338</v>
      </c>
      <c r="C18" s="328"/>
      <c r="D18" s="328"/>
      <c r="E18" s="329">
        <f t="shared" si="2"/>
        <v>0</v>
      </c>
      <c r="F18" s="658"/>
      <c r="G18" s="330">
        <f>SUM(H18:K18)</f>
        <v>0</v>
      </c>
      <c r="H18" s="280">
        <f>(AC18*AD18)/1000</f>
        <v>0</v>
      </c>
      <c r="I18" s="247">
        <f t="shared" si="0"/>
        <v>0</v>
      </c>
      <c r="J18" s="247">
        <f t="shared" si="1"/>
        <v>0</v>
      </c>
      <c r="K18" s="248">
        <v>0</v>
      </c>
      <c r="L18" s="669"/>
      <c r="AC18" s="91">
        <f t="shared" si="3"/>
        <v>0</v>
      </c>
      <c r="AD18" s="1">
        <f>'7-Emissions Factors'!C14</f>
        <v>9.75</v>
      </c>
      <c r="AF18" s="1">
        <f>'7-Emissions Factors'!E14</f>
        <v>1.4850000000000001</v>
      </c>
      <c r="AG18" s="1">
        <f>'7-Emissions Factors'!G14</f>
        <v>8.1000000000000003E-2</v>
      </c>
    </row>
    <row r="19" spans="1:33" ht="21.75" customHeight="1" thickBot="1">
      <c r="A19" s="19"/>
      <c r="B19" s="331"/>
      <c r="C19" s="332"/>
      <c r="D19" s="333"/>
      <c r="E19" s="334" t="s">
        <v>185</v>
      </c>
      <c r="F19" s="659"/>
      <c r="G19" s="335">
        <f>SUM(G9:G18)</f>
        <v>190.98483586</v>
      </c>
      <c r="H19" s="249">
        <f>SUM(H9:H18)</f>
        <v>189.944188</v>
      </c>
      <c r="I19" s="249">
        <f>SUM(I9:I18)</f>
        <v>8.0545499999999992E-2</v>
      </c>
      <c r="J19" s="249">
        <f>SUM(J9:J18)</f>
        <v>0.96010235999999993</v>
      </c>
      <c r="K19" s="250">
        <f>SUM(K9:K18)</f>
        <v>0</v>
      </c>
      <c r="L19" s="669"/>
    </row>
    <row r="20" spans="1:33" ht="16.5" thickBot="1">
      <c r="B20" s="336"/>
      <c r="C20" s="337"/>
      <c r="D20" s="337"/>
      <c r="E20" s="337"/>
      <c r="F20" s="337"/>
      <c r="G20" s="337"/>
      <c r="H20" s="90"/>
      <c r="I20" s="90"/>
      <c r="J20" s="90"/>
      <c r="K20" s="90"/>
      <c r="L20" s="90"/>
    </row>
    <row r="21" spans="1:33" ht="50.25" customHeight="1">
      <c r="A21" s="699" t="s">
        <v>64</v>
      </c>
      <c r="B21" s="338" t="s">
        <v>306</v>
      </c>
      <c r="C21" s="339">
        <v>9660820</v>
      </c>
      <c r="D21" s="339"/>
      <c r="E21" s="340">
        <f>SUM(C21:D21)</f>
        <v>9660820</v>
      </c>
      <c r="F21" s="340"/>
      <c r="G21" s="341">
        <f>E21*0.00001272</f>
        <v>122.8856304</v>
      </c>
      <c r="H21" s="682">
        <v>1.272E-5</v>
      </c>
      <c r="I21" s="243"/>
      <c r="J21" s="243"/>
      <c r="K21" s="244"/>
      <c r="L21" s="90"/>
      <c r="AC21" s="91">
        <f>E21</f>
        <v>9660820</v>
      </c>
      <c r="AD21" s="1">
        <f>'7-Emissions Factors'!C19</f>
        <v>0.30225049999999998</v>
      </c>
      <c r="AF21" s="94">
        <f>'7-Emissions Factors'!E19</f>
        <v>5.7153600000000006E-2</v>
      </c>
      <c r="AG21" s="94">
        <f>'7-Emissions Factors'!G19</f>
        <v>4.70733E-3</v>
      </c>
    </row>
    <row r="22" spans="1:33" ht="48" customHeight="1" thickBot="1">
      <c r="A22" s="700"/>
      <c r="B22" s="327" t="s">
        <v>191</v>
      </c>
      <c r="C22" s="328"/>
      <c r="D22" s="328"/>
      <c r="E22" s="342">
        <f>SUM(C22:D22)</f>
        <v>0</v>
      </c>
      <c r="F22" s="342"/>
      <c r="G22" s="343">
        <f>SUM(H22:K22)</f>
        <v>0</v>
      </c>
      <c r="H22" s="236">
        <f>(AC22*AD22)</f>
        <v>0</v>
      </c>
      <c r="I22" s="236">
        <f>((AC22*AF22)/1000000)*25</f>
        <v>0</v>
      </c>
      <c r="J22" s="236">
        <f>((AC22*AG22)/1000000)*298</f>
        <v>0</v>
      </c>
      <c r="K22" s="242">
        <v>0</v>
      </c>
      <c r="L22" s="90"/>
      <c r="AC22" s="91">
        <f>E22</f>
        <v>0</v>
      </c>
      <c r="AD22" s="1">
        <f>'7-Emissions Factors'!C21</f>
        <v>7.0699999999999999E-2</v>
      </c>
      <c r="AF22" s="1">
        <f>'7-Emissions Factors'!E21</f>
        <v>0</v>
      </c>
      <c r="AG22" s="1">
        <f>'7-Emissions Factors'!G21</f>
        <v>0</v>
      </c>
    </row>
    <row r="23" spans="1:33" ht="16.5" thickBot="1">
      <c r="A23" s="18"/>
      <c r="B23" s="331"/>
      <c r="C23" s="332"/>
      <c r="D23" s="344"/>
      <c r="E23" s="345" t="s">
        <v>185</v>
      </c>
      <c r="F23" s="660"/>
      <c r="G23" s="346">
        <f>SUM(G21:G22)</f>
        <v>122.8856304</v>
      </c>
      <c r="H23" s="238">
        <f>SUM(H21:H22)</f>
        <v>1.272E-5</v>
      </c>
      <c r="I23" s="238">
        <f>SUM(I21:I22)</f>
        <v>0</v>
      </c>
      <c r="J23" s="238">
        <f>SUM(J21:J22)</f>
        <v>0</v>
      </c>
      <c r="K23" s="239">
        <f>SUM(K21:K22)</f>
        <v>0</v>
      </c>
      <c r="L23" s="90"/>
      <c r="M23" s="90"/>
      <c r="N23" s="90"/>
      <c r="O23" s="90"/>
      <c r="P23" s="90"/>
      <c r="Q23" s="90"/>
      <c r="R23" s="90"/>
      <c r="S23" s="90"/>
      <c r="T23" s="90"/>
      <c r="U23" s="90"/>
      <c r="V23" s="90"/>
      <c r="W23" s="90"/>
      <c r="X23" s="90"/>
      <c r="Y23" s="90"/>
      <c r="Z23" s="90"/>
      <c r="AA23" s="90"/>
    </row>
    <row r="24" spans="1:33" ht="15.75" thickBot="1">
      <c r="A24" s="18"/>
      <c r="B24" s="10"/>
      <c r="D24" s="89"/>
      <c r="E24" s="89"/>
      <c r="F24" s="89"/>
      <c r="G24" s="90"/>
      <c r="H24" s="90"/>
      <c r="I24" s="90"/>
      <c r="J24" s="90"/>
      <c r="K24" s="90"/>
      <c r="L24" s="90"/>
      <c r="M24" s="90"/>
      <c r="N24" s="90"/>
      <c r="O24" s="90"/>
      <c r="P24" s="90"/>
      <c r="Q24" s="90"/>
      <c r="R24" s="90"/>
      <c r="S24" s="90"/>
      <c r="T24" s="90"/>
      <c r="U24" s="90"/>
      <c r="V24" s="90"/>
      <c r="W24" s="90"/>
      <c r="X24" s="90"/>
      <c r="Y24" s="90"/>
      <c r="Z24" s="90"/>
      <c r="AA24" s="90"/>
    </row>
    <row r="25" spans="1:33" ht="19.5" customHeight="1" thickBot="1">
      <c r="A25" s="18"/>
      <c r="B25" s="692" t="s">
        <v>425</v>
      </c>
      <c r="C25" s="693"/>
      <c r="D25" s="693"/>
      <c r="E25" s="694"/>
      <c r="F25" s="661"/>
      <c r="G25" s="90"/>
      <c r="H25" s="90"/>
      <c r="I25" s="90"/>
      <c r="J25" s="90"/>
      <c r="K25" s="90"/>
      <c r="L25" s="90"/>
      <c r="M25" s="90"/>
      <c r="N25" s="90"/>
      <c r="O25" s="90"/>
      <c r="P25" s="90"/>
      <c r="Q25" s="90"/>
      <c r="R25" s="90"/>
      <c r="S25" s="90"/>
      <c r="T25" s="90"/>
      <c r="U25" s="90"/>
      <c r="V25" s="90"/>
      <c r="W25" s="90"/>
      <c r="X25" s="90"/>
    </row>
    <row r="26" spans="1:33" ht="18.75" customHeight="1">
      <c r="B26" s="274" t="s">
        <v>426</v>
      </c>
      <c r="C26" s="347" t="s">
        <v>147</v>
      </c>
      <c r="D26" s="348" t="s">
        <v>444</v>
      </c>
      <c r="E26" s="349" t="s">
        <v>146</v>
      </c>
      <c r="F26" s="662"/>
    </row>
    <row r="27" spans="1:33" ht="17.25" customHeight="1">
      <c r="B27" s="350" t="s">
        <v>145</v>
      </c>
      <c r="C27" s="351"/>
      <c r="D27" s="325">
        <v>11</v>
      </c>
      <c r="E27" s="352">
        <f t="shared" ref="E27:E42" si="4">C27*D27</f>
        <v>0</v>
      </c>
      <c r="F27" s="663"/>
    </row>
    <row r="28" spans="1:33" ht="15.75">
      <c r="B28" s="350" t="s">
        <v>144</v>
      </c>
      <c r="C28" s="351"/>
      <c r="D28" s="325">
        <v>48.7</v>
      </c>
      <c r="E28" s="352">
        <f t="shared" si="4"/>
        <v>0</v>
      </c>
      <c r="F28" s="663"/>
    </row>
    <row r="29" spans="1:33" s="11" customFormat="1" ht="15.75">
      <c r="B29" s="350" t="s">
        <v>143</v>
      </c>
      <c r="C29" s="351"/>
      <c r="D29" s="325">
        <v>44.9</v>
      </c>
      <c r="E29" s="352">
        <f t="shared" si="4"/>
        <v>0</v>
      </c>
      <c r="F29" s="663"/>
    </row>
    <row r="30" spans="1:33" ht="15.75">
      <c r="B30" s="350" t="s">
        <v>142</v>
      </c>
      <c r="C30" s="351"/>
      <c r="D30" s="325">
        <v>25.8</v>
      </c>
      <c r="E30" s="352">
        <f t="shared" si="4"/>
        <v>0</v>
      </c>
      <c r="F30" s="663"/>
    </row>
    <row r="31" spans="1:33" ht="15.75">
      <c r="B31" s="353" t="s">
        <v>141</v>
      </c>
      <c r="C31" s="351"/>
      <c r="D31" s="354">
        <v>31</v>
      </c>
      <c r="E31" s="352">
        <f t="shared" si="4"/>
        <v>0</v>
      </c>
      <c r="F31" s="663"/>
    </row>
    <row r="32" spans="1:33" ht="15.75">
      <c r="B32" s="353" t="s">
        <v>140</v>
      </c>
      <c r="C32" s="351"/>
      <c r="D32" s="354">
        <v>18.7</v>
      </c>
      <c r="E32" s="352">
        <f t="shared" si="4"/>
        <v>0</v>
      </c>
      <c r="F32" s="663"/>
      <c r="K32" s="1"/>
      <c r="L32" s="1"/>
    </row>
    <row r="33" spans="1:17" ht="18" customHeight="1">
      <c r="B33" s="353" t="s">
        <v>139</v>
      </c>
      <c r="C33" s="351"/>
      <c r="D33" s="354">
        <v>15.3</v>
      </c>
      <c r="E33" s="352">
        <f t="shared" si="4"/>
        <v>0</v>
      </c>
      <c r="F33" s="663"/>
      <c r="K33" s="1"/>
      <c r="L33" s="1"/>
    </row>
    <row r="34" spans="1:17" ht="15.75">
      <c r="B34" s="353" t="s">
        <v>138</v>
      </c>
      <c r="C34" s="351"/>
      <c r="D34" s="354">
        <v>15.2</v>
      </c>
      <c r="E34" s="352">
        <f t="shared" si="4"/>
        <v>0</v>
      </c>
      <c r="F34" s="663"/>
      <c r="K34" s="1"/>
      <c r="L34" s="1"/>
    </row>
    <row r="35" spans="1:17" ht="15.75">
      <c r="B35" s="353" t="s">
        <v>137</v>
      </c>
      <c r="C35" s="351"/>
      <c r="D35" s="354">
        <v>15.9</v>
      </c>
      <c r="E35" s="352">
        <f t="shared" si="4"/>
        <v>0</v>
      </c>
      <c r="F35" s="663"/>
      <c r="K35" s="1"/>
      <c r="L35" s="1"/>
    </row>
    <row r="36" spans="1:17" s="10" customFormat="1" ht="15.75">
      <c r="B36" s="353" t="s">
        <v>136</v>
      </c>
      <c r="C36" s="351"/>
      <c r="D36" s="354">
        <v>14.5</v>
      </c>
      <c r="E36" s="352">
        <f t="shared" si="4"/>
        <v>0</v>
      </c>
      <c r="F36" s="663"/>
    </row>
    <row r="37" spans="1:17" ht="15.75">
      <c r="B37" s="353" t="s">
        <v>135</v>
      </c>
      <c r="C37" s="351"/>
      <c r="D37" s="354">
        <v>14.9</v>
      </c>
      <c r="E37" s="352">
        <f t="shared" si="4"/>
        <v>0</v>
      </c>
      <c r="F37" s="663"/>
      <c r="K37" s="1"/>
      <c r="L37" s="1"/>
    </row>
    <row r="38" spans="1:17" ht="15.75">
      <c r="B38" s="353" t="s">
        <v>134</v>
      </c>
      <c r="C38" s="351"/>
      <c r="D38" s="354">
        <v>5.2</v>
      </c>
      <c r="E38" s="352">
        <f t="shared" si="4"/>
        <v>0</v>
      </c>
      <c r="F38" s="663"/>
      <c r="K38" s="1"/>
      <c r="L38" s="1"/>
    </row>
    <row r="39" spans="1:17" ht="15.75">
      <c r="B39" s="353" t="s">
        <v>133</v>
      </c>
      <c r="C39" s="351"/>
      <c r="D39" s="354">
        <v>8.3000000000000007</v>
      </c>
      <c r="E39" s="352">
        <f t="shared" si="4"/>
        <v>0</v>
      </c>
      <c r="F39" s="663"/>
      <c r="K39" s="1"/>
      <c r="L39" s="1"/>
    </row>
    <row r="40" spans="1:17" ht="15.75">
      <c r="B40" s="353" t="s">
        <v>132</v>
      </c>
      <c r="C40" s="351"/>
      <c r="D40" s="354">
        <v>6.6</v>
      </c>
      <c r="E40" s="352">
        <f t="shared" si="4"/>
        <v>0</v>
      </c>
      <c r="F40" s="663"/>
      <c r="K40" s="1"/>
      <c r="L40" s="1"/>
    </row>
    <row r="41" spans="1:17" ht="15.75">
      <c r="B41" s="353" t="s">
        <v>50</v>
      </c>
      <c r="C41" s="351"/>
      <c r="D41" s="354">
        <v>28.3</v>
      </c>
      <c r="E41" s="352">
        <f t="shared" si="4"/>
        <v>0</v>
      </c>
      <c r="F41" s="663"/>
      <c r="K41" s="1"/>
      <c r="L41" s="1"/>
    </row>
    <row r="42" spans="1:17" s="2" customFormat="1" ht="15.75" customHeight="1" thickBot="1">
      <c r="B42" s="355" t="s">
        <v>131</v>
      </c>
      <c r="C42" s="356"/>
      <c r="D42" s="357">
        <v>4.5</v>
      </c>
      <c r="E42" s="358">
        <f t="shared" si="4"/>
        <v>0</v>
      </c>
      <c r="F42" s="663"/>
    </row>
    <row r="43" spans="1:17" s="2" customFormat="1" ht="16.5" thickBot="1">
      <c r="B43" s="336"/>
      <c r="C43" s="336"/>
      <c r="D43" s="334" t="s">
        <v>392</v>
      </c>
      <c r="E43" s="359">
        <f>SUM(E27:E42)</f>
        <v>0</v>
      </c>
      <c r="F43" s="664"/>
    </row>
    <row r="44" spans="1:17" s="2" customFormat="1" ht="16.5" thickBot="1">
      <c r="D44" s="336" t="s">
        <v>319</v>
      </c>
      <c r="E44" s="157" t="s">
        <v>483</v>
      </c>
      <c r="F44" s="157" t="s">
        <v>473</v>
      </c>
      <c r="K44" s="1"/>
      <c r="L44" s="1"/>
      <c r="M44" s="88"/>
    </row>
    <row r="45" spans="1:17" s="2" customFormat="1" ht="19.5" customHeight="1" thickBot="1">
      <c r="A45" s="1"/>
      <c r="B45" s="695" t="s">
        <v>428</v>
      </c>
      <c r="C45" s="696"/>
      <c r="D45" s="696"/>
      <c r="E45" s="697"/>
      <c r="F45" s="665"/>
      <c r="G45" s="88"/>
      <c r="H45" s="88"/>
      <c r="I45" s="88"/>
      <c r="J45" s="88"/>
      <c r="K45" s="88"/>
      <c r="L45" s="88"/>
      <c r="M45" s="1"/>
      <c r="N45" s="141"/>
      <c r="O45" s="1"/>
      <c r="P45" s="1"/>
      <c r="Q45" s="1"/>
    </row>
    <row r="46" spans="1:17" ht="17.25" customHeight="1" thickBot="1">
      <c r="B46" s="284" t="s">
        <v>426</v>
      </c>
      <c r="C46" s="360" t="s">
        <v>147</v>
      </c>
      <c r="D46" s="360" t="s">
        <v>445</v>
      </c>
      <c r="E46" s="361" t="s">
        <v>309</v>
      </c>
      <c r="F46" s="662"/>
      <c r="I46" s="1"/>
      <c r="J46" s="1"/>
      <c r="K46" s="1"/>
      <c r="L46" s="1"/>
    </row>
    <row r="47" spans="1:17" ht="17.25" customHeight="1">
      <c r="B47" s="362" t="s">
        <v>145</v>
      </c>
      <c r="C47" s="363"/>
      <c r="D47" s="364">
        <v>0.29799999999999999</v>
      </c>
      <c r="E47" s="365">
        <f>C47*D47</f>
        <v>0</v>
      </c>
      <c r="F47" s="663"/>
      <c r="I47" s="1"/>
      <c r="J47" s="1"/>
      <c r="K47" s="1"/>
      <c r="L47" s="1"/>
    </row>
    <row r="48" spans="1:17" ht="15" customHeight="1">
      <c r="B48" s="350" t="s">
        <v>144</v>
      </c>
      <c r="C48" s="366"/>
      <c r="D48" s="367">
        <v>0.61299999999999999</v>
      </c>
      <c r="E48" s="352">
        <f t="shared" ref="E48:E62" si="5">C48*D48</f>
        <v>0</v>
      </c>
      <c r="F48" s="663"/>
      <c r="I48" s="1"/>
      <c r="J48" s="1"/>
      <c r="K48" s="1"/>
      <c r="L48" s="1"/>
    </row>
    <row r="49" spans="2:29" ht="15.75">
      <c r="B49" s="350" t="s">
        <v>143</v>
      </c>
      <c r="C49" s="366"/>
      <c r="D49" s="367">
        <v>1.5920000000000001</v>
      </c>
      <c r="E49" s="352">
        <f t="shared" si="5"/>
        <v>0</v>
      </c>
      <c r="F49" s="663"/>
      <c r="I49" s="1"/>
      <c r="J49" s="1"/>
      <c r="K49" s="1"/>
      <c r="L49" s="1"/>
    </row>
    <row r="50" spans="2:29" ht="15.75">
      <c r="B50" s="350" t="s">
        <v>142</v>
      </c>
      <c r="C50" s="366"/>
      <c r="D50" s="367">
        <v>0.78500000000000003</v>
      </c>
      <c r="E50" s="352">
        <f t="shared" si="5"/>
        <v>0</v>
      </c>
      <c r="F50" s="663"/>
      <c r="I50" s="1"/>
      <c r="J50" s="1"/>
      <c r="K50" s="1"/>
      <c r="L50" s="1"/>
    </row>
    <row r="51" spans="2:29" ht="15.75">
      <c r="B51" s="353" t="s">
        <v>141</v>
      </c>
      <c r="C51" s="366"/>
      <c r="D51" s="368">
        <v>1.0109999999999999</v>
      </c>
      <c r="E51" s="352">
        <f t="shared" si="5"/>
        <v>0</v>
      </c>
      <c r="F51" s="663"/>
      <c r="I51" s="1"/>
      <c r="J51" s="1"/>
      <c r="K51" s="1"/>
      <c r="L51" s="1"/>
    </row>
    <row r="52" spans="2:29" ht="15.75">
      <c r="B52" s="353" t="s">
        <v>140</v>
      </c>
      <c r="C52" s="366"/>
      <c r="D52" s="368">
        <v>0.38</v>
      </c>
      <c r="E52" s="352">
        <f t="shared" si="5"/>
        <v>0</v>
      </c>
      <c r="F52" s="663"/>
      <c r="I52" s="1"/>
      <c r="J52" s="1"/>
      <c r="K52" s="1"/>
      <c r="L52" s="1"/>
    </row>
    <row r="53" spans="2:29" ht="15.75">
      <c r="B53" s="353" t="s">
        <v>139</v>
      </c>
      <c r="C53" s="366"/>
      <c r="D53" s="368">
        <v>0.438</v>
      </c>
      <c r="E53" s="352">
        <f t="shared" si="5"/>
        <v>0</v>
      </c>
      <c r="F53" s="663"/>
      <c r="I53" s="1"/>
      <c r="J53" s="1"/>
      <c r="K53" s="1"/>
      <c r="L53" s="1"/>
    </row>
    <row r="54" spans="2:29" ht="15.75">
      <c r="B54" s="353" t="s">
        <v>138</v>
      </c>
      <c r="C54" s="366"/>
      <c r="D54" s="368">
        <v>0.215</v>
      </c>
      <c r="E54" s="352">
        <f t="shared" si="5"/>
        <v>0</v>
      </c>
      <c r="F54" s="663"/>
      <c r="I54" s="1"/>
      <c r="J54" s="1"/>
      <c r="K54" s="1"/>
      <c r="L54" s="1"/>
    </row>
    <row r="55" spans="2:29" ht="15.75">
      <c r="B55" s="353" t="s">
        <v>137</v>
      </c>
      <c r="C55" s="366"/>
      <c r="D55" s="368">
        <v>0.26800000000000002</v>
      </c>
      <c r="E55" s="352">
        <f t="shared" si="5"/>
        <v>0</v>
      </c>
      <c r="F55" s="663"/>
      <c r="I55" s="1"/>
      <c r="J55" s="1"/>
      <c r="K55" s="1"/>
      <c r="L55" s="1"/>
    </row>
    <row r="56" spans="2:29" ht="15.75">
      <c r="B56" s="353" t="s">
        <v>136</v>
      </c>
      <c r="C56" s="366"/>
      <c r="D56" s="368">
        <v>0.33900000000000002</v>
      </c>
      <c r="E56" s="352">
        <f t="shared" si="5"/>
        <v>0</v>
      </c>
      <c r="F56" s="663"/>
      <c r="I56" s="1"/>
      <c r="J56" s="1"/>
      <c r="K56" s="1"/>
      <c r="L56" s="1"/>
    </row>
    <row r="57" spans="2:29" ht="15.75">
      <c r="B57" s="353" t="s">
        <v>135</v>
      </c>
      <c r="C57" s="366"/>
      <c r="D57" s="368">
        <v>0.39500000000000002</v>
      </c>
      <c r="E57" s="352">
        <f t="shared" si="5"/>
        <v>0</v>
      </c>
      <c r="F57" s="663"/>
    </row>
    <row r="58" spans="2:29" ht="15.75">
      <c r="B58" s="353" t="s">
        <v>134</v>
      </c>
      <c r="C58" s="366"/>
      <c r="D58" s="368">
        <v>0.28100000000000003</v>
      </c>
      <c r="E58" s="352">
        <f t="shared" si="5"/>
        <v>0</v>
      </c>
      <c r="F58" s="663"/>
    </row>
    <row r="59" spans="2:29" ht="15.75">
      <c r="B59" s="353" t="s">
        <v>133</v>
      </c>
      <c r="C59" s="366"/>
      <c r="D59" s="368">
        <v>0.42699999999999999</v>
      </c>
      <c r="E59" s="352">
        <f t="shared" si="5"/>
        <v>0</v>
      </c>
      <c r="F59" s="663"/>
    </row>
    <row r="60" spans="2:29" ht="15.75">
      <c r="B60" s="353" t="s">
        <v>132</v>
      </c>
      <c r="C60" s="366"/>
      <c r="D60" s="368">
        <v>0.19400000000000001</v>
      </c>
      <c r="E60" s="352">
        <f t="shared" si="5"/>
        <v>0</v>
      </c>
      <c r="F60" s="663"/>
    </row>
    <row r="61" spans="2:29" ht="15.75">
      <c r="B61" s="353" t="s">
        <v>50</v>
      </c>
      <c r="C61" s="366"/>
      <c r="D61" s="368">
        <v>0.57199999999999995</v>
      </c>
      <c r="E61" s="352">
        <f t="shared" si="5"/>
        <v>0</v>
      </c>
      <c r="F61" s="663"/>
    </row>
    <row r="62" spans="2:29" ht="16.5" thickBot="1">
      <c r="B62" s="355" t="s">
        <v>131</v>
      </c>
      <c r="C62" s="369"/>
      <c r="D62" s="370">
        <v>0.13900000000000001</v>
      </c>
      <c r="E62" s="358">
        <f t="shared" si="5"/>
        <v>0</v>
      </c>
      <c r="F62" s="663"/>
    </row>
    <row r="63" spans="2:29" ht="16.5" thickBot="1">
      <c r="B63" s="336"/>
      <c r="C63" s="371"/>
      <c r="D63" s="334" t="s">
        <v>391</v>
      </c>
      <c r="E63" s="359">
        <f>SUM(E47:E62)</f>
        <v>0</v>
      </c>
      <c r="F63" s="664"/>
    </row>
    <row r="64" spans="2:29" ht="195">
      <c r="B64" s="336"/>
      <c r="C64" s="332"/>
      <c r="D64" s="336" t="s">
        <v>319</v>
      </c>
      <c r="E64" s="157" t="s">
        <v>484</v>
      </c>
      <c r="F64" s="598" t="s">
        <v>474</v>
      </c>
      <c r="G64" s="150"/>
      <c r="P64" s="151"/>
      <c r="Q64" s="151"/>
      <c r="R64" s="151"/>
      <c r="S64" s="151"/>
      <c r="T64" s="151"/>
      <c r="U64" s="151"/>
      <c r="V64" s="151"/>
      <c r="W64" s="151"/>
      <c r="X64" s="151"/>
      <c r="Y64" s="151"/>
      <c r="Z64" s="151"/>
      <c r="AA64" s="151"/>
      <c r="AB64" s="151"/>
      <c r="AC64" s="151"/>
    </row>
    <row r="65" spans="2:32" ht="18.75">
      <c r="B65" s="698" t="s">
        <v>431</v>
      </c>
      <c r="C65" s="698"/>
      <c r="D65" s="698"/>
      <c r="E65" s="698"/>
      <c r="F65" s="698"/>
      <c r="G65" s="698"/>
      <c r="H65" s="647"/>
      <c r="I65" s="647"/>
      <c r="J65" s="647"/>
      <c r="K65" s="647"/>
      <c r="L65" s="647"/>
      <c r="M65" s="648"/>
      <c r="AF65" s="150"/>
    </row>
    <row r="66" spans="2:32" ht="19.5" customHeight="1">
      <c r="B66" s="645" t="s">
        <v>388</v>
      </c>
      <c r="C66" s="646" t="s">
        <v>387</v>
      </c>
      <c r="D66" s="646" t="s">
        <v>429</v>
      </c>
      <c r="E66" s="646" t="s">
        <v>459</v>
      </c>
      <c r="F66" s="649">
        <v>2013</v>
      </c>
      <c r="G66" s="649">
        <v>2014</v>
      </c>
      <c r="H66" s="650"/>
      <c r="I66" s="650"/>
      <c r="J66" s="650"/>
      <c r="K66" s="651"/>
      <c r="L66" s="670">
        <v>2015</v>
      </c>
      <c r="M66" s="651"/>
      <c r="AE66" s="150"/>
    </row>
    <row r="67" spans="2:32" ht="15.75">
      <c r="B67" s="372" t="s">
        <v>170</v>
      </c>
      <c r="C67" s="373">
        <v>1.02</v>
      </c>
      <c r="D67" s="374">
        <v>1.01</v>
      </c>
      <c r="E67" s="373">
        <v>1.03</v>
      </c>
      <c r="F67" s="615">
        <v>0.92</v>
      </c>
      <c r="G67" s="615">
        <v>0.9</v>
      </c>
      <c r="H67" s="650"/>
      <c r="I67" s="650"/>
      <c r="J67" s="651"/>
      <c r="K67" s="651"/>
      <c r="L67" s="670">
        <v>0.91</v>
      </c>
      <c r="M67" s="599" t="s">
        <v>318</v>
      </c>
    </row>
    <row r="68" spans="2:32" ht="15.75">
      <c r="B68" s="372" t="s">
        <v>166</v>
      </c>
      <c r="C68" s="373">
        <v>7.0099999999999996E-2</v>
      </c>
      <c r="D68" s="373">
        <v>7.51E-2</v>
      </c>
      <c r="E68" s="375">
        <v>7.4999999999999997E-2</v>
      </c>
      <c r="F68" s="616">
        <v>7.7600000000000002E-2</v>
      </c>
      <c r="G68" s="616">
        <v>7.7600000000000002E-2</v>
      </c>
      <c r="H68" s="650"/>
      <c r="I68" s="650"/>
      <c r="J68" s="651"/>
      <c r="K68" s="651"/>
      <c r="L68" s="670">
        <v>7.4999999999999997E-2</v>
      </c>
      <c r="M68" s="652" t="s">
        <v>318</v>
      </c>
    </row>
    <row r="69" spans="2:32" ht="15.75">
      <c r="B69" s="376" t="s">
        <v>389</v>
      </c>
      <c r="C69" s="373">
        <v>3.06</v>
      </c>
      <c r="D69" s="373">
        <v>3.77</v>
      </c>
      <c r="E69" s="373">
        <v>3.88</v>
      </c>
      <c r="F69" s="597">
        <v>3.69</v>
      </c>
      <c r="G69" s="597">
        <v>3.6</v>
      </c>
      <c r="H69" s="650"/>
      <c r="I69" s="650"/>
      <c r="J69" s="651"/>
      <c r="K69" s="651"/>
      <c r="L69" s="671">
        <v>2.75</v>
      </c>
      <c r="M69" s="653" t="s">
        <v>318</v>
      </c>
    </row>
    <row r="70" spans="2:32" ht="16.5" thickBot="1">
      <c r="B70" s="377" t="s">
        <v>390</v>
      </c>
      <c r="C70" s="378">
        <v>3.12</v>
      </c>
      <c r="D70" s="378">
        <v>3.94</v>
      </c>
      <c r="E70" s="378">
        <v>4.09</v>
      </c>
      <c r="F70" s="597">
        <v>4.05</v>
      </c>
      <c r="G70" s="597">
        <v>3.99</v>
      </c>
      <c r="H70" s="650"/>
      <c r="I70" s="650"/>
      <c r="J70" s="651"/>
      <c r="K70" s="651"/>
      <c r="L70" s="671">
        <v>2.89</v>
      </c>
      <c r="M70" s="653" t="s">
        <v>318</v>
      </c>
    </row>
    <row r="71" spans="2:32">
      <c r="B71" s="149"/>
      <c r="C71" s="150"/>
      <c r="D71" s="150"/>
      <c r="E71" s="150"/>
      <c r="F71" s="150"/>
      <c r="G71" s="150"/>
      <c r="K71" s="1"/>
      <c r="L71" s="1"/>
    </row>
    <row r="72" spans="2:32">
      <c r="B72" s="149"/>
      <c r="C72" s="150"/>
      <c r="D72" s="150"/>
      <c r="E72" s="150"/>
      <c r="F72" s="150"/>
      <c r="G72" s="150"/>
      <c r="K72" s="1"/>
      <c r="L72" s="1"/>
    </row>
    <row r="73" spans="2:32">
      <c r="B73" s="149"/>
      <c r="C73" s="150"/>
      <c r="D73" s="150"/>
      <c r="E73" s="150"/>
      <c r="F73" s="150"/>
      <c r="G73" s="150"/>
      <c r="K73" s="1"/>
      <c r="L73" s="1"/>
    </row>
    <row r="74" spans="2:32">
      <c r="B74" s="149"/>
      <c r="C74" s="150"/>
      <c r="D74" s="150"/>
      <c r="E74" s="150"/>
      <c r="F74" s="150"/>
      <c r="G74" s="150"/>
      <c r="H74" s="150"/>
    </row>
    <row r="75" spans="2:32">
      <c r="H75" s="150"/>
    </row>
  </sheetData>
  <sheetProtection formatColumns="0" formatRows="0"/>
  <mergeCells count="7">
    <mergeCell ref="A7:B7"/>
    <mergeCell ref="A6:G6"/>
    <mergeCell ref="B25:E25"/>
    <mergeCell ref="B45:E45"/>
    <mergeCell ref="B65:G65"/>
    <mergeCell ref="A21:A22"/>
    <mergeCell ref="A9:A18"/>
  </mergeCells>
  <hyperlinks>
    <hyperlink ref="M69" r:id="rId1"/>
    <hyperlink ref="M70" r:id="rId2"/>
    <hyperlink ref="M67" r:id="rId3"/>
    <hyperlink ref="F44" r:id="rId4"/>
    <hyperlink ref="F64" r:id="rId5"/>
    <hyperlink ref="M68" r:id="rId6"/>
    <hyperlink ref="E44" r:id="rId7"/>
    <hyperlink ref="E64" r:id="rId8"/>
  </hyperlinks>
  <pageMargins left="0.25" right="0.25" top="0.75" bottom="0.75" header="0.3" footer="0.3"/>
  <pageSetup scale="82" fitToHeight="2" orientation="portrait" r:id="rId9"/>
  <headerFooter scaleWithDoc="0">
    <oddFooter>&amp;C&amp;"Times New Roman,Regular"&amp;12&amp;A</oddFooter>
  </headerFooter>
  <rowBreaks count="1" manualBreakCount="1">
    <brk id="23" max="5" man="1"/>
  </rowBreaks>
  <ignoredErrors>
    <ignoredError sqref="G12" formula="1"/>
  </ignoredErrors>
  <legacyDrawing r:id="rId1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P88"/>
  <sheetViews>
    <sheetView zoomScale="74" zoomScaleNormal="74" workbookViewId="0">
      <selection activeCell="E75" sqref="E75"/>
    </sheetView>
  </sheetViews>
  <sheetFormatPr defaultColWidth="9.140625" defaultRowHeight="15"/>
  <cols>
    <col min="1" max="1" width="15.28515625" style="27" customWidth="1"/>
    <col min="2" max="2" width="42.7109375" style="55" customWidth="1"/>
    <col min="3" max="3" width="15.42578125" style="12" customWidth="1"/>
    <col min="4" max="4" width="9.140625" style="20"/>
    <col min="5" max="5" width="10.85546875" style="56" customWidth="1"/>
    <col min="6" max="6" width="10.42578125" style="12" customWidth="1"/>
    <col min="7" max="7" width="12.85546875" style="12" customWidth="1"/>
    <col min="8" max="8" width="12.140625" style="12" customWidth="1"/>
    <col min="9" max="9" width="9.140625" style="7" customWidth="1"/>
    <col min="10" max="10" width="9.140625" style="57" customWidth="1"/>
    <col min="11" max="11" width="12.5703125" style="12" customWidth="1"/>
    <col min="12" max="12" width="8.42578125" style="12" customWidth="1"/>
    <col min="13" max="13" width="8.85546875" style="12" customWidth="1"/>
    <col min="14" max="14" width="10.28515625" style="57" customWidth="1"/>
    <col min="15" max="15" width="9.7109375" style="57" customWidth="1"/>
    <col min="16" max="16" width="9.5703125" style="12" customWidth="1"/>
    <col min="17" max="17" width="8.85546875" style="12" customWidth="1"/>
    <col min="18" max="21" width="9.140625" style="27" customWidth="1"/>
    <col min="22" max="22" width="6" style="27" customWidth="1"/>
    <col min="23" max="26" width="9.140625" style="27" hidden="1" customWidth="1"/>
    <col min="27" max="27" width="12.28515625" style="27" customWidth="1"/>
    <col min="28" max="28" width="0.140625" style="58" hidden="1" customWidth="1"/>
    <col min="29" max="29" width="16.42578125" style="58" hidden="1" customWidth="1"/>
    <col min="30" max="30" width="18.28515625" style="27" hidden="1" customWidth="1"/>
    <col min="31" max="31" width="0.140625" style="27" hidden="1" customWidth="1"/>
    <col min="32" max="32" width="23" style="27" hidden="1" customWidth="1"/>
    <col min="33" max="33" width="18" style="27" hidden="1" customWidth="1"/>
    <col min="34" max="34" width="0.140625" style="27" hidden="1" customWidth="1"/>
    <col min="35" max="35" width="15.42578125" style="27" hidden="1" customWidth="1"/>
    <col min="36" max="36" width="0.140625" style="27" hidden="1" customWidth="1"/>
    <col min="37" max="37" width="0.5703125" style="27" hidden="1" customWidth="1"/>
    <col min="38" max="38" width="16.85546875" style="27" hidden="1" customWidth="1"/>
    <col min="39" max="39" width="15.85546875" style="27" hidden="1" customWidth="1"/>
    <col min="40" max="40" width="13.7109375" style="59" hidden="1" customWidth="1"/>
    <col min="41" max="41" width="0.5703125" style="27" customWidth="1"/>
    <col min="42" max="42" width="14.7109375" style="27" hidden="1" customWidth="1"/>
    <col min="43" max="45" width="9.140625" style="27" customWidth="1"/>
    <col min="46" max="16384" width="9.140625" style="27"/>
  </cols>
  <sheetData>
    <row r="1" spans="1:42" s="15" customFormat="1" ht="18.75">
      <c r="A1" s="25" t="s">
        <v>59</v>
      </c>
      <c r="B1" s="49"/>
      <c r="C1" s="50"/>
      <c r="D1" s="23"/>
      <c r="E1" s="51"/>
      <c r="F1" s="50"/>
      <c r="G1" s="50"/>
      <c r="H1" s="50"/>
      <c r="I1" s="24"/>
      <c r="J1" s="52"/>
      <c r="K1" s="50"/>
      <c r="L1" s="50"/>
      <c r="M1" s="50"/>
      <c r="N1" s="52"/>
      <c r="O1" s="52"/>
      <c r="P1" s="50"/>
      <c r="Q1" s="50"/>
      <c r="AB1" s="53"/>
      <c r="AC1" s="53"/>
      <c r="AN1" s="54"/>
    </row>
    <row r="2" spans="1:42" s="15" customFormat="1" ht="15.75">
      <c r="A2" s="16" t="s">
        <v>303</v>
      </c>
      <c r="B2" s="49"/>
      <c r="C2" s="50"/>
      <c r="D2" s="23"/>
      <c r="E2" s="51"/>
      <c r="F2" s="50"/>
      <c r="G2" s="50"/>
      <c r="H2" s="50"/>
      <c r="I2" s="24"/>
      <c r="J2" s="52"/>
      <c r="K2" s="50"/>
      <c r="L2" s="50"/>
      <c r="M2" s="50"/>
      <c r="N2" s="52"/>
      <c r="O2" s="52"/>
      <c r="P2" s="50"/>
      <c r="Q2" s="50"/>
      <c r="AB2" s="53"/>
      <c r="AC2" s="53"/>
      <c r="AN2" s="54"/>
    </row>
    <row r="3" spans="1:42" ht="16.5">
      <c r="A3" s="187" t="s">
        <v>154</v>
      </c>
      <c r="B3" s="311" t="str">
        <f>IF(Agency="","",Agency)</f>
        <v>North Seattle College</v>
      </c>
      <c r="C3" s="313" t="s">
        <v>65</v>
      </c>
      <c r="D3" s="314" t="s">
        <v>66</v>
      </c>
      <c r="E3" s="315" t="s">
        <v>67</v>
      </c>
    </row>
    <row r="4" spans="1:42" ht="17.25" thickBot="1">
      <c r="A4" s="187" t="s">
        <v>153</v>
      </c>
      <c r="B4" s="311">
        <f>IF(Year="","",Year)</f>
        <v>2016</v>
      </c>
      <c r="C4" s="428"/>
      <c r="D4" s="559"/>
      <c r="E4" s="427"/>
    </row>
    <row r="5" spans="1:42" s="60" customFormat="1" ht="45" customHeight="1" thickBot="1">
      <c r="A5" s="717" t="s">
        <v>448</v>
      </c>
      <c r="B5" s="718"/>
      <c r="C5" s="719" t="s">
        <v>21</v>
      </c>
      <c r="D5" s="720"/>
      <c r="E5" s="720"/>
      <c r="F5" s="720"/>
      <c r="G5" s="720"/>
      <c r="H5" s="720"/>
      <c r="I5" s="720"/>
      <c r="J5" s="721"/>
      <c r="K5" s="287" t="s">
        <v>68</v>
      </c>
      <c r="L5" s="285"/>
      <c r="M5" s="285"/>
      <c r="N5" s="285"/>
      <c r="O5" s="285"/>
      <c r="P5" s="286"/>
      <c r="Q5" s="624"/>
      <c r="AB5" s="61"/>
      <c r="AC5" s="61"/>
      <c r="AN5" s="62"/>
    </row>
    <row r="6" spans="1:42" s="63" customFormat="1" ht="66.75" customHeight="1" thickBot="1">
      <c r="A6" s="466" t="s">
        <v>403</v>
      </c>
      <c r="B6" s="467" t="s">
        <v>23</v>
      </c>
      <c r="C6" s="468" t="s">
        <v>69</v>
      </c>
      <c r="D6" s="469" t="s">
        <v>421</v>
      </c>
      <c r="E6" s="470" t="s">
        <v>70</v>
      </c>
      <c r="F6" s="470" t="s">
        <v>71</v>
      </c>
      <c r="G6" s="470" t="s">
        <v>289</v>
      </c>
      <c r="H6" s="470" t="s">
        <v>72</v>
      </c>
      <c r="I6" s="470" t="s">
        <v>73</v>
      </c>
      <c r="J6" s="479" t="s">
        <v>121</v>
      </c>
      <c r="K6" s="471" t="s">
        <v>371</v>
      </c>
      <c r="L6" s="290" t="s">
        <v>404</v>
      </c>
      <c r="M6" s="267" t="s">
        <v>405</v>
      </c>
      <c r="N6" s="267" t="s">
        <v>406</v>
      </c>
      <c r="O6" s="266" t="s">
        <v>407</v>
      </c>
      <c r="P6" s="268" t="s">
        <v>423</v>
      </c>
      <c r="Q6" s="627"/>
      <c r="AB6" s="64" t="s">
        <v>96</v>
      </c>
      <c r="AC6" s="64" t="s">
        <v>97</v>
      </c>
      <c r="AD6" s="63" t="s">
        <v>98</v>
      </c>
      <c r="AE6" s="63" t="s">
        <v>99</v>
      </c>
      <c r="AF6" s="63" t="s">
        <v>100</v>
      </c>
      <c r="AG6" s="63" t="s">
        <v>101</v>
      </c>
      <c r="AH6" s="63" t="s">
        <v>102</v>
      </c>
      <c r="AI6" s="63" t="s">
        <v>103</v>
      </c>
      <c r="AJ6" s="63" t="s">
        <v>105</v>
      </c>
      <c r="AK6" s="63" t="s">
        <v>106</v>
      </c>
      <c r="AL6" s="63" t="s">
        <v>107</v>
      </c>
      <c r="AM6" s="63" t="s">
        <v>108</v>
      </c>
      <c r="AN6" s="65" t="s">
        <v>112</v>
      </c>
      <c r="AO6" s="63" t="s">
        <v>113</v>
      </c>
      <c r="AP6" s="63" t="s">
        <v>114</v>
      </c>
    </row>
    <row r="7" spans="1:42" ht="27" customHeight="1">
      <c r="A7" s="705" t="s">
        <v>95</v>
      </c>
      <c r="B7" s="459" t="s">
        <v>450</v>
      </c>
      <c r="C7" s="472"/>
      <c r="D7" s="473"/>
      <c r="E7" s="474"/>
      <c r="F7" s="475"/>
      <c r="G7" s="475"/>
      <c r="H7" s="475"/>
      <c r="I7" s="404"/>
      <c r="J7" s="405"/>
      <c r="K7" s="406"/>
      <c r="L7" s="291"/>
      <c r="M7" s="263"/>
      <c r="N7" s="263"/>
      <c r="O7" s="262"/>
      <c r="P7" s="264"/>
    </row>
    <row r="8" spans="1:42" ht="29.25" customHeight="1">
      <c r="A8" s="706"/>
      <c r="B8" s="461" t="s">
        <v>446</v>
      </c>
      <c r="C8" s="407"/>
      <c r="D8" s="408">
        <v>7.0000000000000007E-2</v>
      </c>
      <c r="E8" s="411"/>
      <c r="F8" s="410"/>
      <c r="G8" s="476"/>
      <c r="H8" s="445"/>
      <c r="I8" s="412"/>
      <c r="J8" s="413" t="str">
        <f>IF(G8="","",G8/C8)</f>
        <v/>
      </c>
      <c r="K8" s="414">
        <f>SUM(L8:O8)</f>
        <v>0</v>
      </c>
      <c r="L8" s="292">
        <f>(AB8*AD8)/1000</f>
        <v>0</v>
      </c>
      <c r="M8" s="67">
        <f>IF(G8="",((AB8*AH8)+(AC8*AI8))/1000,((G8*(1-D8)*AF8)+(G8*D8*AG8))/1000000)*21</f>
        <v>0</v>
      </c>
      <c r="N8" s="67">
        <f>IF(G8="",((AB8*AL8)+(AC8*AM8))/1000,((G8*(1-D8)*AJ8)+(G8*D8*AK8))/1000000)*310</f>
        <v>0</v>
      </c>
      <c r="O8" s="67">
        <f>IF(F8="",(E8*AN8/365),F8)*AP8</f>
        <v>0</v>
      </c>
      <c r="P8" s="179">
        <f t="shared" ref="P8:P21" si="0">(AC8*AE8)/1000</f>
        <v>0</v>
      </c>
      <c r="S8" s="68"/>
      <c r="T8" s="68"/>
      <c r="U8" s="68"/>
      <c r="V8" s="68"/>
      <c r="W8" s="68"/>
      <c r="X8" s="68"/>
      <c r="Y8" s="68"/>
      <c r="AB8" s="58">
        <f>C8*(1-D8)</f>
        <v>0</v>
      </c>
      <c r="AC8" s="58">
        <f>C8*D8</f>
        <v>0</v>
      </c>
      <c r="AD8" s="27">
        <f>'7-Emissions Factors'!C$27</f>
        <v>8.7799999999999994</v>
      </c>
      <c r="AE8" s="27">
        <f>'7-Emissions Factors'!C$28</f>
        <v>5.75</v>
      </c>
      <c r="AF8" s="27">
        <f>'7-Emissions Factors'!J$27</f>
        <v>1.72E-2</v>
      </c>
      <c r="AG8" s="27">
        <f>'7-Emissions Factors'!J$28</f>
        <v>5.5E-2</v>
      </c>
      <c r="AH8" s="69">
        <f>'7-Emissions Factors'!N$27</f>
        <v>3.9297116323681706E-4</v>
      </c>
      <c r="AI8" s="69">
        <f>'7-Emissions Factors'!N$28</f>
        <v>2.6652452025586359E-4</v>
      </c>
      <c r="AJ8" s="27">
        <f>'7-Emissions Factors'!J$43</f>
        <v>3.8E-3</v>
      </c>
      <c r="AK8" s="27">
        <f>'7-Emissions Factors'!J$44</f>
        <v>6.7000000000000004E-2</v>
      </c>
      <c r="AL8" s="69">
        <f>'7-Emissions Factors'!N$43</f>
        <v>7.859423264736341E-5</v>
      </c>
      <c r="AM8" s="69">
        <f>'7-Emissions Factors'!N$44</f>
        <v>5.3304904051172719E-5</v>
      </c>
      <c r="AN8" s="59">
        <v>1</v>
      </c>
      <c r="AO8" s="70">
        <v>1.1499999999999999</v>
      </c>
      <c r="AP8" s="71">
        <f>((AO8*0.2*1)/1000)*1430</f>
        <v>0.32889999999999997</v>
      </c>
    </row>
    <row r="9" spans="1:42" ht="15.75">
      <c r="A9" s="706"/>
      <c r="B9" s="617" t="s">
        <v>37</v>
      </c>
      <c r="C9" s="407">
        <v>550</v>
      </c>
      <c r="D9" s="477">
        <v>9.7000000000000003E-2</v>
      </c>
      <c r="E9" s="409">
        <v>3</v>
      </c>
      <c r="F9" s="410"/>
      <c r="G9" s="476"/>
      <c r="H9" s="445"/>
      <c r="I9" s="412"/>
      <c r="J9" s="413" t="str">
        <f>IF(G9="","",G9/C9)</f>
        <v/>
      </c>
      <c r="K9" s="414">
        <f t="shared" ref="K9:K25" si="1">SUM(L9:O9)</f>
        <v>5.3646662215443088</v>
      </c>
      <c r="L9" s="292">
        <f t="shared" ref="L9:L22" si="2">(AB9*AD9)/1000</f>
        <v>4.3605869999999998</v>
      </c>
      <c r="M9" s="67">
        <f>IF(G9="",((AB9*AH9)+(AC9*AI9))/1000,((G9*(1-D9)*AF9)+(G9*D9*AG9))/1000000)*21</f>
        <v>4.3971524389215264E-3</v>
      </c>
      <c r="N9" s="67">
        <f>IF(G9="",((AB9*AL9)+(AC9*AM9))/1000,((G9*(1-D9)*AJ9)+(G9*D9*AK9))/1000000)*310</f>
        <v>1.2982069105387364E-2</v>
      </c>
      <c r="O9" s="67">
        <f>IF(F9="",(E9*AN9),F9)*AP9</f>
        <v>0.98669999999999991</v>
      </c>
      <c r="P9" s="179">
        <f t="shared" si="0"/>
        <v>0.30676249999999999</v>
      </c>
      <c r="S9" s="68"/>
      <c r="T9" s="68"/>
      <c r="U9" s="68"/>
      <c r="V9" s="68"/>
      <c r="W9" s="68"/>
      <c r="X9" s="68"/>
      <c r="Y9" s="68"/>
      <c r="AB9" s="58">
        <f t="shared" ref="AB9:AB21" si="3">C9*(1-D9)</f>
        <v>496.65000000000003</v>
      </c>
      <c r="AC9" s="58">
        <f t="shared" ref="AC9:AC21" si="4">C9*D9</f>
        <v>53.35</v>
      </c>
      <c r="AD9" s="27">
        <f>'7-Emissions Factors'!C$27</f>
        <v>8.7799999999999994</v>
      </c>
      <c r="AE9" s="27">
        <f>'7-Emissions Factors'!C$28</f>
        <v>5.75</v>
      </c>
      <c r="AF9" s="27">
        <f>'7-Emissions Factors'!J$27</f>
        <v>1.72E-2</v>
      </c>
      <c r="AG9" s="27">
        <f>'7-Emissions Factors'!J$28</f>
        <v>5.5E-2</v>
      </c>
      <c r="AH9" s="69">
        <f>'7-Emissions Factors'!N$27</f>
        <v>3.9297116323681706E-4</v>
      </c>
      <c r="AI9" s="69">
        <f>'7-Emissions Factors'!N$28</f>
        <v>2.6652452025586359E-4</v>
      </c>
      <c r="AJ9" s="27">
        <f>'7-Emissions Factors'!J$43</f>
        <v>3.8E-3</v>
      </c>
      <c r="AK9" s="27">
        <f>'7-Emissions Factors'!J$44</f>
        <v>6.7000000000000004E-2</v>
      </c>
      <c r="AL9" s="69">
        <f>'7-Emissions Factors'!N$43</f>
        <v>7.859423264736341E-5</v>
      </c>
      <c r="AM9" s="69">
        <f>'7-Emissions Factors'!N$44</f>
        <v>5.3304904051172719E-5</v>
      </c>
      <c r="AN9" s="59">
        <f>AN$8</f>
        <v>1</v>
      </c>
      <c r="AO9" s="70">
        <f>AO$8</f>
        <v>1.1499999999999999</v>
      </c>
      <c r="AP9" s="71">
        <f>((AO9*0.2*1)/1000)*1430</f>
        <v>0.32889999999999997</v>
      </c>
    </row>
    <row r="10" spans="1:42" ht="15.75" hidden="1">
      <c r="A10" s="706"/>
      <c r="B10" s="461" t="s">
        <v>422</v>
      </c>
      <c r="C10" s="407"/>
      <c r="D10" s="477">
        <v>8.8999999999999996E-2</v>
      </c>
      <c r="E10" s="409"/>
      <c r="F10" s="410"/>
      <c r="G10" s="476"/>
      <c r="H10" s="445"/>
      <c r="I10" s="412"/>
      <c r="J10" s="413" t="str">
        <f t="shared" ref="J10:J21" si="5">IF(G10="","",G10/C10)</f>
        <v/>
      </c>
      <c r="K10" s="414">
        <f t="shared" si="1"/>
        <v>0</v>
      </c>
      <c r="L10" s="292">
        <f t="shared" si="2"/>
        <v>0</v>
      </c>
      <c r="M10" s="67">
        <f>IF(G10="",((AB10*AH10)+(AC10*AI10))/1000,((G10*(1-D10)*AF10)+(G10*D10*AG10))/1000000)*21</f>
        <v>0</v>
      </c>
      <c r="N10" s="67">
        <f>IF(G10="",((AB10*AL10)+(AC10*AM10))/1000,((G10*(1-D10)*AJ10)+(G10*D10*AK10))/1000000)*310</f>
        <v>0</v>
      </c>
      <c r="O10" s="67">
        <f>IF(F10="",(E10*AN10),F10)*AP10</f>
        <v>0</v>
      </c>
      <c r="P10" s="179">
        <f t="shared" si="0"/>
        <v>0</v>
      </c>
      <c r="S10" s="68"/>
      <c r="T10" s="68"/>
      <c r="U10" s="68"/>
      <c r="V10" s="68"/>
      <c r="W10" s="68"/>
      <c r="X10" s="68"/>
      <c r="Y10" s="68"/>
      <c r="AB10" s="58">
        <f t="shared" si="3"/>
        <v>0</v>
      </c>
      <c r="AC10" s="58">
        <f t="shared" si="4"/>
        <v>0</v>
      </c>
      <c r="AD10" s="27">
        <f>'7-Emissions Factors'!C$27</f>
        <v>8.7799999999999994</v>
      </c>
      <c r="AE10" s="27">
        <f>'7-Emissions Factors'!C$28</f>
        <v>5.75</v>
      </c>
      <c r="AF10" s="27">
        <f>'7-Emissions Factors'!J$27</f>
        <v>1.72E-2</v>
      </c>
      <c r="AG10" s="27">
        <f>'7-Emissions Factors'!J$28</f>
        <v>5.5E-2</v>
      </c>
      <c r="AH10" s="69">
        <f>'7-Emissions Factors'!N$27</f>
        <v>3.9297116323681706E-4</v>
      </c>
      <c r="AI10" s="69">
        <f>'7-Emissions Factors'!N$28</f>
        <v>2.6652452025586359E-4</v>
      </c>
      <c r="AJ10" s="27">
        <f>'7-Emissions Factors'!J$43</f>
        <v>3.8E-3</v>
      </c>
      <c r="AK10" s="27">
        <f>'7-Emissions Factors'!J$44</f>
        <v>6.7000000000000004E-2</v>
      </c>
      <c r="AL10" s="69">
        <f>'7-Emissions Factors'!N$43</f>
        <v>7.859423264736341E-5</v>
      </c>
      <c r="AM10" s="69">
        <f>'7-Emissions Factors'!N$44</f>
        <v>5.3304904051172719E-5</v>
      </c>
      <c r="AN10" s="59">
        <f t="shared" ref="AN10:AO24" si="6">AN$8</f>
        <v>1</v>
      </c>
      <c r="AO10" s="70">
        <f t="shared" si="6"/>
        <v>1.1499999999999999</v>
      </c>
      <c r="AP10" s="71">
        <f t="shared" ref="AP10:AP21" si="7">((AO10*0.2*1)/1000)*1300</f>
        <v>0.29899999999999999</v>
      </c>
    </row>
    <row r="11" spans="1:42" ht="15.75">
      <c r="A11" s="706"/>
      <c r="B11" s="617" t="s">
        <v>462</v>
      </c>
      <c r="C11" s="407"/>
      <c r="D11" s="408">
        <v>0.83</v>
      </c>
      <c r="E11" s="409"/>
      <c r="F11" s="410"/>
      <c r="G11" s="476"/>
      <c r="H11" s="445"/>
      <c r="I11" s="412"/>
      <c r="J11" s="413" t="str">
        <f t="shared" si="5"/>
        <v/>
      </c>
      <c r="K11" s="414">
        <f t="shared" si="1"/>
        <v>0</v>
      </c>
      <c r="L11" s="292">
        <f t="shared" si="2"/>
        <v>0</v>
      </c>
      <c r="M11" s="67">
        <f>IF(G11="",((AB11*AH11)+(AC11*AI11))/1000,((G11*(1-D11)*AF11)+(G11*D11*AG11))/1000000)*21</f>
        <v>0</v>
      </c>
      <c r="N11" s="67">
        <f>IF(G11="",((AB11*AL11)+(AC11*AM11))/1000,((G11*(1-D11)*AJ11)+(G11*D11*AK11))/1000000)*310</f>
        <v>0</v>
      </c>
      <c r="O11" s="67">
        <f>IF(F11="",(E11*AN11),F11)*AP11</f>
        <v>0</v>
      </c>
      <c r="P11" s="179">
        <f t="shared" si="0"/>
        <v>0</v>
      </c>
      <c r="S11" s="68"/>
      <c r="T11" s="68"/>
      <c r="U11" s="68"/>
      <c r="V11" s="68"/>
      <c r="W11" s="68"/>
      <c r="X11" s="68"/>
      <c r="Y11" s="68"/>
      <c r="AB11" s="58">
        <f t="shared" si="3"/>
        <v>0</v>
      </c>
      <c r="AC11" s="58">
        <f t="shared" si="4"/>
        <v>0</v>
      </c>
      <c r="AD11" s="27">
        <f>'7-Emissions Factors'!C$27</f>
        <v>8.7799999999999994</v>
      </c>
      <c r="AE11" s="27">
        <f>'7-Emissions Factors'!C$28</f>
        <v>5.75</v>
      </c>
      <c r="AF11" s="27">
        <f>'7-Emissions Factors'!J$27</f>
        <v>1.72E-2</v>
      </c>
      <c r="AG11" s="27">
        <f>'7-Emissions Factors'!J$28</f>
        <v>5.5E-2</v>
      </c>
      <c r="AH11" s="69">
        <f>'7-Emissions Factors'!N$27</f>
        <v>3.9297116323681706E-4</v>
      </c>
      <c r="AI11" s="69">
        <f>'7-Emissions Factors'!N$28</f>
        <v>2.6652452025586359E-4</v>
      </c>
      <c r="AJ11" s="27">
        <f>'7-Emissions Factors'!J$43</f>
        <v>3.8E-3</v>
      </c>
      <c r="AK11" s="27">
        <f>'7-Emissions Factors'!J$44</f>
        <v>6.7000000000000004E-2</v>
      </c>
      <c r="AL11" s="69">
        <f>'7-Emissions Factors'!N$43</f>
        <v>7.859423264736341E-5</v>
      </c>
      <c r="AM11" s="69">
        <f>'7-Emissions Factors'!N$44</f>
        <v>5.3304904051172719E-5</v>
      </c>
      <c r="AN11" s="59">
        <f t="shared" si="6"/>
        <v>1</v>
      </c>
      <c r="AO11" s="70">
        <f t="shared" si="6"/>
        <v>1.1499999999999999</v>
      </c>
      <c r="AP11" s="71">
        <f>((AO11*0.2*1)/1000)*1430</f>
        <v>0.32889999999999997</v>
      </c>
    </row>
    <row r="12" spans="1:42" ht="15.75">
      <c r="A12" s="706"/>
      <c r="B12" s="617" t="s">
        <v>469</v>
      </c>
      <c r="C12" s="588"/>
      <c r="D12" s="589"/>
      <c r="E12" s="590"/>
      <c r="F12" s="591"/>
      <c r="G12" s="592"/>
      <c r="H12" s="445"/>
      <c r="I12" s="412"/>
      <c r="J12" s="413"/>
      <c r="K12" s="414"/>
      <c r="L12" s="292"/>
      <c r="M12" s="67"/>
      <c r="N12" s="67"/>
      <c r="O12" s="67"/>
      <c r="P12" s="179"/>
      <c r="S12" s="68"/>
      <c r="T12" s="68"/>
      <c r="U12" s="68"/>
      <c r="V12" s="68"/>
      <c r="W12" s="68"/>
      <c r="X12" s="68"/>
      <c r="Y12" s="68"/>
      <c r="AH12" s="69"/>
      <c r="AI12" s="69"/>
      <c r="AL12" s="69"/>
      <c r="AM12" s="69"/>
      <c r="AO12" s="70"/>
      <c r="AP12" s="71"/>
    </row>
    <row r="13" spans="1:42" ht="15.75">
      <c r="A13" s="706"/>
      <c r="B13" s="461" t="s">
        <v>453</v>
      </c>
      <c r="C13" s="407"/>
      <c r="D13" s="408">
        <v>0.02</v>
      </c>
      <c r="E13" s="409"/>
      <c r="F13" s="410"/>
      <c r="G13" s="476"/>
      <c r="H13" s="445"/>
      <c r="I13" s="412"/>
      <c r="J13" s="413" t="str">
        <f t="shared" si="5"/>
        <v/>
      </c>
      <c r="K13" s="414">
        <f t="shared" si="1"/>
        <v>0</v>
      </c>
      <c r="L13" s="292">
        <f t="shared" si="2"/>
        <v>0</v>
      </c>
      <c r="M13" s="67">
        <f>IF(G13="",((AB13*AH13)+(AC13*AI13))/1000,((G13*(1-D13)*AF13)+(G13*D13*AG13))/1000000)*21</f>
        <v>0</v>
      </c>
      <c r="N13" s="67">
        <f>IF(G13="",((AB13*AL13)+(AC13*AM13))/1000,((G13*(1-D13)*AJ13)+(G13*D13*AK13))/1000000)*310</f>
        <v>0</v>
      </c>
      <c r="O13" s="67">
        <f t="shared" ref="O13:O21" si="8">IF(F13="",(E13*AN13),F13)*AP13</f>
        <v>0</v>
      </c>
      <c r="P13" s="179">
        <f t="shared" si="0"/>
        <v>0</v>
      </c>
      <c r="S13" s="68"/>
      <c r="T13" s="68"/>
      <c r="U13" s="68"/>
      <c r="V13" s="68"/>
      <c r="W13" s="68"/>
      <c r="X13" s="68"/>
      <c r="Y13" s="68"/>
      <c r="AB13" s="58">
        <f t="shared" si="3"/>
        <v>0</v>
      </c>
      <c r="AC13" s="58">
        <f t="shared" si="4"/>
        <v>0</v>
      </c>
      <c r="AD13" s="27">
        <f>'7-Emissions Factors'!C$29</f>
        <v>10.210000000000001</v>
      </c>
      <c r="AE13" s="27">
        <f>'7-Emissions Factors'!C$30</f>
        <v>9.4499999999999993</v>
      </c>
      <c r="AF13" s="27">
        <f>'7-Emissions Factors'!J$29</f>
        <v>1E-3</v>
      </c>
      <c r="AG13" s="27">
        <f>'7-Emissions Factors'!J$30</f>
        <v>5.0000000000000001E-4</v>
      </c>
      <c r="AH13" s="69">
        <f>'7-Emissions Factors'!N$29</f>
        <v>4.3868475006793024E-4</v>
      </c>
      <c r="AI13" s="69">
        <f>'7-Emissions Factors'!N$30</f>
        <v>4.0358997006249576E-4</v>
      </c>
      <c r="AJ13" s="27">
        <f>'7-Emissions Factors'!J$45</f>
        <v>1.5E-3</v>
      </c>
      <c r="AK13" s="27">
        <f>'7-Emissions Factors'!J$46</f>
        <v>1E-3</v>
      </c>
      <c r="AL13" s="69">
        <f>'7-Emissions Factors'!N$45</f>
        <v>8.7736950013586056E-5</v>
      </c>
      <c r="AM13" s="69">
        <f>'7-Emissions Factors'!N$46</f>
        <v>8.0717994012499163E-5</v>
      </c>
      <c r="AN13" s="59">
        <f t="shared" si="6"/>
        <v>1</v>
      </c>
      <c r="AO13" s="70">
        <f t="shared" si="6"/>
        <v>1.1499999999999999</v>
      </c>
      <c r="AP13" s="71">
        <f>((AO13*0.2*1)/1000)*1430</f>
        <v>0.32889999999999997</v>
      </c>
    </row>
    <row r="14" spans="1:42" ht="15.75">
      <c r="A14" s="706"/>
      <c r="B14" s="461" t="s">
        <v>454</v>
      </c>
      <c r="C14" s="407"/>
      <c r="D14" s="477">
        <v>0.14499999999999999</v>
      </c>
      <c r="E14" s="409"/>
      <c r="F14" s="410"/>
      <c r="G14" s="476"/>
      <c r="H14" s="445"/>
      <c r="I14" s="412"/>
      <c r="J14" s="413" t="str">
        <f t="shared" si="5"/>
        <v/>
      </c>
      <c r="K14" s="414">
        <f t="shared" si="1"/>
        <v>0</v>
      </c>
      <c r="L14" s="292">
        <f t="shared" si="2"/>
        <v>0</v>
      </c>
      <c r="M14" s="67">
        <f>IF(G14="",((AB14*AH14)+(AC14*AI14))/1000,((G14*(1-D14)*AF14)+(G14*D14*AG14))/1000000)*21</f>
        <v>0</v>
      </c>
      <c r="N14" s="67">
        <f>IF(G14="",((AB14*AL14)+(AC14*AM14))/1000,((G14*(1-D14)*AJ14)+(G14*D14*AK14))/1000000)*310</f>
        <v>0</v>
      </c>
      <c r="O14" s="67">
        <f t="shared" si="8"/>
        <v>0</v>
      </c>
      <c r="P14" s="179">
        <f t="shared" si="0"/>
        <v>0</v>
      </c>
      <c r="S14" s="68"/>
      <c r="T14" s="68"/>
      <c r="U14" s="68"/>
      <c r="V14" s="68"/>
      <c r="W14" s="68"/>
      <c r="X14" s="68"/>
      <c r="Y14" s="68"/>
      <c r="AB14" s="58">
        <f t="shared" si="3"/>
        <v>0</v>
      </c>
      <c r="AC14" s="58">
        <f t="shared" si="4"/>
        <v>0</v>
      </c>
      <c r="AD14" s="27">
        <f>'7-Emissions Factors'!C$29</f>
        <v>10.210000000000001</v>
      </c>
      <c r="AE14" s="27">
        <f>'7-Emissions Factors'!C$30</f>
        <v>9.4499999999999993</v>
      </c>
      <c r="AF14" s="27">
        <f>'7-Emissions Factors'!J$29</f>
        <v>1E-3</v>
      </c>
      <c r="AG14" s="27">
        <f>'7-Emissions Factors'!J$30</f>
        <v>5.0000000000000001E-4</v>
      </c>
      <c r="AH14" s="69">
        <f>'7-Emissions Factors'!N$29</f>
        <v>4.3868475006793024E-4</v>
      </c>
      <c r="AI14" s="69">
        <f>'7-Emissions Factors'!N$30</f>
        <v>4.0358997006249576E-4</v>
      </c>
      <c r="AJ14" s="27">
        <f>'7-Emissions Factors'!J$45</f>
        <v>1.5E-3</v>
      </c>
      <c r="AK14" s="27">
        <f>'7-Emissions Factors'!J$46</f>
        <v>1E-3</v>
      </c>
      <c r="AL14" s="69">
        <f>'7-Emissions Factors'!N$45</f>
        <v>8.7736950013586056E-5</v>
      </c>
      <c r="AM14" s="69">
        <f>'7-Emissions Factors'!N$46</f>
        <v>8.0717994012499163E-5</v>
      </c>
      <c r="AN14" s="59">
        <f t="shared" si="6"/>
        <v>1</v>
      </c>
      <c r="AO14" s="70">
        <f t="shared" si="6"/>
        <v>1.1499999999999999</v>
      </c>
      <c r="AP14" s="71">
        <f>((AO14*0.2*1)/1000)*1430</f>
        <v>0.32889999999999997</v>
      </c>
    </row>
    <row r="15" spans="1:42" ht="15.75">
      <c r="A15" s="706"/>
      <c r="B15" s="461" t="s">
        <v>465</v>
      </c>
      <c r="C15" s="407"/>
      <c r="D15" s="408">
        <v>0.18</v>
      </c>
      <c r="E15" s="409"/>
      <c r="F15" s="410"/>
      <c r="G15" s="476"/>
      <c r="H15" s="445"/>
      <c r="I15" s="412"/>
      <c r="J15" s="413"/>
      <c r="K15" s="414"/>
      <c r="L15" s="292"/>
      <c r="M15" s="67"/>
      <c r="N15" s="67"/>
      <c r="O15" s="67"/>
      <c r="P15" s="179"/>
      <c r="S15" s="68"/>
      <c r="T15" s="68"/>
      <c r="U15" s="68"/>
      <c r="V15" s="68"/>
      <c r="W15" s="68"/>
      <c r="X15" s="68"/>
      <c r="Y15" s="68"/>
      <c r="AB15" s="58">
        <f t="shared" si="3"/>
        <v>0</v>
      </c>
      <c r="AC15" s="58">
        <f t="shared" si="4"/>
        <v>0</v>
      </c>
      <c r="AH15" s="69"/>
      <c r="AI15" s="69"/>
      <c r="AL15" s="69"/>
      <c r="AM15" s="69"/>
      <c r="AO15" s="70"/>
      <c r="AP15" s="71"/>
    </row>
    <row r="16" spans="1:42" ht="15.75">
      <c r="A16" s="706"/>
      <c r="B16" s="461" t="s">
        <v>466</v>
      </c>
      <c r="C16" s="407"/>
      <c r="D16" s="477">
        <v>0.11</v>
      </c>
      <c r="E16" s="409"/>
      <c r="F16" s="410"/>
      <c r="G16" s="476"/>
      <c r="H16" s="445"/>
      <c r="I16" s="412"/>
      <c r="J16" s="413"/>
      <c r="K16" s="414"/>
      <c r="L16" s="292"/>
      <c r="M16" s="67"/>
      <c r="N16" s="67"/>
      <c r="O16" s="67"/>
      <c r="P16" s="179"/>
      <c r="S16" s="68"/>
      <c r="T16" s="68"/>
      <c r="U16" s="68"/>
      <c r="V16" s="68"/>
      <c r="W16" s="68"/>
      <c r="X16" s="68"/>
      <c r="Y16" s="68"/>
      <c r="AB16" s="58">
        <f t="shared" si="3"/>
        <v>0</v>
      </c>
      <c r="AC16" s="58">
        <f t="shared" si="4"/>
        <v>0</v>
      </c>
      <c r="AH16" s="69"/>
      <c r="AI16" s="69"/>
      <c r="AL16" s="69"/>
      <c r="AM16" s="69"/>
      <c r="AO16" s="70"/>
      <c r="AP16" s="71"/>
    </row>
    <row r="17" spans="1:42" ht="15.75">
      <c r="A17" s="706"/>
      <c r="B17" s="461" t="s">
        <v>455</v>
      </c>
      <c r="C17" s="407"/>
      <c r="D17" s="450">
        <v>0</v>
      </c>
      <c r="E17" s="409"/>
      <c r="F17" s="410"/>
      <c r="G17" s="476"/>
      <c r="H17" s="445"/>
      <c r="I17" s="412"/>
      <c r="J17" s="413" t="str">
        <f t="shared" si="5"/>
        <v/>
      </c>
      <c r="K17" s="414">
        <f t="shared" si="1"/>
        <v>0</v>
      </c>
      <c r="L17" s="292">
        <f t="shared" si="2"/>
        <v>0</v>
      </c>
      <c r="M17" s="67">
        <f>IF(G17="",((AB17*AH17)+(AC17*AI17))/1000,((G17*(1-D17)*AF17)+(G17*D17*AG17))/1000000)*21</f>
        <v>0</v>
      </c>
      <c r="N17" s="67">
        <f>IF(G17="",((AB17*AL17)+(AC17*AM17))/1000,((G17*(1-D17)*AJ17)+(G17*D17*AK17))/1000000)*310</f>
        <v>0</v>
      </c>
      <c r="O17" s="67">
        <f t="shared" si="8"/>
        <v>0</v>
      </c>
      <c r="P17" s="179">
        <f t="shared" si="0"/>
        <v>0</v>
      </c>
      <c r="S17" s="68"/>
      <c r="T17" s="68"/>
      <c r="U17" s="68"/>
      <c r="V17" s="68"/>
      <c r="W17" s="68"/>
      <c r="X17" s="68"/>
      <c r="Y17" s="68"/>
      <c r="AB17" s="58">
        <f t="shared" si="3"/>
        <v>0</v>
      </c>
      <c r="AC17" s="58">
        <f t="shared" si="4"/>
        <v>0</v>
      </c>
      <c r="AD17" s="27">
        <f>'7-Emissions Factors'!C$29</f>
        <v>10.210000000000001</v>
      </c>
      <c r="AE17" s="27">
        <f>'7-Emissions Factors'!C$30</f>
        <v>9.4499999999999993</v>
      </c>
      <c r="AF17" s="27">
        <f>'7-Emissions Factors'!J$29</f>
        <v>1E-3</v>
      </c>
      <c r="AG17" s="27">
        <f>'7-Emissions Factors'!J$30</f>
        <v>5.0000000000000001E-4</v>
      </c>
      <c r="AH17" s="69">
        <f>'7-Emissions Factors'!N$29</f>
        <v>4.3868475006793024E-4</v>
      </c>
      <c r="AI17" s="69">
        <f>'7-Emissions Factors'!N$30</f>
        <v>4.0358997006249576E-4</v>
      </c>
      <c r="AJ17" s="27">
        <f>'7-Emissions Factors'!J$45</f>
        <v>1.5E-3</v>
      </c>
      <c r="AK17" s="27">
        <f>'7-Emissions Factors'!J$46</f>
        <v>1E-3</v>
      </c>
      <c r="AL17" s="69">
        <f>'7-Emissions Factors'!N$45</f>
        <v>8.7736950013586056E-5</v>
      </c>
      <c r="AM17" s="69">
        <f>'7-Emissions Factors'!N$46</f>
        <v>8.0717994012499163E-5</v>
      </c>
      <c r="AN17" s="59">
        <f t="shared" si="6"/>
        <v>1</v>
      </c>
      <c r="AO17" s="70">
        <f t="shared" si="6"/>
        <v>1.1499999999999999</v>
      </c>
      <c r="AP17" s="71">
        <f>((AO17*0.2*1)/1000)*1430</f>
        <v>0.32889999999999997</v>
      </c>
    </row>
    <row r="18" spans="1:42" ht="15.75">
      <c r="A18" s="706"/>
      <c r="B18" s="617" t="s">
        <v>457</v>
      </c>
      <c r="C18" s="407"/>
      <c r="D18" s="408">
        <v>0</v>
      </c>
      <c r="E18" s="409"/>
      <c r="F18" s="410"/>
      <c r="G18" s="476"/>
      <c r="H18" s="445"/>
      <c r="I18" s="412"/>
      <c r="J18" s="413" t="str">
        <f t="shared" si="5"/>
        <v/>
      </c>
      <c r="K18" s="414">
        <f t="shared" si="1"/>
        <v>0</v>
      </c>
      <c r="L18" s="292">
        <f t="shared" si="2"/>
        <v>0</v>
      </c>
      <c r="M18" s="67">
        <f>IF(G18="",((AB18*AH18)+(AC18*AI18))/1000,((G18*(1-D18)*AF18)+(G18*D18*AG18))/1000000)*21</f>
        <v>0</v>
      </c>
      <c r="N18" s="67">
        <f>IF(G18="",((AB18*AL18)+(AC18*AM18))/1000,((G18*(1-D18)*AJ18)+(G18*D18*AK18))/1000000)*310</f>
        <v>0</v>
      </c>
      <c r="O18" s="67">
        <f t="shared" si="8"/>
        <v>0</v>
      </c>
      <c r="P18" s="179">
        <f t="shared" si="0"/>
        <v>0</v>
      </c>
      <c r="S18" s="68"/>
      <c r="T18" s="68"/>
      <c r="U18" s="68"/>
      <c r="V18" s="68"/>
      <c r="W18" s="68"/>
      <c r="X18" s="68"/>
      <c r="Y18" s="68"/>
      <c r="AB18" s="58">
        <f t="shared" si="3"/>
        <v>0</v>
      </c>
      <c r="AC18" s="58">
        <f t="shared" si="4"/>
        <v>0</v>
      </c>
      <c r="AD18" s="27">
        <f>'7-Emissions Factors'!C31</f>
        <v>6.84</v>
      </c>
      <c r="AE18" s="27">
        <f>'7-Emissions Factors'!C31</f>
        <v>6.84</v>
      </c>
      <c r="AF18" s="27">
        <f>'7-Emissions Factors'!J31</f>
        <v>0.73699999999999999</v>
      </c>
      <c r="AG18" s="27">
        <f>'7-Emissions Factors'!J31</f>
        <v>0.73699999999999999</v>
      </c>
      <c r="AH18" s="69">
        <f>'7-Emissions Factors'!N31</f>
        <v>1.2344439254701348E-4</v>
      </c>
      <c r="AI18" s="69">
        <f>'7-Emissions Factors'!N31</f>
        <v>1.2344439254701348E-4</v>
      </c>
      <c r="AJ18" s="27">
        <f>'7-Emissions Factors'!J47</f>
        <v>0.05</v>
      </c>
      <c r="AK18" s="27">
        <f>'7-Emissions Factors'!J47</f>
        <v>0.05</v>
      </c>
      <c r="AL18" s="69">
        <f>'7-Emissions Factors'!N47</f>
        <v>1.3716043616334832E-5</v>
      </c>
      <c r="AM18" s="69">
        <f>'7-Emissions Factors'!N47</f>
        <v>1.3716043616334832E-5</v>
      </c>
      <c r="AN18" s="59">
        <f t="shared" si="6"/>
        <v>1</v>
      </c>
      <c r="AO18" s="70">
        <f t="shared" si="6"/>
        <v>1.1499999999999999</v>
      </c>
      <c r="AP18" s="71">
        <f>((AO18*0.2*1)/1000)*1430</f>
        <v>0.32889999999999997</v>
      </c>
    </row>
    <row r="19" spans="1:42" ht="15.75" hidden="1">
      <c r="A19" s="706"/>
      <c r="B19" s="460" t="s">
        <v>77</v>
      </c>
      <c r="C19" s="407"/>
      <c r="D19" s="408">
        <v>0</v>
      </c>
      <c r="E19" s="409"/>
      <c r="F19" s="410"/>
      <c r="G19" s="476"/>
      <c r="H19" s="445"/>
      <c r="I19" s="412"/>
      <c r="J19" s="413" t="str">
        <f t="shared" si="5"/>
        <v/>
      </c>
      <c r="K19" s="414">
        <f t="shared" si="1"/>
        <v>0</v>
      </c>
      <c r="L19" s="292">
        <f t="shared" si="2"/>
        <v>0</v>
      </c>
      <c r="M19" s="67">
        <f>IF(G19="",((AB19*AH19)+(AC19*AI19))/1000,((G19*(1-D19)*AF19)+(G19*D19*AG19))/1000000)*21</f>
        <v>0</v>
      </c>
      <c r="N19" s="67">
        <f>IF(G19="",((AB19*AL19)+(AC19*AM19))/1000,((G19*(1-D19)*AJ19)+(G19*D19*AK19))/1000000)*310</f>
        <v>0</v>
      </c>
      <c r="O19" s="67">
        <f t="shared" si="8"/>
        <v>0</v>
      </c>
      <c r="P19" s="179">
        <f t="shared" si="0"/>
        <v>0</v>
      </c>
      <c r="S19" s="68"/>
      <c r="T19" s="68"/>
      <c r="U19" s="68"/>
      <c r="V19" s="68"/>
      <c r="W19" s="68"/>
      <c r="X19" s="68"/>
      <c r="Y19" s="68"/>
      <c r="AB19" s="58">
        <f t="shared" si="3"/>
        <v>0</v>
      </c>
      <c r="AC19" s="58">
        <f t="shared" si="4"/>
        <v>0</v>
      </c>
      <c r="AD19" s="27">
        <f>'7-Emissions Factors'!C32</f>
        <v>5.68</v>
      </c>
      <c r="AE19" s="27">
        <f>'7-Emissions Factors'!C32</f>
        <v>5.68</v>
      </c>
      <c r="AF19" s="27">
        <f>'7-Emissions Factors'!J32</f>
        <v>3.6999999999999998E-2</v>
      </c>
      <c r="AG19" s="27">
        <f>'7-Emissions Factors'!J32</f>
        <v>3.6999999999999998E-2</v>
      </c>
      <c r="AH19" s="69">
        <f>'7-Emissions Factors'!N32</f>
        <v>9.6623611045005067E-5</v>
      </c>
      <c r="AI19" s="69">
        <f>'7-Emissions Factors'!N32</f>
        <v>9.6623611045005067E-5</v>
      </c>
      <c r="AJ19" s="27">
        <f>'7-Emissions Factors'!J48</f>
        <v>6.7000000000000004E-2</v>
      </c>
      <c r="AK19" s="27">
        <f>'7-Emissions Factors'!J48</f>
        <v>6.7000000000000004E-2</v>
      </c>
      <c r="AL19" s="69">
        <f>'7-Emissions Factors'!N48</f>
        <v>9.6623611045005088E-6</v>
      </c>
      <c r="AM19" s="69">
        <f>'7-Emissions Factors'!N48</f>
        <v>9.6623611045005088E-6</v>
      </c>
      <c r="AN19" s="59">
        <f t="shared" si="6"/>
        <v>1</v>
      </c>
      <c r="AO19" s="70">
        <f t="shared" si="6"/>
        <v>1.1499999999999999</v>
      </c>
      <c r="AP19" s="71">
        <f t="shared" si="7"/>
        <v>0.29899999999999999</v>
      </c>
    </row>
    <row r="20" spans="1:42" ht="15.75">
      <c r="A20" s="706"/>
      <c r="B20" s="617" t="s">
        <v>35</v>
      </c>
      <c r="C20" s="407"/>
      <c r="D20" s="408">
        <v>0</v>
      </c>
      <c r="E20" s="409"/>
      <c r="F20" s="410"/>
      <c r="G20" s="476"/>
      <c r="H20" s="445"/>
      <c r="I20" s="412"/>
      <c r="J20" s="413" t="str">
        <f t="shared" si="5"/>
        <v/>
      </c>
      <c r="K20" s="414">
        <f t="shared" si="1"/>
        <v>0</v>
      </c>
      <c r="L20" s="292">
        <f t="shared" si="2"/>
        <v>0</v>
      </c>
      <c r="M20" s="67">
        <f>(((AB20*AH20)+(AC20*AI20))/1000)*21</f>
        <v>0</v>
      </c>
      <c r="N20" s="67">
        <f>(((AB20*AL20)+(AC20*AM20))/1000)*310</f>
        <v>0</v>
      </c>
      <c r="O20" s="67">
        <f t="shared" si="8"/>
        <v>0</v>
      </c>
      <c r="P20" s="179">
        <f t="shared" si="0"/>
        <v>0</v>
      </c>
      <c r="S20" s="68"/>
      <c r="T20" s="68"/>
      <c r="U20" s="68"/>
      <c r="V20" s="68"/>
      <c r="W20" s="68"/>
      <c r="X20" s="68"/>
      <c r="Y20" s="68"/>
      <c r="AB20" s="58">
        <f t="shared" si="3"/>
        <v>0</v>
      </c>
      <c r="AC20" s="58">
        <f t="shared" si="4"/>
        <v>0</v>
      </c>
      <c r="AD20" s="27">
        <f>'7-Emissions Factors'!C33</f>
        <v>5.72</v>
      </c>
      <c r="AE20" s="27">
        <f>'7-Emissions Factors'!C33</f>
        <v>5.72</v>
      </c>
      <c r="AH20" s="69">
        <f>'7-Emissions Factors'!N33</f>
        <v>9.5996021989113879E-5</v>
      </c>
      <c r="AI20" s="69">
        <f>'7-Emissions Factors'!N33</f>
        <v>9.5996021989113879E-5</v>
      </c>
      <c r="AL20" s="69">
        <f>'7-Emissions Factors'!N49</f>
        <v>9.5996021989113889E-6</v>
      </c>
      <c r="AM20" s="69">
        <f>'7-Emissions Factors'!N49</f>
        <v>9.5996021989113889E-6</v>
      </c>
      <c r="AN20" s="59">
        <f t="shared" si="6"/>
        <v>1</v>
      </c>
      <c r="AO20" s="70">
        <f t="shared" si="6"/>
        <v>1.1499999999999999</v>
      </c>
      <c r="AP20" s="71">
        <f>((AO20*0.2*1)/1000)*1430</f>
        <v>0.32889999999999997</v>
      </c>
    </row>
    <row r="21" spans="1:42" ht="15.75" hidden="1">
      <c r="A21" s="706"/>
      <c r="B21" s="460" t="s">
        <v>78</v>
      </c>
      <c r="C21" s="407"/>
      <c r="D21" s="408">
        <v>0</v>
      </c>
      <c r="E21" s="409"/>
      <c r="F21" s="410"/>
      <c r="G21" s="476"/>
      <c r="H21" s="445"/>
      <c r="I21" s="412"/>
      <c r="J21" s="413" t="str">
        <f t="shared" si="5"/>
        <v/>
      </c>
      <c r="K21" s="414">
        <f t="shared" si="1"/>
        <v>0</v>
      </c>
      <c r="L21" s="292">
        <f t="shared" si="2"/>
        <v>0</v>
      </c>
      <c r="M21" s="67">
        <f>(((AB21*AH21)+(AC21*AI21))/1000)*21</f>
        <v>0</v>
      </c>
      <c r="N21" s="67">
        <f>(((AB21*AL21)+(AC21*AM21))/1000)*310</f>
        <v>0</v>
      </c>
      <c r="O21" s="67">
        <f t="shared" si="8"/>
        <v>0</v>
      </c>
      <c r="P21" s="179">
        <f t="shared" si="0"/>
        <v>0</v>
      </c>
      <c r="S21" s="68"/>
      <c r="T21" s="68"/>
      <c r="U21" s="68"/>
      <c r="V21" s="68"/>
      <c r="W21" s="68"/>
      <c r="X21" s="68"/>
      <c r="Y21" s="68"/>
      <c r="AB21" s="58">
        <f t="shared" si="3"/>
        <v>0</v>
      </c>
      <c r="AC21" s="58">
        <f t="shared" si="4"/>
        <v>0</v>
      </c>
      <c r="AD21" s="27">
        <f>'7-Emissions Factors'!C34</f>
        <v>6.58</v>
      </c>
      <c r="AE21" s="27">
        <f>'7-Emissions Factors'!C34</f>
        <v>6.58</v>
      </c>
      <c r="AH21" s="69">
        <f>'7-Emissions Factors'!N34</f>
        <v>1.0864821735587995E-4</v>
      </c>
      <c r="AI21" s="69">
        <f>'7-Emissions Factors'!N34</f>
        <v>1.0864821735587995E-4</v>
      </c>
      <c r="AL21" s="69">
        <f>'7-Emissions Factors'!N50</f>
        <v>1.0864821735587996E-5</v>
      </c>
      <c r="AM21" s="69">
        <f>'7-Emissions Factors'!N50</f>
        <v>1.0864821735587996E-5</v>
      </c>
      <c r="AN21" s="59">
        <f t="shared" si="6"/>
        <v>1</v>
      </c>
      <c r="AO21" s="70">
        <f t="shared" si="6"/>
        <v>1.1499999999999999</v>
      </c>
      <c r="AP21" s="71">
        <f t="shared" si="7"/>
        <v>0.29899999999999999</v>
      </c>
    </row>
    <row r="22" spans="1:42" ht="15.75">
      <c r="A22" s="706"/>
      <c r="B22" s="620" t="s">
        <v>464</v>
      </c>
      <c r="C22" s="407"/>
      <c r="D22" s="477">
        <v>9.7000000000000003E-2</v>
      </c>
      <c r="E22" s="600"/>
      <c r="F22" s="410"/>
      <c r="G22" s="600"/>
      <c r="H22" s="445"/>
      <c r="I22" s="412"/>
      <c r="J22" s="413"/>
      <c r="K22" s="414">
        <f t="shared" si="1"/>
        <v>0</v>
      </c>
      <c r="L22" s="292">
        <f t="shared" si="2"/>
        <v>0</v>
      </c>
      <c r="M22" s="67">
        <f>IF(G22="",((AB22*AH22)+(AC22*AI22))/1000,((G22*(1-D22)*AF22)+(G22*D22*AG22))/1000000)*21</f>
        <v>0</v>
      </c>
      <c r="N22" s="67">
        <f>IF(G22="",((AB22*AL22)+(AC22*AM22))/1000,((G22*(1-D22)*AJ22)+(G22*D22*AK22))/1000000)*310</f>
        <v>0</v>
      </c>
      <c r="O22" s="67"/>
      <c r="P22" s="179">
        <f t="shared" ref="P22" si="9">(AC22*AE22)/1000</f>
        <v>0</v>
      </c>
      <c r="S22" s="68"/>
      <c r="T22" s="68"/>
      <c r="U22" s="68"/>
      <c r="V22" s="68"/>
      <c r="W22" s="68"/>
      <c r="X22" s="68"/>
      <c r="Y22" s="68"/>
      <c r="AB22" s="58">
        <f t="shared" ref="AB22" si="10">C22*(1-D22)</f>
        <v>0</v>
      </c>
      <c r="AC22" s="58">
        <f t="shared" ref="AC22" si="11">C22*D22</f>
        <v>0</v>
      </c>
      <c r="AD22" s="27">
        <f>'7-Emissions Factors'!C27</f>
        <v>8.7799999999999994</v>
      </c>
      <c r="AE22" s="27">
        <f>'7-Emissions Factors'!C28</f>
        <v>5.75</v>
      </c>
      <c r="AF22" s="27">
        <f>'7-Emissions Factors'!J27</f>
        <v>1.72E-2</v>
      </c>
      <c r="AG22" s="27">
        <f>'7-Emissions Factors'!J28</f>
        <v>5.5E-2</v>
      </c>
      <c r="AH22" s="69">
        <f>'7-Emissions Factors'!N27</f>
        <v>3.9297116323681706E-4</v>
      </c>
      <c r="AI22" s="69">
        <f>'7-Emissions Factors'!N28</f>
        <v>2.6652452025586359E-4</v>
      </c>
      <c r="AJ22" s="27">
        <f>'7-Emissions Factors'!J43</f>
        <v>3.8E-3</v>
      </c>
      <c r="AK22" s="27">
        <f>'7-Emissions Factors'!J44</f>
        <v>6.7000000000000004E-2</v>
      </c>
      <c r="AL22" s="69">
        <f>'7-Emissions Factors'!N43</f>
        <v>7.859423264736341E-5</v>
      </c>
      <c r="AM22" s="69">
        <f>'7-Emissions Factors'!N44</f>
        <v>5.3304904051172719E-5</v>
      </c>
      <c r="AO22" s="70"/>
      <c r="AP22" s="71"/>
    </row>
    <row r="23" spans="1:42" ht="15.75">
      <c r="A23" s="706"/>
      <c r="B23" s="617" t="s">
        <v>472</v>
      </c>
      <c r="C23" s="618"/>
      <c r="D23" s="444"/>
      <c r="E23" s="600"/>
      <c r="F23" s="410"/>
      <c r="G23" s="600"/>
      <c r="H23" s="445"/>
      <c r="I23" s="412"/>
      <c r="J23" s="413"/>
      <c r="K23" s="414">
        <f t="shared" si="1"/>
        <v>0</v>
      </c>
      <c r="L23" s="292">
        <f>AB23*AD23/1000</f>
        <v>0</v>
      </c>
      <c r="M23" s="67">
        <f>(AB23*AH23*21)/1000</f>
        <v>0</v>
      </c>
      <c r="N23" s="67">
        <f>(AB23*AL23*310)/1000</f>
        <v>0</v>
      </c>
      <c r="O23" s="67"/>
      <c r="P23" s="179">
        <v>0</v>
      </c>
      <c r="S23" s="68"/>
      <c r="T23" s="68"/>
      <c r="U23" s="68"/>
      <c r="V23" s="68"/>
      <c r="W23" s="68"/>
      <c r="X23" s="68"/>
      <c r="Y23" s="68"/>
      <c r="AB23" s="58">
        <f>IF(C23="",(8/33)*G23,C23)</f>
        <v>0</v>
      </c>
      <c r="AD23" s="27">
        <f>'7-Emissions Factors'!C$19</f>
        <v>0.30225049999999998</v>
      </c>
      <c r="AH23" s="69">
        <f>'7-Emissions Factors'!E$19/1000</f>
        <v>5.7153600000000008E-5</v>
      </c>
      <c r="AI23" s="69"/>
      <c r="AL23" s="69">
        <f>'7-Emissions Factors'!G$19/1000</f>
        <v>4.7073300000000002E-6</v>
      </c>
      <c r="AM23" s="69"/>
      <c r="AO23" s="70"/>
      <c r="AP23" s="71"/>
    </row>
    <row r="24" spans="1:42" ht="15.75">
      <c r="A24" s="706"/>
      <c r="B24" s="460"/>
      <c r="C24" s="618"/>
      <c r="D24" s="444"/>
      <c r="E24" s="409"/>
      <c r="F24" s="410"/>
      <c r="G24" s="476"/>
      <c r="H24" s="445"/>
      <c r="I24" s="412"/>
      <c r="J24" s="413" t="str">
        <f>IF(G24="","",G24/(C24/33.4))</f>
        <v/>
      </c>
      <c r="K24" s="414">
        <f t="shared" si="1"/>
        <v>0</v>
      </c>
      <c r="L24" s="292">
        <f>AB24*AD24/1000</f>
        <v>0</v>
      </c>
      <c r="M24" s="67">
        <f>(AB24*AH24*21)/1000</f>
        <v>0</v>
      </c>
      <c r="N24" s="67">
        <f>(AB24*AL24*310)/1000</f>
        <v>0</v>
      </c>
      <c r="O24" s="67">
        <f>IF(F24="",(E24*AN24),F24)*AP24</f>
        <v>0</v>
      </c>
      <c r="P24" s="179">
        <v>0</v>
      </c>
      <c r="S24" s="68"/>
      <c r="T24" s="68"/>
      <c r="U24" s="68"/>
      <c r="V24" s="68"/>
      <c r="W24" s="68"/>
      <c r="X24" s="68"/>
      <c r="Y24" s="68"/>
      <c r="AB24" s="58">
        <f>IF(C24="",(8/33)*G24,C24)</f>
        <v>0</v>
      </c>
      <c r="AD24" s="27">
        <f>'7-Emissions Factors'!C$19</f>
        <v>0.30225049999999998</v>
      </c>
      <c r="AH24" s="69">
        <f>'7-Emissions Factors'!E$19/1000</f>
        <v>5.7153600000000008E-5</v>
      </c>
      <c r="AL24" s="69">
        <f>'7-Emissions Factors'!G$19/1000</f>
        <v>4.7073300000000002E-6</v>
      </c>
      <c r="AN24" s="59">
        <f t="shared" si="6"/>
        <v>1</v>
      </c>
      <c r="AO24" s="70">
        <f t="shared" si="6"/>
        <v>1.1499999999999999</v>
      </c>
      <c r="AP24" s="71">
        <f>((AO24*0.2*1)/1000)*1430</f>
        <v>0.32889999999999997</v>
      </c>
    </row>
    <row r="25" spans="1:42" ht="16.5" thickBot="1">
      <c r="A25" s="708"/>
      <c r="B25" s="462" t="s">
        <v>79</v>
      </c>
      <c r="C25" s="421">
        <f>SUM(C9:C22)</f>
        <v>550</v>
      </c>
      <c r="D25" s="422"/>
      <c r="E25" s="423">
        <f>SUM(E9:E24)+(E8/365)</f>
        <v>3</v>
      </c>
      <c r="F25" s="423">
        <f>SUM(F8:F24)</f>
        <v>0</v>
      </c>
      <c r="G25" s="423">
        <f>SUM(G8:G24)</f>
        <v>0</v>
      </c>
      <c r="H25" s="423"/>
      <c r="I25" s="424"/>
      <c r="J25" s="425"/>
      <c r="K25" s="426">
        <f t="shared" si="1"/>
        <v>5.3646662215443088</v>
      </c>
      <c r="L25" s="293">
        <f>SUM(L8:L21,L24)</f>
        <v>4.3605869999999998</v>
      </c>
      <c r="M25" s="73">
        <f>SUM(M8:M21,M24)</f>
        <v>4.3971524389215264E-3</v>
      </c>
      <c r="N25" s="73">
        <f>SUM(N8:N21,N24)</f>
        <v>1.2982069105387364E-2</v>
      </c>
      <c r="O25" s="73">
        <f>SUM(O8:O21,O24)</f>
        <v>0.98669999999999991</v>
      </c>
      <c r="P25" s="180">
        <f>SUM(P8:P21,P24)</f>
        <v>0.30676249999999999</v>
      </c>
      <c r="S25" s="68"/>
      <c r="T25" s="68"/>
      <c r="U25" s="68"/>
      <c r="V25" s="68"/>
      <c r="W25" s="68"/>
      <c r="X25" s="68"/>
      <c r="Y25" s="68"/>
    </row>
    <row r="26" spans="1:42" ht="15.75" thickBot="1">
      <c r="A26" s="74"/>
      <c r="B26" s="75"/>
      <c r="C26" s="76"/>
      <c r="D26" s="77"/>
      <c r="M26" s="57"/>
      <c r="O26" s="12"/>
      <c r="S26" s="68"/>
      <c r="T26" s="68"/>
      <c r="U26" s="68"/>
      <c r="V26" s="68"/>
      <c r="W26" s="68"/>
      <c r="X26" s="68"/>
      <c r="Y26" s="68"/>
    </row>
    <row r="27" spans="1:42" ht="15.75">
      <c r="A27" s="722" t="s">
        <v>94</v>
      </c>
      <c r="B27" s="621" t="s">
        <v>37</v>
      </c>
      <c r="C27" s="429"/>
      <c r="D27" s="442">
        <v>9.7000000000000003E-2</v>
      </c>
      <c r="E27" s="430"/>
      <c r="F27" s="431"/>
      <c r="G27" s="432"/>
      <c r="H27" s="431"/>
      <c r="I27" s="433"/>
      <c r="J27" s="434" t="str">
        <f t="shared" ref="J27:J38" si="12">IF(G27="","",G27/C27)</f>
        <v/>
      </c>
      <c r="K27" s="435">
        <f>SUM(L27:O27)</f>
        <v>0</v>
      </c>
      <c r="L27" s="294">
        <f>(AB27*AD27)/1000</f>
        <v>0</v>
      </c>
      <c r="M27" s="66">
        <f>IF(G27="",((AB27*AH27)+(AC27*AI27))/1000,((G27*(1-D27)*AF27)+(G27*D27*AG27))/1000000)*21</f>
        <v>0</v>
      </c>
      <c r="N27" s="66">
        <f>IF(G27="",((AB27*AL27)+(AC27*AM27))/1000,((G27*(1-D27)*AJ27)+(G27*D27*AK27))/1000000)*310</f>
        <v>0</v>
      </c>
      <c r="O27" s="66">
        <f>IF(F27="",(E27*AN27),F27)*AP27</f>
        <v>0</v>
      </c>
      <c r="P27" s="178">
        <f>(AC27*AE27)/1000</f>
        <v>0</v>
      </c>
      <c r="S27" s="68"/>
      <c r="T27" s="68"/>
      <c r="U27" s="68"/>
      <c r="V27" s="68"/>
      <c r="W27" s="68"/>
      <c r="X27" s="68"/>
      <c r="Y27" s="68"/>
      <c r="AB27" s="58">
        <f>C27*(1-D27)</f>
        <v>0</v>
      </c>
      <c r="AC27" s="58">
        <f>C27*D27</f>
        <v>0</v>
      </c>
      <c r="AD27" s="27">
        <f>'7-Emissions Factors'!C27</f>
        <v>8.7799999999999994</v>
      </c>
      <c r="AE27" s="27">
        <f>'7-Emissions Factors'!C28</f>
        <v>5.75</v>
      </c>
      <c r="AF27" s="27">
        <f>'7-Emissions Factors'!L27</f>
        <v>3.2599999999999997E-2</v>
      </c>
      <c r="AG27" s="27">
        <f>'7-Emissions Factors'!L28</f>
        <v>0.19700000000000001</v>
      </c>
      <c r="AH27" s="69">
        <f>'7-Emissions Factors'!N27</f>
        <v>3.9297116323681706E-4</v>
      </c>
      <c r="AI27" s="69">
        <f>'7-Emissions Factors'!N28</f>
        <v>2.6652452025586359E-4</v>
      </c>
      <c r="AJ27" s="27">
        <f>'7-Emissions Factors'!L$43</f>
        <v>1.77E-2</v>
      </c>
      <c r="AK27" s="27">
        <f>'7-Emissions Factors'!L44</f>
        <v>0.17499999999999999</v>
      </c>
      <c r="AL27" s="69">
        <f>'7-Emissions Factors'!N43</f>
        <v>7.859423264736341E-5</v>
      </c>
      <c r="AM27" s="69">
        <f>'7-Emissions Factors'!N44</f>
        <v>5.3304904051172719E-5</v>
      </c>
      <c r="AN27" s="59">
        <v>0.8</v>
      </c>
      <c r="AO27" s="71">
        <v>1.5</v>
      </c>
      <c r="AP27" s="71">
        <f>((AO27*0.2*1)/1000)*1430</f>
        <v>0.42900000000000005</v>
      </c>
    </row>
    <row r="28" spans="1:42" ht="15.75" hidden="1">
      <c r="A28" s="706"/>
      <c r="B28" s="460" t="s">
        <v>74</v>
      </c>
      <c r="C28" s="407"/>
      <c r="D28" s="408">
        <v>0.85</v>
      </c>
      <c r="E28" s="409"/>
      <c r="F28" s="410"/>
      <c r="G28" s="411"/>
      <c r="H28" s="410"/>
      <c r="I28" s="412"/>
      <c r="J28" s="413" t="str">
        <f t="shared" si="12"/>
        <v/>
      </c>
      <c r="K28" s="414">
        <f t="shared" ref="K28:K31" si="13">SUM(L28:O28)</f>
        <v>0</v>
      </c>
      <c r="L28" s="292">
        <f t="shared" ref="L28:L38" si="14">(AB28*AD28)/1000</f>
        <v>0</v>
      </c>
      <c r="M28" s="67">
        <f>IF(G28="",((AB28*AH28)+(AC28*AI28))/1000,((G28*(1-D28)*AF28)+(G28*D28*AG28))/1000000)*21</f>
        <v>0</v>
      </c>
      <c r="N28" s="67">
        <f>IF(G28="",((AB28*AL28)+(AC28*AM28))/1000,((G28*(1-D28)*AJ28)+(G28*D28*AK28))/1000000)*310</f>
        <v>0</v>
      </c>
      <c r="O28" s="67">
        <f>IF(F28="",(E28*AN28),F28)*AP28</f>
        <v>0</v>
      </c>
      <c r="P28" s="179">
        <f>(AC28*AE28)/1000</f>
        <v>0</v>
      </c>
      <c r="S28" s="68"/>
      <c r="T28" s="68"/>
      <c r="U28" s="68"/>
      <c r="V28" s="68"/>
      <c r="W28" s="68"/>
      <c r="X28" s="68"/>
      <c r="Y28" s="68"/>
      <c r="AB28" s="58">
        <f t="shared" ref="AB28:AB38" si="15">C28*(1-D28)</f>
        <v>0</v>
      </c>
      <c r="AC28" s="58">
        <f t="shared" ref="AC28:AC38" si="16">C28*D28</f>
        <v>0</v>
      </c>
      <c r="AD28" s="27">
        <f>'7-Emissions Factors'!C27</f>
        <v>8.7799999999999994</v>
      </c>
      <c r="AE28" s="27">
        <f>'7-Emissions Factors'!C28</f>
        <v>5.75</v>
      </c>
      <c r="AF28" s="27">
        <f>'7-Emissions Factors'!L27</f>
        <v>3.2599999999999997E-2</v>
      </c>
      <c r="AG28" s="27">
        <f>'7-Emissions Factors'!L28</f>
        <v>0.19700000000000001</v>
      </c>
      <c r="AH28" s="69">
        <f>'7-Emissions Factors'!N27</f>
        <v>3.9297116323681706E-4</v>
      </c>
      <c r="AI28" s="69">
        <f>'7-Emissions Factors'!N28</f>
        <v>2.6652452025586359E-4</v>
      </c>
      <c r="AJ28" s="27">
        <f>'7-Emissions Factors'!L$43</f>
        <v>1.77E-2</v>
      </c>
      <c r="AK28" s="27">
        <f>'7-Emissions Factors'!L44</f>
        <v>0.17499999999999999</v>
      </c>
      <c r="AL28" s="69">
        <f>'7-Emissions Factors'!N43</f>
        <v>7.859423264736341E-5</v>
      </c>
      <c r="AM28" s="69">
        <f>'7-Emissions Factors'!N44</f>
        <v>5.3304904051172719E-5</v>
      </c>
      <c r="AN28" s="59">
        <f>AN$27</f>
        <v>0.8</v>
      </c>
      <c r="AO28" s="70">
        <f>AO$27</f>
        <v>1.5</v>
      </c>
      <c r="AP28" s="71">
        <f t="shared" ref="AP28:AP38" si="17">((AO28*0.2*1)/1000)*1300</f>
        <v>0.39</v>
      </c>
    </row>
    <row r="29" spans="1:42" ht="15.75">
      <c r="A29" s="706"/>
      <c r="B29" s="617" t="s">
        <v>469</v>
      </c>
      <c r="C29" s="618"/>
      <c r="D29" s="619"/>
      <c r="E29" s="409"/>
      <c r="F29" s="410"/>
      <c r="G29" s="411"/>
      <c r="H29" s="410"/>
      <c r="I29" s="412"/>
      <c r="J29" s="413"/>
      <c r="K29" s="414"/>
      <c r="L29" s="292"/>
      <c r="M29" s="67"/>
      <c r="N29" s="67"/>
      <c r="O29" s="67"/>
      <c r="P29" s="179"/>
      <c r="S29" s="68"/>
      <c r="T29" s="68"/>
      <c r="U29" s="68"/>
      <c r="V29" s="68"/>
      <c r="W29" s="68"/>
      <c r="X29" s="68"/>
      <c r="Y29" s="68"/>
      <c r="AH29" s="69"/>
      <c r="AI29" s="69"/>
      <c r="AL29" s="69"/>
      <c r="AM29" s="69"/>
      <c r="AO29" s="70"/>
      <c r="AP29" s="71"/>
    </row>
    <row r="30" spans="1:42" ht="15.75">
      <c r="A30" s="706"/>
      <c r="B30" s="461" t="s">
        <v>453</v>
      </c>
      <c r="C30" s="407"/>
      <c r="D30" s="408">
        <v>0.02</v>
      </c>
      <c r="E30" s="409"/>
      <c r="F30" s="410"/>
      <c r="G30" s="411"/>
      <c r="H30" s="410"/>
      <c r="I30" s="412"/>
      <c r="J30" s="413" t="str">
        <f t="shared" si="12"/>
        <v/>
      </c>
      <c r="K30" s="414">
        <f t="shared" si="13"/>
        <v>0</v>
      </c>
      <c r="L30" s="292">
        <f t="shared" si="14"/>
        <v>0</v>
      </c>
      <c r="M30" s="67">
        <f>IF(G30="",((AB30*AH30)+(AC30*AI30))/1000,((G30*(1-D30)*AF30)+(G30*D30*AG30))/1000000)*21</f>
        <v>0</v>
      </c>
      <c r="N30" s="67">
        <f>IF(G30="",((AB30*AL30)+(AC30*AM30))/1000,((G30*(1-D30)*AJ30)+(G30*D30*AK30))/1000000)*310</f>
        <v>0</v>
      </c>
      <c r="O30" s="67">
        <f t="shared" ref="O30:O38" si="18">IF(F30="",(E30*AN30),F30)*AP30</f>
        <v>0</v>
      </c>
      <c r="P30" s="179">
        <f>(AC30*AE30)/1000</f>
        <v>0</v>
      </c>
      <c r="S30" s="68"/>
      <c r="T30" s="68"/>
      <c r="U30" s="68"/>
      <c r="V30" s="68"/>
      <c r="W30" s="68"/>
      <c r="X30" s="68"/>
      <c r="Y30" s="68"/>
      <c r="AB30" s="58">
        <f t="shared" si="15"/>
        <v>0</v>
      </c>
      <c r="AC30" s="58">
        <f t="shared" si="16"/>
        <v>0</v>
      </c>
      <c r="AD30" s="27">
        <f>'7-Emissions Factors'!C$29</f>
        <v>10.210000000000001</v>
      </c>
      <c r="AE30" s="27">
        <f>'7-Emissions Factors'!C$30</f>
        <v>9.4499999999999993</v>
      </c>
      <c r="AF30" s="27">
        <f>'7-Emissions Factors'!L$29</f>
        <v>5.1000000000000004E-3</v>
      </c>
      <c r="AG30" s="27">
        <f>'7-Emissions Factors'!L$30</f>
        <v>5.0000000000000001E-3</v>
      </c>
      <c r="AH30" s="69">
        <f>'7-Emissions Factors'!N$29</f>
        <v>4.3868475006793024E-4</v>
      </c>
      <c r="AI30" s="69">
        <f>'7-Emissions Factors'!N$30</f>
        <v>4.0358997006249576E-4</v>
      </c>
      <c r="AJ30" s="27">
        <f>'7-Emissions Factors'!L$45</f>
        <v>4.7999999999999996E-3</v>
      </c>
      <c r="AK30" s="27">
        <f>'7-Emissions Factors'!L$46</f>
        <v>5.0000000000000001E-3</v>
      </c>
      <c r="AL30" s="69">
        <f>'7-Emissions Factors'!N$45</f>
        <v>8.7736950013586056E-5</v>
      </c>
      <c r="AM30" s="69">
        <f>'7-Emissions Factors'!N$46</f>
        <v>8.0717994012499163E-5</v>
      </c>
      <c r="AN30" s="59">
        <f t="shared" ref="AN30:AO38" si="19">AN$27</f>
        <v>0.8</v>
      </c>
      <c r="AO30" s="70">
        <f t="shared" si="19"/>
        <v>1.5</v>
      </c>
      <c r="AP30" s="71">
        <f>((AO30*0.2*1)/1000)*1430</f>
        <v>0.42900000000000005</v>
      </c>
    </row>
    <row r="31" spans="1:42" ht="15.75">
      <c r="A31" s="706"/>
      <c r="B31" s="461" t="s">
        <v>454</v>
      </c>
      <c r="C31" s="407"/>
      <c r="D31" s="408">
        <v>0.14499999999999999</v>
      </c>
      <c r="E31" s="409"/>
      <c r="F31" s="410"/>
      <c r="G31" s="411"/>
      <c r="H31" s="410"/>
      <c r="I31" s="412"/>
      <c r="J31" s="413" t="str">
        <f t="shared" si="12"/>
        <v/>
      </c>
      <c r="K31" s="414">
        <f t="shared" si="13"/>
        <v>0</v>
      </c>
      <c r="L31" s="292">
        <f t="shared" si="14"/>
        <v>0</v>
      </c>
      <c r="M31" s="67">
        <f>IF(G31="",((AB31*AH31)+(AC31*AI31))/1000,((G31*(1-D31)*AF31)+(G31*D31*AG31))/1000000)*21</f>
        <v>0</v>
      </c>
      <c r="N31" s="67">
        <f>IF(G31="",((AB31*AL31)+(AC31*AM31))/1000,((G31*(1-D31)*AJ31)+(G31*D31*AK31))/1000000)*310</f>
        <v>0</v>
      </c>
      <c r="O31" s="67">
        <f t="shared" si="18"/>
        <v>0</v>
      </c>
      <c r="P31" s="179">
        <f>(AC31*AE31)/1000</f>
        <v>0</v>
      </c>
      <c r="S31" s="68"/>
      <c r="T31" s="68"/>
      <c r="U31" s="68"/>
      <c r="V31" s="68"/>
      <c r="W31" s="68"/>
      <c r="X31" s="68"/>
      <c r="Y31" s="68"/>
      <c r="AB31" s="58">
        <f t="shared" si="15"/>
        <v>0</v>
      </c>
      <c r="AC31" s="58">
        <f t="shared" si="16"/>
        <v>0</v>
      </c>
      <c r="AD31" s="27">
        <f>'7-Emissions Factors'!C$29</f>
        <v>10.210000000000001</v>
      </c>
      <c r="AE31" s="27">
        <f>'7-Emissions Factors'!C$30</f>
        <v>9.4499999999999993</v>
      </c>
      <c r="AF31" s="27">
        <f>'7-Emissions Factors'!L$29</f>
        <v>5.1000000000000004E-3</v>
      </c>
      <c r="AG31" s="27">
        <f>'7-Emissions Factors'!L$30</f>
        <v>5.0000000000000001E-3</v>
      </c>
      <c r="AH31" s="69">
        <f>'7-Emissions Factors'!N$29</f>
        <v>4.3868475006793024E-4</v>
      </c>
      <c r="AI31" s="69">
        <f>'7-Emissions Factors'!N$30</f>
        <v>4.0358997006249576E-4</v>
      </c>
      <c r="AJ31" s="27">
        <f>'7-Emissions Factors'!L$45</f>
        <v>4.7999999999999996E-3</v>
      </c>
      <c r="AK31" s="27">
        <f>'7-Emissions Factors'!L$46</f>
        <v>5.0000000000000001E-3</v>
      </c>
      <c r="AL31" s="69">
        <f>'7-Emissions Factors'!N$45</f>
        <v>8.7736950013586056E-5</v>
      </c>
      <c r="AM31" s="69">
        <f>'7-Emissions Factors'!N$46</f>
        <v>8.0717994012499163E-5</v>
      </c>
      <c r="AN31" s="59">
        <f t="shared" si="19"/>
        <v>0.8</v>
      </c>
      <c r="AO31" s="70">
        <f t="shared" si="19"/>
        <v>1.5</v>
      </c>
      <c r="AP31" s="71">
        <f>((AO31*0.2*1)/1000)*1430</f>
        <v>0.42900000000000005</v>
      </c>
    </row>
    <row r="32" spans="1:42" ht="15.75">
      <c r="A32" s="706"/>
      <c r="B32" s="461" t="s">
        <v>467</v>
      </c>
      <c r="C32" s="407"/>
      <c r="D32" s="408">
        <v>0.18</v>
      </c>
      <c r="E32" s="409"/>
      <c r="F32" s="410"/>
      <c r="G32" s="411"/>
      <c r="H32" s="410"/>
      <c r="I32" s="412"/>
      <c r="J32" s="413"/>
      <c r="K32" s="414"/>
      <c r="L32" s="292"/>
      <c r="M32" s="67"/>
      <c r="N32" s="67"/>
      <c r="O32" s="67"/>
      <c r="P32" s="179"/>
      <c r="S32" s="68"/>
      <c r="T32" s="68"/>
      <c r="U32" s="68"/>
      <c r="V32" s="68"/>
      <c r="W32" s="68"/>
      <c r="X32" s="68"/>
      <c r="Y32" s="68"/>
      <c r="AB32" s="58">
        <f t="shared" si="15"/>
        <v>0</v>
      </c>
      <c r="AC32" s="58">
        <f t="shared" si="16"/>
        <v>0</v>
      </c>
      <c r="AH32" s="69"/>
      <c r="AI32" s="69"/>
      <c r="AL32" s="69"/>
      <c r="AM32" s="69"/>
      <c r="AO32" s="70"/>
      <c r="AP32" s="71"/>
    </row>
    <row r="33" spans="1:42" ht="15.75">
      <c r="A33" s="706"/>
      <c r="B33" s="461" t="s">
        <v>468</v>
      </c>
      <c r="C33" s="407"/>
      <c r="D33" s="625">
        <v>11</v>
      </c>
      <c r="E33" s="409"/>
      <c r="F33" s="410"/>
      <c r="G33" s="411"/>
      <c r="H33" s="410"/>
      <c r="I33" s="412"/>
      <c r="J33" s="413"/>
      <c r="K33" s="414"/>
      <c r="L33" s="292"/>
      <c r="M33" s="67"/>
      <c r="N33" s="67"/>
      <c r="O33" s="67"/>
      <c r="P33" s="179"/>
      <c r="S33" s="68"/>
      <c r="T33" s="68"/>
      <c r="U33" s="68"/>
      <c r="V33" s="68"/>
      <c r="W33" s="68"/>
      <c r="X33" s="68"/>
      <c r="Y33" s="68"/>
      <c r="AB33" s="58">
        <f t="shared" si="15"/>
        <v>0</v>
      </c>
      <c r="AC33" s="58">
        <f t="shared" si="16"/>
        <v>0</v>
      </c>
      <c r="AH33" s="69"/>
      <c r="AI33" s="69"/>
      <c r="AL33" s="69"/>
      <c r="AM33" s="69"/>
      <c r="AO33" s="70"/>
      <c r="AP33" s="71"/>
    </row>
    <row r="34" spans="1:42" ht="15.75">
      <c r="A34" s="706"/>
      <c r="B34" s="461" t="s">
        <v>455</v>
      </c>
      <c r="C34" s="407"/>
      <c r="D34" s="623">
        <v>0</v>
      </c>
      <c r="E34" s="409"/>
      <c r="F34" s="410"/>
      <c r="G34" s="411"/>
      <c r="H34" s="410"/>
      <c r="I34" s="412"/>
      <c r="J34" s="413" t="str">
        <f t="shared" si="12"/>
        <v/>
      </c>
      <c r="K34" s="414">
        <f t="shared" ref="K34:K38" si="20">SUM(L34:O34)</f>
        <v>0</v>
      </c>
      <c r="L34" s="292">
        <f t="shared" si="14"/>
        <v>0</v>
      </c>
      <c r="M34" s="67">
        <f>IF(G34="",((AB34*AH34)+(AC34*AI34))/1000,((G34*(1-D34)*AF34)+(G34*D34*AG34))/1000000)*21</f>
        <v>0</v>
      </c>
      <c r="N34" s="67">
        <f>IF(G34="",((AB34*AL34)+(AC34*AM34))/1000,((G34*(1-D34)*AJ34)+(G34*D34*AK34))/1000000)*310</f>
        <v>0</v>
      </c>
      <c r="O34" s="67">
        <f t="shared" si="18"/>
        <v>0</v>
      </c>
      <c r="P34" s="179">
        <f t="shared" ref="P34:P38" si="21">(AC34*AE34)/1000</f>
        <v>0</v>
      </c>
      <c r="S34" s="68"/>
      <c r="T34" s="68"/>
      <c r="U34" s="68"/>
      <c r="V34" s="68"/>
      <c r="W34" s="68"/>
      <c r="X34" s="68"/>
      <c r="Y34" s="68"/>
      <c r="AB34" s="58">
        <f t="shared" si="15"/>
        <v>0</v>
      </c>
      <c r="AC34" s="58">
        <f t="shared" si="16"/>
        <v>0</v>
      </c>
      <c r="AD34" s="27">
        <f>'7-Emissions Factors'!C$29</f>
        <v>10.210000000000001</v>
      </c>
      <c r="AE34" s="27">
        <f>'7-Emissions Factors'!C$30</f>
        <v>9.4499999999999993</v>
      </c>
      <c r="AF34" s="27">
        <f>'7-Emissions Factors'!L$29</f>
        <v>5.1000000000000004E-3</v>
      </c>
      <c r="AG34" s="27">
        <f>'7-Emissions Factors'!L$30</f>
        <v>5.0000000000000001E-3</v>
      </c>
      <c r="AH34" s="69">
        <f>'7-Emissions Factors'!N$29</f>
        <v>4.3868475006793024E-4</v>
      </c>
      <c r="AI34" s="69">
        <f>'7-Emissions Factors'!N$30</f>
        <v>4.0358997006249576E-4</v>
      </c>
      <c r="AJ34" s="27">
        <f>'7-Emissions Factors'!L$45</f>
        <v>4.7999999999999996E-3</v>
      </c>
      <c r="AK34" s="27">
        <f>'7-Emissions Factors'!L$46</f>
        <v>5.0000000000000001E-3</v>
      </c>
      <c r="AL34" s="69">
        <f>'7-Emissions Factors'!N$45</f>
        <v>8.7736950013586056E-5</v>
      </c>
      <c r="AM34" s="69">
        <f>'7-Emissions Factors'!N$46</f>
        <v>8.0717994012499163E-5</v>
      </c>
      <c r="AN34" s="59">
        <f t="shared" si="19"/>
        <v>0.8</v>
      </c>
      <c r="AO34" s="70">
        <f t="shared" si="19"/>
        <v>1.5</v>
      </c>
      <c r="AP34" s="71">
        <f>((AO34*0.2*1)/1000)*1430</f>
        <v>0.42900000000000005</v>
      </c>
    </row>
    <row r="35" spans="1:42" ht="15.75">
      <c r="A35" s="706"/>
      <c r="B35" s="617" t="s">
        <v>457</v>
      </c>
      <c r="C35" s="407"/>
      <c r="D35" s="408">
        <v>0</v>
      </c>
      <c r="E35" s="409"/>
      <c r="F35" s="410"/>
      <c r="G35" s="411"/>
      <c r="H35" s="410"/>
      <c r="I35" s="412"/>
      <c r="J35" s="413" t="str">
        <f t="shared" si="12"/>
        <v/>
      </c>
      <c r="K35" s="414">
        <f t="shared" si="20"/>
        <v>0</v>
      </c>
      <c r="L35" s="292">
        <f t="shared" si="14"/>
        <v>0</v>
      </c>
      <c r="M35" s="67">
        <f>IF(G35="",((AB35*AH35)+(AC35*AI35))/1000,((G35*(1-D35)*AF35)+(G35*D35*AG35))/1000000)*21</f>
        <v>0</v>
      </c>
      <c r="N35" s="67">
        <f>IF(G35="",((AB35*AL35)+(AC35*AM35))/1000,((G35*(1-D35)*AJ35)+(G35*D35*AK35))/1000000)*310</f>
        <v>0</v>
      </c>
      <c r="O35" s="67">
        <f t="shared" si="18"/>
        <v>0</v>
      </c>
      <c r="P35" s="179">
        <f t="shared" si="21"/>
        <v>0</v>
      </c>
      <c r="S35" s="68"/>
      <c r="T35" s="68"/>
      <c r="U35" s="68"/>
      <c r="V35" s="68"/>
      <c r="W35" s="68"/>
      <c r="X35" s="68"/>
      <c r="Y35" s="68"/>
      <c r="AB35" s="58">
        <f t="shared" si="15"/>
        <v>0</v>
      </c>
      <c r="AC35" s="58">
        <f t="shared" si="16"/>
        <v>0</v>
      </c>
      <c r="AD35" s="27">
        <f>'7-Emissions Factors'!C31</f>
        <v>6.84</v>
      </c>
      <c r="AE35" s="27">
        <f>'7-Emissions Factors'!C31</f>
        <v>6.84</v>
      </c>
      <c r="AF35" s="27">
        <f>'7-Emissions Factors'!L31</f>
        <v>1.966</v>
      </c>
      <c r="AG35" s="27">
        <f>'7-Emissions Factors'!L31</f>
        <v>1.966</v>
      </c>
      <c r="AH35" s="69">
        <f>'7-Emissions Factors'!N31</f>
        <v>1.2344439254701348E-4</v>
      </c>
      <c r="AI35" s="69">
        <f>'7-Emissions Factors'!N31</f>
        <v>1.2344439254701348E-4</v>
      </c>
      <c r="AJ35" s="27">
        <f>'7-Emissions Factors'!L47</f>
        <v>0.17499999999999999</v>
      </c>
      <c r="AK35" s="27">
        <f>'7-Emissions Factors'!L47</f>
        <v>0.17499999999999999</v>
      </c>
      <c r="AL35" s="69">
        <f>'7-Emissions Factors'!N47</f>
        <v>1.3716043616334832E-5</v>
      </c>
      <c r="AM35" s="69">
        <f>'7-Emissions Factors'!N47</f>
        <v>1.3716043616334832E-5</v>
      </c>
      <c r="AN35" s="59">
        <f t="shared" si="19"/>
        <v>0.8</v>
      </c>
      <c r="AO35" s="70">
        <f t="shared" si="19"/>
        <v>1.5</v>
      </c>
      <c r="AP35" s="71">
        <f>((AO35*0.2*1)/1000)*1430</f>
        <v>0.42900000000000005</v>
      </c>
    </row>
    <row r="36" spans="1:42" ht="15.75" hidden="1">
      <c r="A36" s="706"/>
      <c r="B36" s="460" t="s">
        <v>77</v>
      </c>
      <c r="C36" s="407"/>
      <c r="D36" s="408">
        <v>0</v>
      </c>
      <c r="E36" s="409"/>
      <c r="F36" s="410"/>
      <c r="G36" s="411"/>
      <c r="H36" s="410"/>
      <c r="I36" s="412"/>
      <c r="J36" s="413" t="str">
        <f t="shared" si="12"/>
        <v/>
      </c>
      <c r="K36" s="414">
        <f t="shared" si="20"/>
        <v>0</v>
      </c>
      <c r="L36" s="292">
        <f t="shared" si="14"/>
        <v>0</v>
      </c>
      <c r="M36" s="67">
        <f>IF(G36="",((AB36*AH36)+(AC36*AI36))/1000,((G36*(1-D36)*AF36)+(G36*D36*AG36))/1000000)*21</f>
        <v>0</v>
      </c>
      <c r="N36" s="67">
        <f>IF(G36="",((AB36*AL36)+(AC36*AM36))/1000,((G36*(1-D36)*AJ36)+(G36*D36*AK36))/1000000)*310</f>
        <v>0</v>
      </c>
      <c r="O36" s="67">
        <f t="shared" si="18"/>
        <v>0</v>
      </c>
      <c r="P36" s="179">
        <f t="shared" si="21"/>
        <v>0</v>
      </c>
      <c r="S36" s="68"/>
      <c r="T36" s="68"/>
      <c r="U36" s="68"/>
      <c r="V36" s="68"/>
      <c r="W36" s="68"/>
      <c r="X36" s="68"/>
      <c r="Y36" s="68"/>
      <c r="AB36" s="58">
        <f t="shared" si="15"/>
        <v>0</v>
      </c>
      <c r="AC36" s="58">
        <f t="shared" si="16"/>
        <v>0</v>
      </c>
      <c r="AD36" s="27">
        <f>'7-Emissions Factors'!C32</f>
        <v>5.68</v>
      </c>
      <c r="AE36" s="27">
        <f>'7-Emissions Factors'!C32</f>
        <v>5.68</v>
      </c>
      <c r="AF36" s="27">
        <f>'7-Emissions Factors'!L32</f>
        <v>6.6000000000000003E-2</v>
      </c>
      <c r="AG36" s="27">
        <f>'7-Emissions Factors'!L32</f>
        <v>6.6000000000000003E-2</v>
      </c>
      <c r="AH36" s="69">
        <f>'7-Emissions Factors'!N32</f>
        <v>9.6623611045005067E-5</v>
      </c>
      <c r="AI36" s="69">
        <f>'7-Emissions Factors'!N32</f>
        <v>9.6623611045005067E-5</v>
      </c>
      <c r="AJ36" s="27">
        <f>'7-Emissions Factors'!L48</f>
        <v>0.17499999999999999</v>
      </c>
      <c r="AK36" s="27">
        <f>'7-Emissions Factors'!L48</f>
        <v>0.17499999999999999</v>
      </c>
      <c r="AL36" s="69">
        <f>'7-Emissions Factors'!N48</f>
        <v>9.6623611045005088E-6</v>
      </c>
      <c r="AM36" s="69">
        <f>'7-Emissions Factors'!N48</f>
        <v>9.6623611045005088E-6</v>
      </c>
      <c r="AN36" s="59">
        <f t="shared" si="19"/>
        <v>0.8</v>
      </c>
      <c r="AO36" s="70">
        <f t="shared" si="19"/>
        <v>1.5</v>
      </c>
      <c r="AP36" s="71">
        <f t="shared" si="17"/>
        <v>0.39</v>
      </c>
    </row>
    <row r="37" spans="1:42" ht="15.75">
      <c r="A37" s="706"/>
      <c r="B37" s="617" t="s">
        <v>35</v>
      </c>
      <c r="C37" s="407"/>
      <c r="D37" s="408">
        <v>0</v>
      </c>
      <c r="E37" s="409"/>
      <c r="F37" s="410"/>
      <c r="G37" s="411"/>
      <c r="H37" s="410"/>
      <c r="I37" s="412"/>
      <c r="J37" s="413" t="str">
        <f t="shared" si="12"/>
        <v/>
      </c>
      <c r="K37" s="414">
        <f t="shared" si="20"/>
        <v>0</v>
      </c>
      <c r="L37" s="292">
        <f t="shared" si="14"/>
        <v>0</v>
      </c>
      <c r="M37" s="67">
        <f>(((AB37*AH37)+(AC37*AI37))/1000)*21</f>
        <v>0</v>
      </c>
      <c r="N37" s="67">
        <f>(((AB37*AL37)+(AC37*AM37))/1000)*310</f>
        <v>0</v>
      </c>
      <c r="O37" s="67">
        <f t="shared" si="18"/>
        <v>0</v>
      </c>
      <c r="P37" s="179">
        <f t="shared" si="21"/>
        <v>0</v>
      </c>
      <c r="S37" s="68"/>
      <c r="T37" s="68"/>
      <c r="U37" s="68"/>
      <c r="V37" s="68"/>
      <c r="W37" s="68"/>
      <c r="X37" s="68"/>
      <c r="Y37" s="68"/>
      <c r="AB37" s="58">
        <f t="shared" si="15"/>
        <v>0</v>
      </c>
      <c r="AC37" s="58">
        <f t="shared" si="16"/>
        <v>0</v>
      </c>
      <c r="AD37" s="27">
        <f>'7-Emissions Factors'!C33</f>
        <v>5.72</v>
      </c>
      <c r="AE37" s="27">
        <f>'7-Emissions Factors'!C33</f>
        <v>5.72</v>
      </c>
      <c r="AH37" s="69">
        <f>'7-Emissions Factors'!N33</f>
        <v>9.5996021989113879E-5</v>
      </c>
      <c r="AI37" s="69">
        <f>'7-Emissions Factors'!N33</f>
        <v>9.5996021989113879E-5</v>
      </c>
      <c r="AL37" s="69">
        <f>'7-Emissions Factors'!N49</f>
        <v>9.5996021989113889E-6</v>
      </c>
      <c r="AM37" s="69">
        <f>'7-Emissions Factors'!N49</f>
        <v>9.5996021989113889E-6</v>
      </c>
      <c r="AN37" s="59">
        <f t="shared" si="19"/>
        <v>0.8</v>
      </c>
      <c r="AO37" s="70">
        <f t="shared" si="19"/>
        <v>1.5</v>
      </c>
      <c r="AP37" s="71">
        <f>((AO37*0.2*1)/1000)*1430</f>
        <v>0.42900000000000005</v>
      </c>
    </row>
    <row r="38" spans="1:42" ht="15.75" hidden="1">
      <c r="A38" s="706"/>
      <c r="B38" s="460" t="s">
        <v>78</v>
      </c>
      <c r="C38" s="407"/>
      <c r="D38" s="408">
        <v>0</v>
      </c>
      <c r="E38" s="409"/>
      <c r="F38" s="410"/>
      <c r="G38" s="411"/>
      <c r="H38" s="410"/>
      <c r="I38" s="412"/>
      <c r="J38" s="413" t="str">
        <f t="shared" si="12"/>
        <v/>
      </c>
      <c r="K38" s="414">
        <f t="shared" si="20"/>
        <v>0</v>
      </c>
      <c r="L38" s="292">
        <f t="shared" si="14"/>
        <v>0</v>
      </c>
      <c r="M38" s="67">
        <f>(((AB38*AH38)+(AC38*AI38))/1000)*21</f>
        <v>0</v>
      </c>
      <c r="N38" s="67">
        <f>(((AB38*AL38)+(AC38*AM38))/1000)*310</f>
        <v>0</v>
      </c>
      <c r="O38" s="67">
        <f t="shared" si="18"/>
        <v>0</v>
      </c>
      <c r="P38" s="179">
        <f t="shared" si="21"/>
        <v>0</v>
      </c>
      <c r="S38" s="78"/>
      <c r="T38" s="68"/>
      <c r="U38" s="68"/>
      <c r="V38" s="68"/>
      <c r="W38" s="68"/>
      <c r="X38" s="68"/>
      <c r="Y38" s="68"/>
      <c r="AB38" s="58">
        <f t="shared" si="15"/>
        <v>0</v>
      </c>
      <c r="AC38" s="58">
        <f t="shared" si="16"/>
        <v>0</v>
      </c>
      <c r="AD38" s="27">
        <f>'7-Emissions Factors'!C34</f>
        <v>6.58</v>
      </c>
      <c r="AE38" s="27">
        <f>'7-Emissions Factors'!C34</f>
        <v>6.58</v>
      </c>
      <c r="AH38" s="69">
        <f>'7-Emissions Factors'!N34</f>
        <v>1.0864821735587995E-4</v>
      </c>
      <c r="AI38" s="69">
        <f>'7-Emissions Factors'!N34</f>
        <v>1.0864821735587995E-4</v>
      </c>
      <c r="AL38" s="69">
        <f>'7-Emissions Factors'!N50</f>
        <v>1.0864821735587996E-5</v>
      </c>
      <c r="AM38" s="69">
        <f>'7-Emissions Factors'!N50</f>
        <v>1.0864821735587996E-5</v>
      </c>
      <c r="AN38" s="59">
        <f t="shared" si="19"/>
        <v>0.8</v>
      </c>
      <c r="AO38" s="70">
        <f t="shared" si="19"/>
        <v>1.5</v>
      </c>
      <c r="AP38" s="71">
        <f t="shared" si="17"/>
        <v>0.39</v>
      </c>
    </row>
    <row r="39" spans="1:42" ht="16.5" thickBot="1">
      <c r="A39" s="708"/>
      <c r="B39" s="462" t="s">
        <v>79</v>
      </c>
      <c r="C39" s="421">
        <f>SUM(C27:C38)</f>
        <v>0</v>
      </c>
      <c r="D39" s="422"/>
      <c r="E39" s="423">
        <f>SUM(E27:E38)</f>
        <v>0</v>
      </c>
      <c r="F39" s="423">
        <f>SUM(F27:F38)</f>
        <v>0</v>
      </c>
      <c r="G39" s="423">
        <f>SUM(G27:G38)</f>
        <v>0</v>
      </c>
      <c r="H39" s="423">
        <f>SUM(H27:H38)</f>
        <v>0</v>
      </c>
      <c r="I39" s="424"/>
      <c r="J39" s="425"/>
      <c r="K39" s="426">
        <f>SUM(L39:O39)</f>
        <v>0</v>
      </c>
      <c r="L39" s="293">
        <f t="shared" ref="L39:N39" si="22">SUM(L27:L38)</f>
        <v>0</v>
      </c>
      <c r="M39" s="73">
        <f t="shared" si="22"/>
        <v>0</v>
      </c>
      <c r="N39" s="73">
        <f t="shared" si="22"/>
        <v>0</v>
      </c>
      <c r="O39" s="73">
        <f>SUM(O27:O38)</f>
        <v>0</v>
      </c>
      <c r="P39" s="180">
        <f>SUM(P27:P38)</f>
        <v>0</v>
      </c>
    </row>
    <row r="40" spans="1:42" ht="16.5" thickBot="1">
      <c r="B40" s="448"/>
      <c r="C40" s="447"/>
      <c r="D40" s="448"/>
      <c r="E40" s="448"/>
      <c r="F40" s="448"/>
      <c r="G40" s="448"/>
      <c r="H40" s="448"/>
      <c r="I40" s="448"/>
      <c r="J40" s="448"/>
      <c r="K40" s="441"/>
      <c r="L40" s="177"/>
      <c r="M40" s="177"/>
      <c r="N40" s="177"/>
      <c r="O40" s="177"/>
      <c r="P40" s="177"/>
      <c r="Q40" s="177"/>
    </row>
    <row r="41" spans="1:42" ht="20.25" thickBot="1">
      <c r="A41" s="723" t="s">
        <v>403</v>
      </c>
      <c r="B41" s="725" t="str">
        <f>B6</f>
        <v>Fuel</v>
      </c>
      <c r="C41" s="727" t="s">
        <v>21</v>
      </c>
      <c r="D41" s="728"/>
      <c r="E41" s="728"/>
      <c r="F41" s="728"/>
      <c r="G41" s="728"/>
      <c r="H41" s="728"/>
      <c r="I41" s="728"/>
      <c r="J41" s="729"/>
      <c r="K41" s="566" t="s">
        <v>68</v>
      </c>
      <c r="L41" s="288"/>
      <c r="M41" s="288"/>
      <c r="N41" s="288"/>
      <c r="O41" s="288"/>
      <c r="P41" s="289"/>
      <c r="Q41" s="628"/>
    </row>
    <row r="42" spans="1:42" ht="78.75" customHeight="1" thickBot="1">
      <c r="A42" s="724"/>
      <c r="B42" s="726"/>
      <c r="C42" s="468" t="str">
        <f t="shared" ref="C42:K42" si="23">C6</f>
        <v>Fuel Use (gal)</v>
      </c>
      <c r="D42" s="469" t="str">
        <f t="shared" si="23"/>
        <v>Biofuel %</v>
      </c>
      <c r="E42" s="470" t="str">
        <f t="shared" si="23"/>
        <v>Number of Vehicles</v>
      </c>
      <c r="F42" s="470" t="str">
        <f t="shared" si="23"/>
        <v>AC Units (#)</v>
      </c>
      <c r="G42" s="470" t="str">
        <f t="shared" si="23"/>
        <v>Miles Traveled</v>
      </c>
      <c r="H42" s="470" t="str">
        <f t="shared" si="23"/>
        <v>Hours of Operation</v>
      </c>
      <c r="I42" s="478" t="str">
        <f>I6</f>
        <v>Notes</v>
      </c>
      <c r="J42" s="479" t="s">
        <v>362</v>
      </c>
      <c r="K42" s="471" t="str">
        <f t="shared" si="23"/>
        <v>Total Emissions (MT CO2e)</v>
      </c>
      <c r="L42" s="290" t="str">
        <f>L6</f>
        <v>Fossil CO2 (MT CO2e)</v>
      </c>
      <c r="M42" s="267" t="str">
        <f>M6</f>
        <v>CH4 (MT CO2e)</v>
      </c>
      <c r="N42" s="267" t="str">
        <f>N6</f>
        <v>N2O (CO2e)</v>
      </c>
      <c r="O42" s="266" t="str">
        <f>O6</f>
        <v>HFCs (CO2e)</v>
      </c>
      <c r="P42" s="268" t="str">
        <f>P6</f>
        <v>Biofuel CO2 (MT CO2e)</v>
      </c>
      <c r="Q42" s="627"/>
      <c r="AB42" s="64" t="s">
        <v>96</v>
      </c>
      <c r="AC42" s="64" t="s">
        <v>97</v>
      </c>
      <c r="AD42" s="63" t="s">
        <v>98</v>
      </c>
      <c r="AE42" s="63" t="s">
        <v>99</v>
      </c>
      <c r="AF42" s="63" t="s">
        <v>100</v>
      </c>
      <c r="AG42" s="63" t="s">
        <v>101</v>
      </c>
      <c r="AH42" s="63" t="s">
        <v>102</v>
      </c>
      <c r="AI42" s="63" t="s">
        <v>103</v>
      </c>
      <c r="AJ42" s="63" t="s">
        <v>105</v>
      </c>
      <c r="AK42" s="63" t="s">
        <v>106</v>
      </c>
      <c r="AL42" s="63" t="s">
        <v>107</v>
      </c>
      <c r="AM42" s="63" t="s">
        <v>108</v>
      </c>
      <c r="AN42" s="65" t="s">
        <v>112</v>
      </c>
      <c r="AO42" s="63" t="s">
        <v>113</v>
      </c>
      <c r="AP42" s="63" t="s">
        <v>114</v>
      </c>
    </row>
    <row r="43" spans="1:42" ht="15.75">
      <c r="A43" s="705" t="s">
        <v>93</v>
      </c>
      <c r="B43" s="621" t="s">
        <v>37</v>
      </c>
      <c r="C43" s="399">
        <v>400</v>
      </c>
      <c r="D43" s="400">
        <v>9.6000000000000002E-2</v>
      </c>
      <c r="E43" s="401">
        <v>4</v>
      </c>
      <c r="F43" s="402"/>
      <c r="G43" s="402"/>
      <c r="H43" s="403"/>
      <c r="I43" s="404"/>
      <c r="J43" s="405" t="str">
        <f>IF(H43="","",C43/H43)</f>
        <v/>
      </c>
      <c r="K43" s="406">
        <f>SUM(L43:O43)</f>
        <v>4.0617091199999997</v>
      </c>
      <c r="L43" s="291">
        <f>(AB43*AD43)/1000</f>
        <v>3.1748479999999999</v>
      </c>
      <c r="M43" s="263">
        <f>(((AB43*AH43)+(AC43*AI43))/1000000)*21</f>
        <v>4.2000000000000006E-3</v>
      </c>
      <c r="N43" s="263">
        <f>(((AB43*AL43)+(AC43*AM43))/1000000)*310</f>
        <v>2.4661120000000002E-2</v>
      </c>
      <c r="O43" s="263">
        <f>IF(F43="",(E43*AN43),F43)*AP43</f>
        <v>0.8580000000000001</v>
      </c>
      <c r="P43" s="264">
        <f>(AC43*AE43)/1000</f>
        <v>0.2208</v>
      </c>
      <c r="AB43" s="58">
        <f>C43*(1-D43)</f>
        <v>361.6</v>
      </c>
      <c r="AC43" s="58">
        <f>C43*D43</f>
        <v>38.4</v>
      </c>
      <c r="AD43" s="27">
        <f>'7-Emissions Factors'!C27</f>
        <v>8.7799999999999994</v>
      </c>
      <c r="AE43" s="27">
        <f>'7-Emissions Factors'!C28</f>
        <v>5.75</v>
      </c>
      <c r="AH43" s="27">
        <f>'7-Emissions Factors'!P27</f>
        <v>0.5</v>
      </c>
      <c r="AI43" s="27">
        <f>'7-Emissions Factors'!P27</f>
        <v>0.5</v>
      </c>
      <c r="AL43" s="27">
        <f>'7-Emissions Factors'!P43</f>
        <v>0.22</v>
      </c>
      <c r="AN43" s="59">
        <v>0.5</v>
      </c>
      <c r="AO43" s="71">
        <v>1.5</v>
      </c>
      <c r="AP43" s="71">
        <f>((AO43*0.2*1)/1000)*1430</f>
        <v>0.42900000000000005</v>
      </c>
    </row>
    <row r="44" spans="1:42" ht="15.75" hidden="1">
      <c r="A44" s="706"/>
      <c r="B44" s="460" t="s">
        <v>74</v>
      </c>
      <c r="C44" s="407"/>
      <c r="D44" s="408">
        <v>0.85</v>
      </c>
      <c r="E44" s="409"/>
      <c r="F44" s="410"/>
      <c r="G44" s="410"/>
      <c r="H44" s="411"/>
      <c r="I44" s="412"/>
      <c r="J44" s="413" t="str">
        <f>IF(H44="","",C44/H44)</f>
        <v/>
      </c>
      <c r="K44" s="414">
        <f t="shared" ref="K44:K54" si="24">SUM(L44:O44)</f>
        <v>0</v>
      </c>
      <c r="L44" s="292">
        <f>(AB44*AD44)/1000</f>
        <v>0</v>
      </c>
      <c r="M44" s="67">
        <f>(((AB44*AH44)+(AC44*AI44))/1000000)*21</f>
        <v>0</v>
      </c>
      <c r="N44" s="67">
        <f>(((AB44*AL44)+(AC44*AM44))/1000000)*310</f>
        <v>0</v>
      </c>
      <c r="O44" s="67">
        <f>IF(F44="",(E44*AN44),F44)*AP44</f>
        <v>0</v>
      </c>
      <c r="P44" s="179">
        <f>(AC44*AE44)/1000</f>
        <v>0</v>
      </c>
      <c r="AB44" s="58">
        <f t="shared" ref="AB44:AB69" si="25">C44*(1-D44)</f>
        <v>0</v>
      </c>
      <c r="AC44" s="58">
        <f t="shared" ref="AC44:AC69" si="26">C44*D44</f>
        <v>0</v>
      </c>
      <c r="AD44" s="27">
        <f>'7-Emissions Factors'!C27</f>
        <v>8.7799999999999994</v>
      </c>
      <c r="AE44" s="27">
        <f>'7-Emissions Factors'!C28</f>
        <v>5.75</v>
      </c>
      <c r="AH44" s="27">
        <f>'7-Emissions Factors'!P27</f>
        <v>0.5</v>
      </c>
      <c r="AI44" s="27">
        <f>'7-Emissions Factors'!P27</f>
        <v>0.5</v>
      </c>
      <c r="AM44" s="27">
        <f>'7-Emissions Factors'!P43</f>
        <v>0.22</v>
      </c>
      <c r="AN44" s="59">
        <f>AN$43</f>
        <v>0.5</v>
      </c>
      <c r="AO44" s="70">
        <f>AO$43</f>
        <v>1.5</v>
      </c>
      <c r="AP44" s="71">
        <f t="shared" ref="AP44:AP52" si="27">((AO44*0.2*1)/1000)*1300</f>
        <v>0.39</v>
      </c>
    </row>
    <row r="45" spans="1:42" ht="15.75">
      <c r="A45" s="706"/>
      <c r="B45" s="617" t="s">
        <v>469</v>
      </c>
      <c r="C45" s="588"/>
      <c r="D45" s="589"/>
      <c r="E45" s="590"/>
      <c r="F45" s="591"/>
      <c r="G45" s="591"/>
      <c r="H45" s="591"/>
      <c r="I45" s="596"/>
      <c r="J45" s="413"/>
      <c r="K45" s="414"/>
      <c r="L45" s="292"/>
      <c r="M45" s="67"/>
      <c r="N45" s="67"/>
      <c r="O45" s="67"/>
      <c r="P45" s="179"/>
      <c r="AO45" s="70"/>
      <c r="AP45" s="71"/>
    </row>
    <row r="46" spans="1:42" ht="15.75">
      <c r="A46" s="706"/>
      <c r="B46" s="461" t="s">
        <v>453</v>
      </c>
      <c r="C46" s="407"/>
      <c r="D46" s="408">
        <v>0.02</v>
      </c>
      <c r="E46" s="409"/>
      <c r="F46" s="410"/>
      <c r="G46" s="410"/>
      <c r="H46" s="411"/>
      <c r="I46" s="412"/>
      <c r="J46" s="413" t="str">
        <f t="shared" ref="J46:J53" si="28">IF(H46="","",C46/H46)</f>
        <v/>
      </c>
      <c r="K46" s="414">
        <f t="shared" si="24"/>
        <v>0</v>
      </c>
      <c r="L46" s="292">
        <f>(AB46*AD46)/1000</f>
        <v>0</v>
      </c>
      <c r="M46" s="67">
        <f>(((AB46*AH46)+(AC46*AI46))/1000000)*21</f>
        <v>0</v>
      </c>
      <c r="N46" s="67">
        <f>(((AB46*AL46)+(AC46*AM46))/1000000)*310</f>
        <v>0</v>
      </c>
      <c r="O46" s="67">
        <f t="shared" ref="O46:O53" si="29">IF(F46="",(E46*AN46),F46)*AP46</f>
        <v>0</v>
      </c>
      <c r="P46" s="179">
        <f t="shared" ref="P46:P53" si="30">(AC46*AE46)/1000</f>
        <v>0</v>
      </c>
      <c r="AB46" s="58">
        <f t="shared" si="25"/>
        <v>0</v>
      </c>
      <c r="AC46" s="58">
        <f t="shared" si="26"/>
        <v>0</v>
      </c>
      <c r="AD46" s="27">
        <f>'7-Emissions Factors'!C$29</f>
        <v>10.210000000000001</v>
      </c>
      <c r="AE46" s="27">
        <f>'7-Emissions Factors'!C$30</f>
        <v>9.4499999999999993</v>
      </c>
      <c r="AH46" s="27">
        <f>'7-Emissions Factors'!P$29</f>
        <v>0.57999999999999996</v>
      </c>
      <c r="AI46" s="27">
        <f>'7-Emissions Factors'!P$29</f>
        <v>0.57999999999999996</v>
      </c>
      <c r="AL46" s="27">
        <f>'7-Emissions Factors'!P$45</f>
        <v>0.26</v>
      </c>
      <c r="AM46" s="27">
        <f>'7-Emissions Factors'!P$45</f>
        <v>0.26</v>
      </c>
      <c r="AN46" s="59">
        <f t="shared" ref="AN46:AO50" si="31">AN$43</f>
        <v>0.5</v>
      </c>
      <c r="AO46" s="70">
        <f t="shared" si="31"/>
        <v>1.5</v>
      </c>
      <c r="AP46" s="71">
        <f>((AO46*0.2*1)/1000)*1430</f>
        <v>0.42900000000000005</v>
      </c>
    </row>
    <row r="47" spans="1:42" ht="15.75">
      <c r="A47" s="706"/>
      <c r="B47" s="461" t="s">
        <v>454</v>
      </c>
      <c r="C47" s="407"/>
      <c r="D47" s="408">
        <v>0.13</v>
      </c>
      <c r="E47" s="409"/>
      <c r="F47" s="410"/>
      <c r="G47" s="410"/>
      <c r="H47" s="411"/>
      <c r="I47" s="412"/>
      <c r="J47" s="413" t="str">
        <f t="shared" si="28"/>
        <v/>
      </c>
      <c r="K47" s="414">
        <f t="shared" si="24"/>
        <v>0</v>
      </c>
      <c r="L47" s="292">
        <f>(AB47*AD47)/1000</f>
        <v>0</v>
      </c>
      <c r="M47" s="67">
        <f>(((AB47*AH47)+(AC47*AI47))/1000000)*21</f>
        <v>0</v>
      </c>
      <c r="N47" s="67">
        <f>(((AB47*AL47)+(AC47*AM47))/1000000)*310</f>
        <v>0</v>
      </c>
      <c r="O47" s="67">
        <f t="shared" si="29"/>
        <v>0</v>
      </c>
      <c r="P47" s="179">
        <f t="shared" si="30"/>
        <v>0</v>
      </c>
      <c r="T47" s="626"/>
      <c r="AB47" s="58">
        <f t="shared" si="25"/>
        <v>0</v>
      </c>
      <c r="AC47" s="58">
        <f t="shared" si="26"/>
        <v>0</v>
      </c>
      <c r="AD47" s="27">
        <f>'7-Emissions Factors'!C$29</f>
        <v>10.210000000000001</v>
      </c>
      <c r="AE47" s="27">
        <f>'7-Emissions Factors'!C$30</f>
        <v>9.4499999999999993</v>
      </c>
      <c r="AH47" s="27">
        <f>'7-Emissions Factors'!P$29</f>
        <v>0.57999999999999996</v>
      </c>
      <c r="AI47" s="27">
        <f>'7-Emissions Factors'!P$29</f>
        <v>0.57999999999999996</v>
      </c>
      <c r="AL47" s="27">
        <f>'7-Emissions Factors'!P$45</f>
        <v>0.26</v>
      </c>
      <c r="AM47" s="27">
        <f>'7-Emissions Factors'!P$45</f>
        <v>0.26</v>
      </c>
      <c r="AN47" s="59">
        <f t="shared" si="31"/>
        <v>0.5</v>
      </c>
      <c r="AO47" s="70">
        <f t="shared" si="31"/>
        <v>1.5</v>
      </c>
      <c r="AP47" s="71">
        <f>((AO47*0.2*1)/1000)*1430</f>
        <v>0.42900000000000005</v>
      </c>
    </row>
    <row r="48" spans="1:42" ht="15.75">
      <c r="A48" s="706"/>
      <c r="B48" s="461" t="s">
        <v>470</v>
      </c>
      <c r="C48" s="407"/>
      <c r="D48" s="408">
        <v>0.16</v>
      </c>
      <c r="E48" s="409"/>
      <c r="F48" s="410"/>
      <c r="G48" s="410"/>
      <c r="H48" s="411"/>
      <c r="I48" s="412"/>
      <c r="J48" s="413"/>
      <c r="K48" s="414"/>
      <c r="L48" s="292"/>
      <c r="M48" s="67"/>
      <c r="N48" s="67"/>
      <c r="O48" s="67"/>
      <c r="P48" s="179"/>
      <c r="AB48" s="58">
        <f t="shared" si="25"/>
        <v>0</v>
      </c>
      <c r="AC48" s="58">
        <f t="shared" si="26"/>
        <v>0</v>
      </c>
      <c r="AO48" s="70"/>
      <c r="AP48" s="71"/>
    </row>
    <row r="49" spans="1:42" ht="15.75">
      <c r="A49" s="706"/>
      <c r="B49" s="461" t="s">
        <v>471</v>
      </c>
      <c r="C49" s="407"/>
      <c r="D49" s="477">
        <v>0.105</v>
      </c>
      <c r="E49" s="409"/>
      <c r="F49" s="410"/>
      <c r="G49" s="410"/>
      <c r="H49" s="411"/>
      <c r="I49" s="412"/>
      <c r="J49" s="413"/>
      <c r="K49" s="414"/>
      <c r="L49" s="292"/>
      <c r="M49" s="67"/>
      <c r="N49" s="67"/>
      <c r="O49" s="67"/>
      <c r="P49" s="179"/>
      <c r="AB49" s="58">
        <f t="shared" si="25"/>
        <v>0</v>
      </c>
      <c r="AC49" s="58">
        <f t="shared" si="26"/>
        <v>0</v>
      </c>
      <c r="AO49" s="70"/>
      <c r="AP49" s="71"/>
    </row>
    <row r="50" spans="1:42" ht="15.75">
      <c r="A50" s="706"/>
      <c r="B50" s="461" t="s">
        <v>455</v>
      </c>
      <c r="C50" s="407">
        <v>400</v>
      </c>
      <c r="D50" s="623">
        <v>0</v>
      </c>
      <c r="E50" s="409">
        <v>6</v>
      </c>
      <c r="F50" s="410"/>
      <c r="G50" s="410"/>
      <c r="H50" s="411"/>
      <c r="I50" s="412"/>
      <c r="J50" s="413" t="str">
        <f t="shared" si="28"/>
        <v/>
      </c>
      <c r="K50" s="414">
        <f t="shared" si="24"/>
        <v>5.408112</v>
      </c>
      <c r="L50" s="292">
        <f>(AB50*AD50)/1000</f>
        <v>4.0840000000000005</v>
      </c>
      <c r="M50" s="67">
        <f>(((AB50*AH50)+(AC50*AI50))/1000000)*21</f>
        <v>4.8719999999999996E-3</v>
      </c>
      <c r="N50" s="67">
        <f>(((AB50*AL50)+(AC50*AM50))/1000000)*310</f>
        <v>3.2239999999999998E-2</v>
      </c>
      <c r="O50" s="67">
        <f t="shared" si="29"/>
        <v>1.2870000000000001</v>
      </c>
      <c r="P50" s="179">
        <f t="shared" si="30"/>
        <v>0</v>
      </c>
      <c r="AB50" s="58">
        <f t="shared" si="25"/>
        <v>400</v>
      </c>
      <c r="AC50" s="58">
        <f t="shared" si="26"/>
        <v>0</v>
      </c>
      <c r="AD50" s="27">
        <f>'7-Emissions Factors'!C$29</f>
        <v>10.210000000000001</v>
      </c>
      <c r="AE50" s="27">
        <f>'7-Emissions Factors'!C$30</f>
        <v>9.4499999999999993</v>
      </c>
      <c r="AH50" s="27">
        <f>'7-Emissions Factors'!P$29</f>
        <v>0.57999999999999996</v>
      </c>
      <c r="AI50" s="27">
        <f>'7-Emissions Factors'!P$29</f>
        <v>0.57999999999999996</v>
      </c>
      <c r="AL50" s="27">
        <f>'7-Emissions Factors'!P$45</f>
        <v>0.26</v>
      </c>
      <c r="AM50" s="27">
        <f>'7-Emissions Factors'!P$45</f>
        <v>0.26</v>
      </c>
      <c r="AN50" s="59">
        <f t="shared" si="31"/>
        <v>0.5</v>
      </c>
      <c r="AO50" s="70">
        <f t="shared" si="31"/>
        <v>1.5</v>
      </c>
      <c r="AP50" s="71">
        <f>((AO50*0.2*1)/1000)*1430</f>
        <v>0.42900000000000005</v>
      </c>
    </row>
    <row r="51" spans="1:42" ht="15.75">
      <c r="A51" s="707"/>
      <c r="B51" s="617" t="s">
        <v>457</v>
      </c>
      <c r="C51" s="407"/>
      <c r="D51" s="415">
        <v>0</v>
      </c>
      <c r="E51" s="416"/>
      <c r="F51" s="417"/>
      <c r="G51" s="417"/>
      <c r="H51" s="418"/>
      <c r="I51" s="419"/>
      <c r="J51" s="413" t="str">
        <f t="shared" si="28"/>
        <v/>
      </c>
      <c r="K51" s="414">
        <f t="shared" si="24"/>
        <v>0</v>
      </c>
      <c r="L51" s="292">
        <f>(AB51*AD51)/1000</f>
        <v>0</v>
      </c>
      <c r="M51" s="67">
        <f>(((AB51*AH51)+(AC51*AI51))/1000)*21</f>
        <v>0</v>
      </c>
      <c r="N51" s="67">
        <f>(((AB51*AL51)+(AC51*AM51))/1000)*310</f>
        <v>0</v>
      </c>
      <c r="O51" s="67">
        <f t="shared" si="29"/>
        <v>0</v>
      </c>
      <c r="P51" s="179">
        <f t="shared" si="30"/>
        <v>0</v>
      </c>
      <c r="AB51" s="58">
        <f t="shared" si="25"/>
        <v>0</v>
      </c>
      <c r="AC51" s="58">
        <f t="shared" si="26"/>
        <v>0</v>
      </c>
      <c r="AD51" s="27">
        <f>'7-Emissions Factors'!C31</f>
        <v>6.84</v>
      </c>
      <c r="AE51" s="27">
        <f>'7-Emissions Factors'!C31</f>
        <v>6.84</v>
      </c>
      <c r="AH51" s="69">
        <f>'7-Emissions Factors'!N31</f>
        <v>1.2344439254701348E-4</v>
      </c>
      <c r="AI51" s="69">
        <f>'7-Emissions Factors'!N31</f>
        <v>1.2344439254701348E-4</v>
      </c>
      <c r="AL51" s="69">
        <f>AL35</f>
        <v>1.3716043616334832E-5</v>
      </c>
      <c r="AM51" s="69">
        <f>'7-Emissions Factors'!N47</f>
        <v>1.3716043616334832E-5</v>
      </c>
      <c r="AN51" s="59">
        <v>0.1</v>
      </c>
      <c r="AO51" s="70">
        <v>1</v>
      </c>
      <c r="AP51" s="71">
        <f>((AO51*0.2*1)/1000)*1430</f>
        <v>0.28600000000000003</v>
      </c>
    </row>
    <row r="52" spans="1:42" ht="15.75" hidden="1">
      <c r="A52" s="707"/>
      <c r="B52" s="460" t="s">
        <v>77</v>
      </c>
      <c r="C52" s="420"/>
      <c r="D52" s="415">
        <v>0</v>
      </c>
      <c r="E52" s="416"/>
      <c r="F52" s="417"/>
      <c r="G52" s="417"/>
      <c r="H52" s="418"/>
      <c r="I52" s="419"/>
      <c r="J52" s="413" t="str">
        <f t="shared" si="28"/>
        <v/>
      </c>
      <c r="K52" s="414">
        <f t="shared" si="24"/>
        <v>0</v>
      </c>
      <c r="L52" s="292">
        <f>(AB52*AD52)/1000</f>
        <v>0</v>
      </c>
      <c r="M52" s="67">
        <f>(((AB52*AH52)+(AC52*AI52))/1000)*21</f>
        <v>0</v>
      </c>
      <c r="N52" s="67">
        <f>(((AB52*AL52)+(AC52*AM52))/1000)*310</f>
        <v>0</v>
      </c>
      <c r="O52" s="67">
        <f t="shared" si="29"/>
        <v>0</v>
      </c>
      <c r="P52" s="179">
        <f t="shared" si="30"/>
        <v>0</v>
      </c>
      <c r="AB52" s="58">
        <f t="shared" si="25"/>
        <v>0</v>
      </c>
      <c r="AC52" s="58">
        <f t="shared" si="26"/>
        <v>0</v>
      </c>
      <c r="AD52" s="27">
        <f>'7-Emissions Factors'!C32</f>
        <v>5.68</v>
      </c>
      <c r="AE52" s="27">
        <f>'7-Emissions Factors'!C32</f>
        <v>5.68</v>
      </c>
      <c r="AH52" s="69">
        <f>'7-Emissions Factors'!N32</f>
        <v>9.6623611045005067E-5</v>
      </c>
      <c r="AI52" s="69">
        <f>'7-Emissions Factors'!N32</f>
        <v>9.6623611045005067E-5</v>
      </c>
      <c r="AL52" s="69">
        <f>AL36</f>
        <v>9.6623611045005088E-6</v>
      </c>
      <c r="AM52" s="69">
        <f>'7-Emissions Factors'!N48</f>
        <v>9.6623611045005088E-6</v>
      </c>
      <c r="AN52" s="59">
        <v>0.1</v>
      </c>
      <c r="AO52" s="70">
        <v>1</v>
      </c>
      <c r="AP52" s="71">
        <f t="shared" si="27"/>
        <v>0.26</v>
      </c>
    </row>
    <row r="53" spans="1:42" ht="15.75">
      <c r="A53" s="707"/>
      <c r="B53" s="617" t="s">
        <v>35</v>
      </c>
      <c r="C53" s="420"/>
      <c r="D53" s="415">
        <v>0</v>
      </c>
      <c r="E53" s="416"/>
      <c r="F53" s="417"/>
      <c r="G53" s="417"/>
      <c r="H53" s="418"/>
      <c r="I53" s="419"/>
      <c r="J53" s="413" t="str">
        <f t="shared" si="28"/>
        <v/>
      </c>
      <c r="K53" s="414">
        <f t="shared" si="24"/>
        <v>0</v>
      </c>
      <c r="L53" s="292">
        <f t="shared" ref="L53" si="32">(AB53*AD53)/1000</f>
        <v>0</v>
      </c>
      <c r="M53" s="67">
        <f>(((AB53*AH53)+(AC53*AI53))/1000)*21</f>
        <v>0</v>
      </c>
      <c r="N53" s="67">
        <f>(((AB53*AL53)+(AC53*AM53))/1000)*310</f>
        <v>0</v>
      </c>
      <c r="O53" s="67">
        <f t="shared" si="29"/>
        <v>0</v>
      </c>
      <c r="P53" s="179">
        <f t="shared" si="30"/>
        <v>0</v>
      </c>
      <c r="AB53" s="58">
        <f t="shared" si="25"/>
        <v>0</v>
      </c>
      <c r="AC53" s="58">
        <f t="shared" si="26"/>
        <v>0</v>
      </c>
      <c r="AD53" s="27">
        <f>'7-Emissions Factors'!C33</f>
        <v>5.72</v>
      </c>
      <c r="AE53" s="27">
        <f>'7-Emissions Factors'!C33</f>
        <v>5.72</v>
      </c>
      <c r="AH53" s="69">
        <f>'7-Emissions Factors'!N33</f>
        <v>9.5996021989113879E-5</v>
      </c>
      <c r="AI53" s="69">
        <f>'7-Emissions Factors'!N33</f>
        <v>9.5996021989113879E-5</v>
      </c>
      <c r="AL53" s="69">
        <f>AL37</f>
        <v>9.5996021989113889E-6</v>
      </c>
      <c r="AM53" s="69">
        <f>'7-Emissions Factors'!N49</f>
        <v>9.5996021989113889E-6</v>
      </c>
      <c r="AN53" s="59">
        <v>0.1</v>
      </c>
      <c r="AO53" s="70">
        <v>1</v>
      </c>
      <c r="AP53" s="71">
        <f>((AO53*0.2*1)/1000)*1430</f>
        <v>0.28600000000000003</v>
      </c>
    </row>
    <row r="54" spans="1:42" ht="16.5" thickBot="1">
      <c r="A54" s="708"/>
      <c r="B54" s="462" t="s">
        <v>79</v>
      </c>
      <c r="C54" s="421">
        <f>SUM(C43:C53)</f>
        <v>800</v>
      </c>
      <c r="D54" s="422"/>
      <c r="E54" s="423">
        <f>SUM(E43:E53)</f>
        <v>10</v>
      </c>
      <c r="F54" s="423">
        <f>SUM(F43:F52)</f>
        <v>0</v>
      </c>
      <c r="G54" s="423">
        <f>SUM(G43:G52)</f>
        <v>0</v>
      </c>
      <c r="H54" s="423">
        <f>SUM(H43:H52)</f>
        <v>0</v>
      </c>
      <c r="I54" s="424"/>
      <c r="J54" s="425"/>
      <c r="K54" s="426">
        <f t="shared" si="24"/>
        <v>9.4698211200000006</v>
      </c>
      <c r="L54" s="293">
        <f t="shared" ref="L54:N54" si="33">SUM(L43:L53)</f>
        <v>7.2588480000000004</v>
      </c>
      <c r="M54" s="72">
        <f t="shared" si="33"/>
        <v>9.0720000000000002E-3</v>
      </c>
      <c r="N54" s="72">
        <f t="shared" si="33"/>
        <v>5.6901119999999999E-2</v>
      </c>
      <c r="O54" s="72">
        <f>SUM(O43:O53)</f>
        <v>2.1450000000000005</v>
      </c>
      <c r="P54" s="180">
        <f>SUM(P43:P53)</f>
        <v>0.2208</v>
      </c>
    </row>
    <row r="55" spans="1:42" ht="9" customHeight="1" thickBot="1">
      <c r="A55" s="74"/>
      <c r="B55" s="75"/>
      <c r="C55" s="76"/>
      <c r="D55" s="77"/>
      <c r="M55" s="57"/>
      <c r="O55" s="12"/>
    </row>
    <row r="56" spans="1:42" ht="15.75">
      <c r="A56" s="709" t="s">
        <v>80</v>
      </c>
      <c r="B56" s="617" t="s">
        <v>26</v>
      </c>
      <c r="C56" s="429"/>
      <c r="D56" s="449">
        <v>0.05</v>
      </c>
      <c r="E56" s="430"/>
      <c r="F56" s="431"/>
      <c r="G56" s="431"/>
      <c r="H56" s="432"/>
      <c r="I56" s="433"/>
      <c r="J56" s="434" t="str">
        <f>IF(H56="","",C56/H56)</f>
        <v/>
      </c>
      <c r="K56" s="435">
        <f>SUM(L56:O56)</f>
        <v>0</v>
      </c>
      <c r="L56" s="294">
        <f>(AB56*AD56)/1000</f>
        <v>0</v>
      </c>
      <c r="M56" s="66">
        <f>(((AB56*AH56)+(AC56*AI56))/1000000)*21</f>
        <v>0</v>
      </c>
      <c r="N56" s="66">
        <f>(((AB56*AL56)+(AC56*AM56))/1000000)*310</f>
        <v>0</v>
      </c>
      <c r="O56" s="66">
        <f>IF(F56="",(E56*AN56),F56)*AP56</f>
        <v>0</v>
      </c>
      <c r="P56" s="178">
        <f>(AC56*AE56)/1000</f>
        <v>0</v>
      </c>
      <c r="AB56" s="58">
        <f t="shared" si="25"/>
        <v>0</v>
      </c>
      <c r="AC56" s="58">
        <f t="shared" si="26"/>
        <v>0</v>
      </c>
      <c r="AD56" s="27">
        <f>'7-Emissions Factors'!C29</f>
        <v>10.210000000000001</v>
      </c>
      <c r="AE56" s="27">
        <f>'7-Emissions Factors'!C30</f>
        <v>9.4499999999999993</v>
      </c>
      <c r="AH56" s="27">
        <f>'7-Emissions Factors'!R29</f>
        <v>0.74</v>
      </c>
      <c r="AI56" s="27">
        <f>'7-Emissions Factors'!R29</f>
        <v>0.74</v>
      </c>
      <c r="AL56" s="27">
        <v>0.26</v>
      </c>
      <c r="AM56" s="27">
        <f>'7-Emissions Factors'!P45</f>
        <v>0.26</v>
      </c>
      <c r="AN56" s="59">
        <v>1</v>
      </c>
      <c r="AO56" s="71">
        <v>100</v>
      </c>
      <c r="AP56" s="71">
        <f>((AO56*0.1*1)/1000)*2088</f>
        <v>20.88</v>
      </c>
    </row>
    <row r="57" spans="1:42" ht="15.75">
      <c r="A57" s="707"/>
      <c r="B57" s="622" t="s">
        <v>458</v>
      </c>
      <c r="C57" s="420"/>
      <c r="D57" s="595"/>
      <c r="E57" s="436"/>
      <c r="F57" s="437"/>
      <c r="G57" s="438"/>
      <c r="H57" s="418"/>
      <c r="I57" s="419"/>
      <c r="J57" s="439"/>
      <c r="K57" s="414">
        <f t="shared" ref="K57:K58" si="34">SUM(L57:O57)</f>
        <v>0</v>
      </c>
      <c r="L57" s="292">
        <f>(AB57*AD57)/1000</f>
        <v>0</v>
      </c>
      <c r="M57" s="67">
        <f>((AB57*AH57)/1000000)*21</f>
        <v>0</v>
      </c>
      <c r="N57" s="67">
        <f>((AB57*AL57)/1000000)*310</f>
        <v>0</v>
      </c>
      <c r="O57" s="67">
        <v>0</v>
      </c>
      <c r="P57" s="179">
        <v>0</v>
      </c>
      <c r="AB57" s="58">
        <f>C57</f>
        <v>0</v>
      </c>
      <c r="AD57" s="27">
        <f>'7-Emissions Factors'!C19</f>
        <v>0.30225049999999998</v>
      </c>
      <c r="AH57" s="69">
        <f>'7-Emissions Factors'!E19/1000</f>
        <v>5.7153600000000008E-5</v>
      </c>
      <c r="AL57" s="69">
        <v>6.19E-6</v>
      </c>
      <c r="AO57" s="70"/>
      <c r="AP57" s="71"/>
    </row>
    <row r="58" spans="1:42" ht="27" customHeight="1" thickBot="1">
      <c r="A58" s="708"/>
      <c r="B58" s="462" t="s">
        <v>79</v>
      </c>
      <c r="C58" s="421">
        <f>SUM(C56:C56)</f>
        <v>0</v>
      </c>
      <c r="D58" s="422"/>
      <c r="E58" s="423">
        <f>SUM(E56:E56)</f>
        <v>0</v>
      </c>
      <c r="F58" s="423">
        <f>SUM(F56:F56)</f>
        <v>0</v>
      </c>
      <c r="G58" s="423">
        <f>SUM(G56:G56)</f>
        <v>0</v>
      </c>
      <c r="H58" s="423">
        <f>SUM(H56:H56)</f>
        <v>0</v>
      </c>
      <c r="I58" s="440"/>
      <c r="J58" s="425"/>
      <c r="K58" s="426">
        <f t="shared" si="34"/>
        <v>0</v>
      </c>
      <c r="L58" s="293">
        <f>SUM(L56:L57)</f>
        <v>0</v>
      </c>
      <c r="M58" s="72">
        <f>SUM(M56:M57)</f>
        <v>0</v>
      </c>
      <c r="N58" s="72">
        <f>SUM(N56:N57)</f>
        <v>0</v>
      </c>
      <c r="O58" s="72">
        <f>SUM(O56:O57)</f>
        <v>0</v>
      </c>
      <c r="P58" s="180">
        <f>SUM(P56:P57)</f>
        <v>0</v>
      </c>
    </row>
    <row r="59" spans="1:42" ht="15.75" thickBot="1">
      <c r="B59" s="552"/>
      <c r="C59" s="553"/>
      <c r="D59" s="552"/>
      <c r="E59" s="552"/>
      <c r="F59" s="552"/>
      <c r="G59" s="552"/>
      <c r="H59" s="552"/>
      <c r="I59" s="552"/>
      <c r="J59" s="552"/>
      <c r="K59" s="177"/>
      <c r="L59" s="177"/>
      <c r="M59" s="177"/>
      <c r="N59" s="177"/>
      <c r="O59" s="177"/>
      <c r="P59" s="177"/>
      <c r="Q59" s="177"/>
    </row>
    <row r="60" spans="1:42" ht="15.75">
      <c r="A60" s="709" t="s">
        <v>81</v>
      </c>
      <c r="B60" s="621" t="s">
        <v>37</v>
      </c>
      <c r="C60" s="429"/>
      <c r="D60" s="442">
        <v>9.6000000000000002E-2</v>
      </c>
      <c r="E60" s="430"/>
      <c r="F60" s="431"/>
      <c r="G60" s="431"/>
      <c r="H60" s="432"/>
      <c r="I60" s="433"/>
      <c r="J60" s="434" t="str">
        <f>IF(H60="","",C60/H60)</f>
        <v/>
      </c>
      <c r="K60" s="435">
        <f>SUM(L60:O60)</f>
        <v>0</v>
      </c>
      <c r="L60" s="294">
        <f>(AB60*AD60)/1000</f>
        <v>0</v>
      </c>
      <c r="M60" s="66">
        <f>(((AB60*AH60)+(AC60*AI60))/1000000)*21</f>
        <v>0</v>
      </c>
      <c r="N60" s="66">
        <f>(((AB60*AL60)+(AC60*AM60))/1000000)*310</f>
        <v>0</v>
      </c>
      <c r="O60" s="66">
        <f>IF(F60="",(E60*AN60),F60)*AP60</f>
        <v>0</v>
      </c>
      <c r="P60" s="178">
        <f>(AC60*AE60)/1000</f>
        <v>0</v>
      </c>
      <c r="AB60" s="58">
        <f t="shared" si="25"/>
        <v>0</v>
      </c>
      <c r="AC60" s="58">
        <f t="shared" si="26"/>
        <v>0</v>
      </c>
      <c r="AD60" s="27">
        <f>'7-Emissions Factors'!C27</f>
        <v>8.7799999999999994</v>
      </c>
      <c r="AE60" s="27">
        <f>'7-Emissions Factors'!C28</f>
        <v>5.75</v>
      </c>
      <c r="AH60" s="27">
        <f>'7-Emissions Factors'!R27</f>
        <v>0.6</v>
      </c>
      <c r="AI60" s="27">
        <f>'7-Emissions Factors'!R27</f>
        <v>0.6</v>
      </c>
      <c r="AL60" s="27">
        <f>'7-Emissions Factors'!R43</f>
        <v>0.224</v>
      </c>
      <c r="AM60" s="27">
        <f>'7-Emissions Factors'!R43</f>
        <v>0.224</v>
      </c>
      <c r="AN60" s="59">
        <v>0.1</v>
      </c>
      <c r="AO60" s="71">
        <v>1.5</v>
      </c>
      <c r="AP60" s="71">
        <f>((AO60*0.2*1)/1000)*1430</f>
        <v>0.42900000000000005</v>
      </c>
    </row>
    <row r="61" spans="1:42" ht="15.75" hidden="1">
      <c r="A61" s="706"/>
      <c r="B61" s="460" t="s">
        <v>74</v>
      </c>
      <c r="C61" s="407"/>
      <c r="D61" s="408">
        <v>0.85</v>
      </c>
      <c r="E61" s="409"/>
      <c r="F61" s="410"/>
      <c r="G61" s="410"/>
      <c r="H61" s="411"/>
      <c r="I61" s="412"/>
      <c r="J61" s="413" t="str">
        <f>IF(H61="","",C61/H61)</f>
        <v/>
      </c>
      <c r="K61" s="414">
        <f t="shared" ref="K61:K66" si="35">SUM(L61:O61)</f>
        <v>0</v>
      </c>
      <c r="L61" s="292">
        <f>(AB61*AD61)/1000</f>
        <v>0</v>
      </c>
      <c r="M61" s="67">
        <f>(((AB61*AH61)+(AC61*AI61))/1000000)*21</f>
        <v>0</v>
      </c>
      <c r="N61" s="67">
        <f>(((AB61*AL61)+(AC61*AM61))/1000000)*310</f>
        <v>0</v>
      </c>
      <c r="O61" s="67">
        <f>IF(F61="",(E61*AN61),F61)*AP61</f>
        <v>0</v>
      </c>
      <c r="P61" s="179">
        <f>(AC61*AE61)/1000</f>
        <v>0</v>
      </c>
      <c r="AB61" s="58">
        <f t="shared" si="25"/>
        <v>0</v>
      </c>
      <c r="AC61" s="58">
        <f t="shared" si="26"/>
        <v>0</v>
      </c>
      <c r="AD61" s="27">
        <f>'7-Emissions Factors'!C27</f>
        <v>8.7799999999999994</v>
      </c>
      <c r="AE61" s="27">
        <f>'7-Emissions Factors'!C28</f>
        <v>5.75</v>
      </c>
      <c r="AH61" s="27">
        <f>'7-Emissions Factors'!R27</f>
        <v>0.6</v>
      </c>
      <c r="AI61" s="27">
        <f>'7-Emissions Factors'!R27</f>
        <v>0.6</v>
      </c>
      <c r="AL61" s="27">
        <f>'7-Emissions Factors'!R43</f>
        <v>0.224</v>
      </c>
      <c r="AM61" s="27">
        <f>'7-Emissions Factors'!R43</f>
        <v>0.224</v>
      </c>
      <c r="AN61" s="59">
        <f>AN$60</f>
        <v>0.1</v>
      </c>
      <c r="AO61" s="70">
        <f>AO$60</f>
        <v>1.5</v>
      </c>
      <c r="AP61" s="71">
        <f t="shared" ref="AP61:AP65" si="36">((AO61*0.2*1)/1000)*1300</f>
        <v>0.39</v>
      </c>
    </row>
    <row r="62" spans="1:42" ht="15.75">
      <c r="A62" s="706"/>
      <c r="B62" s="617" t="s">
        <v>26</v>
      </c>
      <c r="C62" s="407"/>
      <c r="D62" s="408">
        <v>0.02</v>
      </c>
      <c r="E62" s="409"/>
      <c r="F62" s="410"/>
      <c r="G62" s="410"/>
      <c r="H62" s="411"/>
      <c r="I62" s="412"/>
      <c r="J62" s="413" t="str">
        <f>IF(H62="","",C62/H62)</f>
        <v/>
      </c>
      <c r="K62" s="414">
        <f t="shared" si="35"/>
        <v>0</v>
      </c>
      <c r="L62" s="292">
        <f>(AB62*AD62)/1000</f>
        <v>0</v>
      </c>
      <c r="M62" s="67">
        <f>(((AB62*AH62)+(AC62*AI62))/1000000)*21</f>
        <v>0</v>
      </c>
      <c r="N62" s="67">
        <f>(((AB62*AL62)+(AC62*AM62))/1000000)*310</f>
        <v>0</v>
      </c>
      <c r="O62" s="67">
        <f>IF(F62="",(E62*AN62),F62)*AP62</f>
        <v>0</v>
      </c>
      <c r="P62" s="179">
        <f>(AC62*AE62)/1000</f>
        <v>0</v>
      </c>
      <c r="AB62" s="58">
        <f t="shared" si="25"/>
        <v>0</v>
      </c>
      <c r="AC62" s="58">
        <f t="shared" si="26"/>
        <v>0</v>
      </c>
      <c r="AD62" s="27">
        <f>'7-Emissions Factors'!C29</f>
        <v>10.210000000000001</v>
      </c>
      <c r="AE62" s="27">
        <f>'7-Emissions Factors'!C30</f>
        <v>9.4499999999999993</v>
      </c>
      <c r="AH62" s="27">
        <f>'7-Emissions Factors'!R29</f>
        <v>0.74</v>
      </c>
      <c r="AI62" s="27">
        <f>'7-Emissions Factors'!R29</f>
        <v>0.74</v>
      </c>
      <c r="AL62" s="27">
        <f>'7-Emissions Factors'!R45</f>
        <v>0.44800000000000001</v>
      </c>
      <c r="AM62" s="27">
        <f>'7-Emissions Factors'!R45</f>
        <v>0.44800000000000001</v>
      </c>
      <c r="AN62" s="59">
        <f t="shared" ref="AN62:AO65" si="37">AN$60</f>
        <v>0.1</v>
      </c>
      <c r="AO62" s="70">
        <f t="shared" si="37"/>
        <v>1.5</v>
      </c>
      <c r="AP62" s="71">
        <f>((AO62*0.2*1)/1000)*1430</f>
        <v>0.42900000000000005</v>
      </c>
    </row>
    <row r="63" spans="1:42" ht="15.75" hidden="1">
      <c r="A63" s="706"/>
      <c r="B63" s="460" t="s">
        <v>120</v>
      </c>
      <c r="C63" s="443"/>
      <c r="D63" s="444"/>
      <c r="E63" s="315"/>
      <c r="F63" s="445"/>
      <c r="G63" s="445"/>
      <c r="H63" s="445"/>
      <c r="I63" s="412"/>
      <c r="J63" s="413"/>
      <c r="K63" s="414"/>
      <c r="L63" s="292"/>
      <c r="M63" s="67"/>
      <c r="N63" s="67"/>
      <c r="O63" s="67"/>
      <c r="P63" s="179"/>
      <c r="AO63" s="70"/>
      <c r="AP63" s="71"/>
    </row>
    <row r="64" spans="1:42" ht="15.75" hidden="1">
      <c r="A64" s="706"/>
      <c r="B64" s="461" t="s">
        <v>75</v>
      </c>
      <c r="C64" s="407"/>
      <c r="D64" s="444">
        <v>7.0000000000000007E-2</v>
      </c>
      <c r="E64" s="409"/>
      <c r="F64" s="410"/>
      <c r="G64" s="410"/>
      <c r="H64" s="411"/>
      <c r="I64" s="412"/>
      <c r="J64" s="413" t="str">
        <f>IF(H64="","",C64/H64)</f>
        <v/>
      </c>
      <c r="K64" s="414">
        <f t="shared" si="35"/>
        <v>0</v>
      </c>
      <c r="L64" s="292">
        <f>(AB64*AD64)/1000</f>
        <v>0</v>
      </c>
      <c r="M64" s="67">
        <f>(((AB64*AH64)+(AC64*AI64))/1000000)*21</f>
        <v>0</v>
      </c>
      <c r="N64" s="67">
        <f>(((AB64*AL64)+(AC64*AM64))/1000000)*310</f>
        <v>0</v>
      </c>
      <c r="O64" s="67">
        <f>IF(F64="",(E64*AN64),F64)*AP64</f>
        <v>0</v>
      </c>
      <c r="P64" s="179">
        <f>(AC64*AE64)/1000</f>
        <v>0</v>
      </c>
      <c r="AB64" s="58">
        <f t="shared" si="25"/>
        <v>0</v>
      </c>
      <c r="AC64" s="58">
        <f t="shared" si="26"/>
        <v>0</v>
      </c>
      <c r="AD64" s="27">
        <f>'7-Emissions Factors'!C27</f>
        <v>8.7799999999999994</v>
      </c>
      <c r="AE64" s="27">
        <f>'7-Emissions Factors'!C28</f>
        <v>5.75</v>
      </c>
      <c r="AH64" s="27">
        <f>'7-Emissions Factors'!R27</f>
        <v>0.6</v>
      </c>
      <c r="AI64" s="27">
        <f>'7-Emissions Factors'!R27</f>
        <v>0.6</v>
      </c>
      <c r="AL64" s="27">
        <f>'7-Emissions Factors'!R43</f>
        <v>0.224</v>
      </c>
      <c r="AM64" s="27">
        <f>'7-Emissions Factors'!R43</f>
        <v>0.224</v>
      </c>
      <c r="AN64" s="59">
        <f t="shared" si="37"/>
        <v>0.1</v>
      </c>
      <c r="AO64" s="70">
        <f t="shared" si="37"/>
        <v>1.5</v>
      </c>
      <c r="AP64" s="71">
        <f t="shared" si="36"/>
        <v>0.39</v>
      </c>
    </row>
    <row r="65" spans="1:42" ht="15.75" hidden="1">
      <c r="A65" s="706"/>
      <c r="B65" s="461" t="s">
        <v>76</v>
      </c>
      <c r="C65" s="407"/>
      <c r="D65" s="446">
        <v>9.8500000000000004E-2</v>
      </c>
      <c r="E65" s="409"/>
      <c r="F65" s="410"/>
      <c r="G65" s="410"/>
      <c r="H65" s="411"/>
      <c r="I65" s="412"/>
      <c r="J65" s="413" t="str">
        <f>IF(H65="","",C65/H65)</f>
        <v/>
      </c>
      <c r="K65" s="414">
        <f t="shared" si="35"/>
        <v>0</v>
      </c>
      <c r="L65" s="292">
        <f>(AB65*AD65)/1000</f>
        <v>0</v>
      </c>
      <c r="M65" s="67">
        <f>(((AB65*AH65)+(AC65*AI65))/1000000)*21</f>
        <v>0</v>
      </c>
      <c r="N65" s="67">
        <f>(((AB65*AL65)+(AC65*AM65))/1000000)*310</f>
        <v>0</v>
      </c>
      <c r="O65" s="67">
        <f>IF(F65="",(E65*AN65),F65)*AP65</f>
        <v>0</v>
      </c>
      <c r="P65" s="179">
        <f>(AC65*AE65)/1000</f>
        <v>0</v>
      </c>
      <c r="AB65" s="58">
        <f t="shared" si="25"/>
        <v>0</v>
      </c>
      <c r="AC65" s="58">
        <f t="shared" si="26"/>
        <v>0</v>
      </c>
      <c r="AD65" s="27">
        <f>'7-Emissions Factors'!C29</f>
        <v>10.210000000000001</v>
      </c>
      <c r="AE65" s="27">
        <f>'7-Emissions Factors'!C30</f>
        <v>9.4499999999999993</v>
      </c>
      <c r="AH65" s="27">
        <f>'7-Emissions Factors'!R29</f>
        <v>0.74</v>
      </c>
      <c r="AI65" s="27">
        <f>'7-Emissions Factors'!R29</f>
        <v>0.74</v>
      </c>
      <c r="AL65" s="27">
        <f>'7-Emissions Factors'!R45</f>
        <v>0.44800000000000001</v>
      </c>
      <c r="AM65" s="27">
        <f>'7-Emissions Factors'!R45</f>
        <v>0.44800000000000001</v>
      </c>
      <c r="AN65" s="59">
        <f t="shared" si="37"/>
        <v>0.1</v>
      </c>
      <c r="AO65" s="70">
        <f t="shared" si="37"/>
        <v>1.5</v>
      </c>
      <c r="AP65" s="71">
        <f t="shared" si="36"/>
        <v>0.39</v>
      </c>
    </row>
    <row r="66" spans="1:42" ht="16.5" thickBot="1">
      <c r="A66" s="708"/>
      <c r="B66" s="462" t="s">
        <v>79</v>
      </c>
      <c r="C66" s="421">
        <f>SUM(C60:C65)</f>
        <v>0</v>
      </c>
      <c r="D66" s="422"/>
      <c r="E66" s="423">
        <f>SUM(E60:E65)</f>
        <v>0</v>
      </c>
      <c r="F66" s="423">
        <f>SUM(F60:F65)</f>
        <v>0</v>
      </c>
      <c r="G66" s="423">
        <f>SUM(G60:G65)</f>
        <v>0</v>
      </c>
      <c r="H66" s="423">
        <f>SUM(H60:H65)</f>
        <v>0</v>
      </c>
      <c r="I66" s="424"/>
      <c r="J66" s="425"/>
      <c r="K66" s="426">
        <f t="shared" si="35"/>
        <v>0</v>
      </c>
      <c r="L66" s="293">
        <f t="shared" ref="L66:N66" si="38">SUM(L60:L65)</f>
        <v>0</v>
      </c>
      <c r="M66" s="73">
        <f t="shared" si="38"/>
        <v>0</v>
      </c>
      <c r="N66" s="73">
        <f t="shared" si="38"/>
        <v>0</v>
      </c>
      <c r="O66" s="73">
        <f>SUM(O60:O65)</f>
        <v>0</v>
      </c>
      <c r="P66" s="180">
        <f>SUM(P60:P65)</f>
        <v>0</v>
      </c>
    </row>
    <row r="67" spans="1:42" ht="15.75" thickBot="1">
      <c r="B67" s="79"/>
      <c r="C67" s="80"/>
      <c r="D67" s="79"/>
      <c r="E67" s="79"/>
      <c r="F67" s="79"/>
      <c r="G67" s="79"/>
      <c r="H67" s="79"/>
      <c r="I67" s="79"/>
      <c r="J67" s="79"/>
      <c r="K67" s="177"/>
      <c r="L67" s="177"/>
      <c r="M67" s="177"/>
      <c r="N67" s="177"/>
      <c r="O67" s="177"/>
      <c r="P67" s="177"/>
      <c r="Q67" s="177"/>
    </row>
    <row r="68" spans="1:42" ht="15.75">
      <c r="A68" s="709" t="s">
        <v>82</v>
      </c>
      <c r="B68" s="621" t="s">
        <v>54</v>
      </c>
      <c r="C68" s="429"/>
      <c r="D68" s="449">
        <v>0</v>
      </c>
      <c r="E68" s="430"/>
      <c r="F68" s="431"/>
      <c r="G68" s="431"/>
      <c r="H68" s="432"/>
      <c r="I68" s="433"/>
      <c r="J68" s="434" t="str">
        <f>IF(H68="","",C68/H68)</f>
        <v/>
      </c>
      <c r="K68" s="435">
        <f>SUM(L68:O68)</f>
        <v>0</v>
      </c>
      <c r="L68" s="294">
        <f>(AB68*AD68)/1000</f>
        <v>0</v>
      </c>
      <c r="M68" s="66">
        <f>(((AB68*AH68)+(AC68*AI68))/1000000)*21</f>
        <v>0</v>
      </c>
      <c r="N68" s="66">
        <f>(((AB68*AL68)+(AC68*AM68))/1000000)*310</f>
        <v>0</v>
      </c>
      <c r="O68" s="66">
        <f>IF(F68="",(E68*AN68),F68)*AP68</f>
        <v>0</v>
      </c>
      <c r="P68" s="178">
        <f>(AC68*AE68)/1000</f>
        <v>0</v>
      </c>
      <c r="AB68" s="58">
        <f t="shared" si="25"/>
        <v>0</v>
      </c>
      <c r="AC68" s="58">
        <f t="shared" si="26"/>
        <v>0</v>
      </c>
      <c r="AD68" s="27">
        <f>'7-Emissions Factors'!C36</f>
        <v>8.31</v>
      </c>
      <c r="AE68" s="27">
        <f>AD68</f>
        <v>8.31</v>
      </c>
      <c r="AH68" s="27">
        <f>'7-Emissions Factors'!V36</f>
        <v>7.05</v>
      </c>
      <c r="AI68" s="27">
        <f>AH68</f>
        <v>7.05</v>
      </c>
      <c r="AL68" s="27">
        <f>'7-Emissions Factors'!V52</f>
        <v>0.11</v>
      </c>
      <c r="AM68" s="27">
        <f>AL68</f>
        <v>0.11</v>
      </c>
      <c r="AN68" s="59">
        <v>0.75</v>
      </c>
      <c r="AO68" s="70">
        <v>1.5</v>
      </c>
      <c r="AP68" s="71">
        <f>((AO68*0.2*1)/1000)*1430</f>
        <v>0.42900000000000005</v>
      </c>
    </row>
    <row r="69" spans="1:42" ht="15.75">
      <c r="A69" s="706"/>
      <c r="B69" s="617" t="s">
        <v>339</v>
      </c>
      <c r="C69" s="407"/>
      <c r="D69" s="450">
        <v>0</v>
      </c>
      <c r="E69" s="409"/>
      <c r="F69" s="410"/>
      <c r="G69" s="410"/>
      <c r="H69" s="411"/>
      <c r="I69" s="412"/>
      <c r="J69" s="413" t="str">
        <f>IF(H69="","",C69/H69)</f>
        <v/>
      </c>
      <c r="K69" s="414">
        <f t="shared" ref="K69:K70" si="39">SUM(L69:O69)</f>
        <v>0</v>
      </c>
      <c r="L69" s="292">
        <f>(AB69*AD69)/1000</f>
        <v>0</v>
      </c>
      <c r="M69" s="67">
        <f>(((AB69*AH69)+(AC69*AI69))/1000000)*21</f>
        <v>0</v>
      </c>
      <c r="N69" s="67">
        <f>(((AB69*AL69)+(AC69*AM69))/1000000)*310</f>
        <v>0</v>
      </c>
      <c r="O69" s="67">
        <f>IF(F69="",(E69*AN69),F69)*AP69</f>
        <v>0</v>
      </c>
      <c r="P69" s="179">
        <f>(AC69*AE69)/1000</f>
        <v>0</v>
      </c>
      <c r="AB69" s="58">
        <f t="shared" si="25"/>
        <v>0</v>
      </c>
      <c r="AC69" s="58">
        <f t="shared" si="26"/>
        <v>0</v>
      </c>
      <c r="AD69" s="27">
        <f>'7-Emissions Factors'!C37</f>
        <v>9.75</v>
      </c>
      <c r="AE69" s="27">
        <f>AD69</f>
        <v>9.75</v>
      </c>
      <c r="AH69" s="27">
        <f>'7-Emissions Factors'!V37</f>
        <v>0.27</v>
      </c>
      <c r="AI69" s="27">
        <f>AH69</f>
        <v>0.27</v>
      </c>
      <c r="AL69" s="27">
        <f>'7-Emissions Factors'!V53</f>
        <v>0.31</v>
      </c>
      <c r="AM69" s="27">
        <f>AL69</f>
        <v>0.31</v>
      </c>
      <c r="AN69" s="59">
        <v>1</v>
      </c>
      <c r="AO69" s="70">
        <v>5</v>
      </c>
      <c r="AP69" s="71">
        <f>((AO69*0.2*1)/1000)*1430</f>
        <v>1.43</v>
      </c>
    </row>
    <row r="70" spans="1:42" ht="16.5" thickBot="1">
      <c r="A70" s="708"/>
      <c r="B70" s="463" t="s">
        <v>79</v>
      </c>
      <c r="C70" s="421">
        <f>SUM(C68:C69)</f>
        <v>0</v>
      </c>
      <c r="D70" s="423"/>
      <c r="E70" s="423">
        <f>SUM(E68:E69)</f>
        <v>0</v>
      </c>
      <c r="F70" s="423">
        <f>SUM(F68:F69)</f>
        <v>0</v>
      </c>
      <c r="G70" s="423">
        <f>SUM(G68:G69)</f>
        <v>0</v>
      </c>
      <c r="H70" s="423">
        <f>SUM(H68:H69)</f>
        <v>0</v>
      </c>
      <c r="I70" s="451"/>
      <c r="J70" s="425"/>
      <c r="K70" s="426">
        <f t="shared" si="39"/>
        <v>0</v>
      </c>
      <c r="L70" s="293">
        <f t="shared" ref="L70:N70" si="40">SUM(L68:L69)</f>
        <v>0</v>
      </c>
      <c r="M70" s="73">
        <f t="shared" si="40"/>
        <v>0</v>
      </c>
      <c r="N70" s="73">
        <f t="shared" si="40"/>
        <v>0</v>
      </c>
      <c r="O70" s="73">
        <f>SUM(O68:O69)</f>
        <v>0</v>
      </c>
      <c r="P70" s="180">
        <f>SUM(P68:P69)</f>
        <v>0</v>
      </c>
    </row>
    <row r="71" spans="1:42" ht="15.75">
      <c r="B71" s="464"/>
      <c r="C71" s="560"/>
      <c r="D71" s="452"/>
      <c r="E71" s="453"/>
      <c r="F71" s="454"/>
      <c r="G71" s="454"/>
      <c r="H71" s="454"/>
      <c r="I71" s="455"/>
      <c r="J71" s="456"/>
      <c r="K71" s="457"/>
      <c r="L71" s="295"/>
      <c r="M71" s="176"/>
      <c r="N71" s="81"/>
      <c r="O71" s="181"/>
      <c r="P71" s="184"/>
      <c r="AK71" s="27" t="s">
        <v>481</v>
      </c>
    </row>
    <row r="72" spans="1:42" ht="19.5" thickBot="1">
      <c r="A72" s="265"/>
      <c r="B72" s="465" t="s">
        <v>79</v>
      </c>
      <c r="C72" s="561">
        <f>SUM(C25,C39,C54,C58,C66,C70)</f>
        <v>1350</v>
      </c>
      <c r="D72" s="562"/>
      <c r="E72" s="563">
        <f>SUM(E25,E39,E54,E58,E66,E70)</f>
        <v>13</v>
      </c>
      <c r="F72" s="563">
        <f>SUM(F25,F39,F54,F58,F66,F70)</f>
        <v>0</v>
      </c>
      <c r="G72" s="563">
        <f>SUM(G25,G39,G54,G58,G66,G70)</f>
        <v>0</v>
      </c>
      <c r="H72" s="563">
        <f>SUM(H25,H39,H54,H58,H66,H70)</f>
        <v>0</v>
      </c>
      <c r="I72" s="564"/>
      <c r="J72" s="565"/>
      <c r="K72" s="458">
        <f t="shared" ref="K72:P72" si="41">SUM(K25,K39,K54,K58,K66,K70)</f>
        <v>14.83448734154431</v>
      </c>
      <c r="L72" s="296">
        <f t="shared" si="41"/>
        <v>11.619434999999999</v>
      </c>
      <c r="M72" s="182">
        <f t="shared" si="41"/>
        <v>1.3469152438921526E-2</v>
      </c>
      <c r="N72" s="183">
        <f t="shared" si="41"/>
        <v>6.9883189105387364E-2</v>
      </c>
      <c r="O72" s="182">
        <f t="shared" si="41"/>
        <v>3.1317000000000004</v>
      </c>
      <c r="P72" s="185">
        <f t="shared" si="41"/>
        <v>0.52756249999999993</v>
      </c>
      <c r="AK72" s="27" t="s">
        <v>482</v>
      </c>
    </row>
    <row r="74" spans="1:42" ht="15.75" thickBot="1"/>
    <row r="75" spans="1:42" ht="58.5" customHeight="1" thickBot="1">
      <c r="B75" s="710" t="s">
        <v>433</v>
      </c>
      <c r="C75" s="711"/>
      <c r="E75" s="554"/>
      <c r="F75" s="554"/>
      <c r="G75" s="712" t="s">
        <v>434</v>
      </c>
      <c r="H75" s="713"/>
      <c r="I75" s="713"/>
      <c r="J75" s="713"/>
      <c r="K75" s="714"/>
      <c r="L75" s="714"/>
      <c r="M75" s="714"/>
      <c r="N75" s="714"/>
      <c r="O75" s="714"/>
      <c r="P75" s="714"/>
      <c r="Q75" s="714"/>
      <c r="R75" s="714"/>
      <c r="AA75" s="58"/>
      <c r="AC75" s="27"/>
      <c r="AF75" s="7"/>
      <c r="AG75" s="593" t="s">
        <v>394</v>
      </c>
      <c r="AH75" s="593" t="s">
        <v>395</v>
      </c>
      <c r="AI75" s="593" t="s">
        <v>396</v>
      </c>
      <c r="AJ75" s="593" t="s">
        <v>80</v>
      </c>
      <c r="AK75" s="593" t="s">
        <v>81</v>
      </c>
      <c r="AL75" s="593" t="s">
        <v>82</v>
      </c>
      <c r="AM75" s="59"/>
      <c r="AN75" s="27"/>
    </row>
    <row r="76" spans="1:42" ht="15.75">
      <c r="B76" s="383" t="s">
        <v>37</v>
      </c>
      <c r="C76" s="384">
        <f>SUM(AG76:AL76)</f>
        <v>858.25</v>
      </c>
      <c r="E76" s="555"/>
      <c r="F76" s="556"/>
      <c r="G76" s="602">
        <v>2009</v>
      </c>
      <c r="H76" s="603">
        <v>2010</v>
      </c>
      <c r="I76" s="604">
        <v>2011</v>
      </c>
      <c r="J76" s="637">
        <v>2012</v>
      </c>
      <c r="K76" s="637">
        <v>2013</v>
      </c>
      <c r="L76" s="638">
        <v>2014</v>
      </c>
      <c r="M76" s="678">
        <v>2015</v>
      </c>
      <c r="N76" s="66"/>
      <c r="O76" s="639"/>
      <c r="P76" s="640"/>
      <c r="Q76" s="641"/>
      <c r="R76" s="605" t="s">
        <v>22</v>
      </c>
      <c r="AA76" s="58"/>
      <c r="AC76" s="27"/>
      <c r="AF76" s="594" t="s">
        <v>37</v>
      </c>
      <c r="AG76" s="12">
        <f>SUM(AB8:AB11,AB22)</f>
        <v>496.65000000000003</v>
      </c>
      <c r="AH76" s="12">
        <f>SUM(AB27:AB28)</f>
        <v>0</v>
      </c>
      <c r="AI76" s="12">
        <f>SUM(AB43:AB44)</f>
        <v>361.6</v>
      </c>
      <c r="AJ76" s="7"/>
      <c r="AK76" s="12">
        <f>SUM(AB60:AB61,AB64)</f>
        <v>0</v>
      </c>
      <c r="AL76" s="7"/>
      <c r="AM76" s="59"/>
      <c r="AN76" s="27"/>
    </row>
    <row r="77" spans="1:42" ht="16.5" thickBot="1">
      <c r="B77" s="383" t="s">
        <v>397</v>
      </c>
      <c r="C77" s="384">
        <f t="shared" ref="C77:C79" si="42">SUM(AG77:AL77)</f>
        <v>91.75</v>
      </c>
      <c r="E77" s="557"/>
      <c r="F77" s="558"/>
      <c r="G77" s="388" t="s">
        <v>408</v>
      </c>
      <c r="H77" s="389">
        <v>22.6</v>
      </c>
      <c r="I77" s="390">
        <v>22.4</v>
      </c>
      <c r="J77" s="601">
        <v>23.6</v>
      </c>
      <c r="K77" s="642">
        <v>24</v>
      </c>
      <c r="L77" s="675">
        <v>24.2</v>
      </c>
      <c r="M77" s="680">
        <v>24.7</v>
      </c>
      <c r="N77" s="73"/>
      <c r="O77" s="72"/>
      <c r="P77" s="643"/>
      <c r="Q77" s="644"/>
      <c r="R77" s="606" t="s">
        <v>409</v>
      </c>
      <c r="T77" s="626"/>
      <c r="AA77" s="58"/>
      <c r="AC77" s="27"/>
      <c r="AF77" s="594" t="s">
        <v>397</v>
      </c>
      <c r="AG77" s="12">
        <f>SUM(AC8:AC11,AC22)</f>
        <v>53.35</v>
      </c>
      <c r="AH77" s="12">
        <f>SUM(AC27:AC28)</f>
        <v>0</v>
      </c>
      <c r="AI77" s="12">
        <f>SUM(AC43:AC44)</f>
        <v>38.4</v>
      </c>
      <c r="AJ77" s="7"/>
      <c r="AK77" s="12">
        <f>SUM(AC60:AC61,AC64)</f>
        <v>0</v>
      </c>
      <c r="AL77" s="7"/>
      <c r="AM77" s="59"/>
      <c r="AN77" s="27"/>
    </row>
    <row r="78" spans="1:42" ht="15.75">
      <c r="B78" s="383" t="s">
        <v>26</v>
      </c>
      <c r="C78" s="384">
        <f t="shared" si="42"/>
        <v>400</v>
      </c>
      <c r="AF78" s="594" t="s">
        <v>26</v>
      </c>
      <c r="AG78" s="12">
        <f>SUM(AB13:AB17)</f>
        <v>0</v>
      </c>
      <c r="AH78" s="12">
        <f>SUM(AB30:AB34)</f>
        <v>0</v>
      </c>
      <c r="AI78" s="12">
        <f>SUM(AB46:AB50)</f>
        <v>400</v>
      </c>
      <c r="AJ78" s="12">
        <f>AB56</f>
        <v>0</v>
      </c>
      <c r="AK78" s="12">
        <f>SUM(AB62,AB65)</f>
        <v>0</v>
      </c>
      <c r="AL78" s="7"/>
    </row>
    <row r="79" spans="1:42" ht="15.75">
      <c r="B79" s="383" t="s">
        <v>393</v>
      </c>
      <c r="C79" s="384">
        <f t="shared" si="42"/>
        <v>0</v>
      </c>
      <c r="AF79" s="594" t="s">
        <v>393</v>
      </c>
      <c r="AG79" s="12">
        <f>SUM(AC13:AC17)</f>
        <v>0</v>
      </c>
      <c r="AH79" s="12">
        <f>SUM(AC30:AC34)</f>
        <v>0</v>
      </c>
      <c r="AI79" s="12">
        <f>SUM(AC46:AC50)</f>
        <v>0</v>
      </c>
      <c r="AJ79" s="12">
        <f>AC56</f>
        <v>0</v>
      </c>
      <c r="AK79" s="12">
        <f>SUM(AC62,AC65)</f>
        <v>0</v>
      </c>
      <c r="AL79" s="7"/>
    </row>
    <row r="80" spans="1:42" ht="19.5" customHeight="1">
      <c r="B80" s="383" t="s">
        <v>457</v>
      </c>
      <c r="C80" s="384">
        <f>SUM(AF80:AK80)</f>
        <v>0</v>
      </c>
      <c r="G80" s="715" t="s">
        <v>435</v>
      </c>
      <c r="H80" s="716"/>
      <c r="I80" s="716"/>
      <c r="J80" s="716"/>
      <c r="K80" s="716"/>
      <c r="L80" s="714"/>
      <c r="M80" s="714"/>
      <c r="N80" s="714"/>
      <c r="O80" s="714"/>
      <c r="P80" s="714"/>
      <c r="Q80" s="714"/>
      <c r="R80" s="714"/>
      <c r="AF80" s="594" t="s">
        <v>398</v>
      </c>
      <c r="AG80" s="12">
        <f>SUM(AB18)</f>
        <v>0</v>
      </c>
      <c r="AH80" s="12">
        <f>SUM(AB35)</f>
        <v>0</v>
      </c>
      <c r="AI80" s="12">
        <f>SUM(AB51:AC51)</f>
        <v>0</v>
      </c>
      <c r="AJ80" s="12"/>
      <c r="AK80" s="7"/>
      <c r="AL80" s="7"/>
    </row>
    <row r="81" spans="2:40" ht="15.75">
      <c r="B81" s="383" t="s">
        <v>28</v>
      </c>
      <c r="C81" s="384">
        <f>SUM(AE82:AJ82)</f>
        <v>0</v>
      </c>
      <c r="G81" s="391" t="s">
        <v>23</v>
      </c>
      <c r="H81" s="392" t="s">
        <v>387</v>
      </c>
      <c r="I81" s="393">
        <v>2011</v>
      </c>
      <c r="J81" s="387">
        <v>2012</v>
      </c>
      <c r="K81" s="144">
        <v>2013</v>
      </c>
      <c r="L81" s="677">
        <v>2014</v>
      </c>
      <c r="M81" s="632">
        <v>2015</v>
      </c>
      <c r="N81" s="67"/>
      <c r="O81" s="629"/>
      <c r="P81" s="630"/>
      <c r="Q81" s="631"/>
      <c r="R81" s="144" t="s">
        <v>22</v>
      </c>
      <c r="AA81" s="58"/>
      <c r="AC81" s="27"/>
      <c r="AF81" s="594" t="s">
        <v>34</v>
      </c>
      <c r="AG81" s="12">
        <f>SUM(AB19)</f>
        <v>0</v>
      </c>
      <c r="AH81" s="12">
        <f>SUM(AB36)</f>
        <v>0</v>
      </c>
      <c r="AI81" s="12">
        <f>AB52</f>
        <v>0</v>
      </c>
      <c r="AJ81" s="7"/>
      <c r="AK81" s="7"/>
      <c r="AL81" s="7"/>
      <c r="AM81" s="59"/>
      <c r="AN81" s="27"/>
    </row>
    <row r="82" spans="2:40" ht="31.5">
      <c r="B82" s="383" t="s">
        <v>456</v>
      </c>
      <c r="C82" s="384">
        <f>SUM(AG84:AL84)</f>
        <v>0</v>
      </c>
      <c r="G82" s="394" t="s">
        <v>389</v>
      </c>
      <c r="H82" s="373">
        <v>3.06</v>
      </c>
      <c r="I82" s="395">
        <v>3.77</v>
      </c>
      <c r="J82" s="395">
        <v>3.88</v>
      </c>
      <c r="K82" s="614">
        <v>3.69</v>
      </c>
      <c r="L82" s="676">
        <v>3.6</v>
      </c>
      <c r="M82" s="679">
        <v>2.77</v>
      </c>
      <c r="N82" s="67"/>
      <c r="O82" s="629"/>
      <c r="P82" s="630"/>
      <c r="Q82" s="635"/>
      <c r="R82" s="633" t="s">
        <v>318</v>
      </c>
      <c r="AA82" s="58"/>
      <c r="AC82" s="27"/>
      <c r="AF82" s="594" t="s">
        <v>28</v>
      </c>
      <c r="AG82" s="12">
        <f>SUM(AB20)</f>
        <v>0</v>
      </c>
      <c r="AH82" s="12">
        <f>AB37</f>
        <v>0</v>
      </c>
      <c r="AI82" s="12">
        <f>AB53</f>
        <v>0</v>
      </c>
      <c r="AJ82" s="7"/>
      <c r="AK82" s="7"/>
      <c r="AL82" s="7"/>
      <c r="AM82" s="59"/>
      <c r="AN82" s="27"/>
    </row>
    <row r="83" spans="2:40" ht="32.25" thickBot="1">
      <c r="B83" s="383" t="s">
        <v>54</v>
      </c>
      <c r="C83" s="384">
        <f>SUM(AG85:AL85)</f>
        <v>0</v>
      </c>
      <c r="G83" s="396" t="s">
        <v>390</v>
      </c>
      <c r="H83" s="373">
        <v>3.12</v>
      </c>
      <c r="I83" s="395">
        <v>3.94</v>
      </c>
      <c r="J83" s="395">
        <v>4.09</v>
      </c>
      <c r="K83" s="614">
        <v>3.96</v>
      </c>
      <c r="L83" s="676">
        <v>3.84</v>
      </c>
      <c r="M83" s="679">
        <v>2.76</v>
      </c>
      <c r="N83" s="67"/>
      <c r="O83" s="629"/>
      <c r="P83" s="630"/>
      <c r="Q83" s="636"/>
      <c r="R83" s="634" t="s">
        <v>430</v>
      </c>
      <c r="AA83" s="58"/>
      <c r="AC83" s="27"/>
      <c r="AF83" s="594" t="s">
        <v>52</v>
      </c>
      <c r="AG83" s="12">
        <f>SUM(AB21)</f>
        <v>0</v>
      </c>
      <c r="AH83" s="12">
        <f>SUM(AB38)</f>
        <v>0</v>
      </c>
      <c r="AI83" s="7"/>
      <c r="AJ83" s="7"/>
      <c r="AK83" s="7"/>
      <c r="AL83" s="7"/>
      <c r="AM83" s="59"/>
      <c r="AN83" s="27"/>
    </row>
    <row r="84" spans="2:40" ht="16.5" thickBot="1">
      <c r="B84" s="385" t="s">
        <v>339</v>
      </c>
      <c r="C84" s="386">
        <f>SUM(AG86:AL86)</f>
        <v>0</v>
      </c>
      <c r="AF84" s="594" t="s">
        <v>399</v>
      </c>
      <c r="AG84" s="12">
        <f>SUM(AB23:AB24)</f>
        <v>0</v>
      </c>
      <c r="AH84" s="12"/>
      <c r="AI84" s="7"/>
      <c r="AJ84" s="12">
        <f>AB57</f>
        <v>0</v>
      </c>
      <c r="AK84" s="12"/>
      <c r="AL84" s="7"/>
    </row>
    <row r="85" spans="2:40" ht="16.5" thickBot="1">
      <c r="AF85" s="594" t="s">
        <v>54</v>
      </c>
      <c r="AG85" s="12"/>
      <c r="AH85" s="7"/>
      <c r="AI85" s="7"/>
      <c r="AJ85" s="7"/>
      <c r="AK85" s="7"/>
      <c r="AL85" s="12">
        <f>AB68</f>
        <v>0</v>
      </c>
      <c r="AM85" s="58"/>
    </row>
    <row r="86" spans="2:40" ht="18.75">
      <c r="B86" s="703" t="s">
        <v>451</v>
      </c>
      <c r="C86" s="704"/>
      <c r="AF86" s="594" t="s">
        <v>339</v>
      </c>
      <c r="AG86" s="7"/>
      <c r="AH86" s="7"/>
      <c r="AI86" s="7"/>
      <c r="AJ86" s="7"/>
      <c r="AK86" s="7"/>
      <c r="AL86" s="12">
        <f>AB69</f>
        <v>0</v>
      </c>
      <c r="AM86" s="58"/>
    </row>
    <row r="87" spans="2:40" ht="32.25" thickBot="1">
      <c r="B87" s="567" t="s">
        <v>400</v>
      </c>
      <c r="C87" s="568" t="s">
        <v>401</v>
      </c>
    </row>
    <row r="88" spans="2:40" ht="16.5" thickBot="1">
      <c r="B88" s="397">
        <f>E72</f>
        <v>13</v>
      </c>
      <c r="C88" s="398">
        <f>G72</f>
        <v>0</v>
      </c>
    </row>
  </sheetData>
  <sheetProtection formatColumns="0" formatRows="0"/>
  <protectedRanges>
    <protectedRange sqref="C9:G11 E24:G24 H7:I25 I39 I54 C56:D57 E56:I56 H57:I57 C60:I62 I66 I58 C68:I69 E13:G21 C13:D18 C43:I53 C27:I37" name="Range1"/>
    <protectedRange sqref="D22 C22:C24" name="Range1_1"/>
  </protectedRanges>
  <mergeCells count="15">
    <mergeCell ref="G75:R75"/>
    <mergeCell ref="G80:R80"/>
    <mergeCell ref="A5:B5"/>
    <mergeCell ref="C5:J5"/>
    <mergeCell ref="A7:A25"/>
    <mergeCell ref="A27:A39"/>
    <mergeCell ref="A41:A42"/>
    <mergeCell ref="B41:B42"/>
    <mergeCell ref="C41:J41"/>
    <mergeCell ref="B86:C86"/>
    <mergeCell ref="A43:A54"/>
    <mergeCell ref="A56:A58"/>
    <mergeCell ref="A60:A66"/>
    <mergeCell ref="A68:A70"/>
    <mergeCell ref="B75:C75"/>
  </mergeCells>
  <dataValidations count="13">
    <dataValidation allowBlank="1" showInputMessage="1" showErrorMessage="1" prompt="excludes emissions from biofuels" sqref="K42 K6"/>
    <dataValidation allowBlank="1" showInputMessage="1" showErrorMessage="1" prompt="Electric use in units of gallons gasoline equivalent (GGE)" sqref="J24"/>
    <dataValidation allowBlank="1" showInputMessage="1" showErrorMessage="1" prompt="indirect emissions" sqref="P23:Q24 L23:N24"/>
    <dataValidation allowBlank="1" showInputMessage="1" showErrorMessage="1" prompt="Electric use in units of kwh" sqref="C22:C24"/>
    <dataValidation allowBlank="1" showInputMessage="1" showErrorMessage="1" prompt="direct emissions" sqref="O23:O24"/>
    <dataValidation allowBlank="1" showInputMessage="1" showErrorMessage="1" prompt="in kWh (0.2424 kWh per mile - from Bryan Bazard)" sqref="AB23:AB24"/>
    <dataValidation allowBlank="1" showInputMessage="1" showErrorMessage="1" prompt="CNG in units of gallons gasoline equivalent (GGE)" sqref="C51 J51 J35 C35 J18 C18"/>
    <dataValidation allowBlank="1" showInputMessage="1" showErrorMessage="1" prompt="shorepower in units of kwh" sqref="C57"/>
    <dataValidation allowBlank="1" showInputMessage="1" showErrorMessage="1" prompt="The CO2, CH4, and N2O emissions are indirect emissions and are kept separate from direct emissions._x000a__x000a_If vehicles charged at agency facilities, then indirect emissions likely already included in facility report." sqref="B57 B23:B24"/>
    <dataValidation allowBlank="1" showInputMessage="1" showErrorMessage="1" prompt="Hybrid vehicles that do NOT have a plug-in option." sqref="B10"/>
    <dataValidation allowBlank="1" showInputMessage="1" showErrorMessage="1" prompt="Trip + project vehicles" sqref="B8:D8 F8:J8"/>
    <dataValidation allowBlank="1" showInputMessage="1" showErrorMessage="1" prompt="Enter vehicle days instead of number of vehicles_x000a__x000a_Trip + project vehicles" sqref="E8"/>
    <dataValidation allowBlank="1" showInputMessage="1" showErrorMessage="1" prompt="on-road only" sqref="J6"/>
  </dataValidations>
  <hyperlinks>
    <hyperlink ref="R82" r:id="rId1"/>
    <hyperlink ref="R83" r:id="rId2"/>
    <hyperlink ref="R77" r:id="rId3"/>
  </hyperlinks>
  <pageMargins left="0.25" right="0.25" top="0.75" bottom="0.75" header="0.3" footer="0.3"/>
  <pageSetup scale="61" fitToHeight="2" orientation="landscape" r:id="rId4"/>
  <headerFooter scaleWithDoc="0">
    <oddFooter>&amp;C&amp;"Times New Roman,Regular"&amp;12&amp;A</oddFooter>
  </headerFooter>
  <rowBreaks count="2" manualBreakCount="2">
    <brk id="40" max="17" man="1"/>
    <brk id="74" max="17" man="1"/>
  </rowBreaks>
  <colBreaks count="1" manualBreakCount="1">
    <brk id="19" max="84" man="1"/>
  </colBreaks>
  <legacyDrawing r:id="rId5"/>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L65"/>
  <sheetViews>
    <sheetView zoomScaleNormal="100" workbookViewId="0">
      <selection activeCell="C11" sqref="C11"/>
    </sheetView>
  </sheetViews>
  <sheetFormatPr defaultColWidth="9.140625" defaultRowHeight="15"/>
  <cols>
    <col min="1" max="1" width="18.7109375" style="5" customWidth="1"/>
    <col min="2" max="2" width="27.42578125" style="5" customWidth="1"/>
    <col min="3" max="4" width="16.42578125" style="83" customWidth="1"/>
    <col min="5" max="5" width="18.7109375" style="131" bestFit="1" customWidth="1"/>
    <col min="6" max="6" width="12.85546875" style="104" customWidth="1"/>
    <col min="7" max="7" width="12.42578125" style="104" customWidth="1"/>
    <col min="8" max="8" width="14.7109375" style="104" customWidth="1"/>
    <col min="9" max="9" width="13" style="104" customWidth="1"/>
    <col min="10" max="10" width="12.28515625" style="104" customWidth="1"/>
    <col min="11" max="19" width="9.140625" customWidth="1"/>
    <col min="20" max="25" width="9.140625" style="5" customWidth="1"/>
    <col min="26" max="26" width="5.5703125" style="5" customWidth="1"/>
    <col min="27" max="27" width="11.28515625" style="5" hidden="1" customWidth="1"/>
    <col min="28" max="28" width="10.28515625" style="5" hidden="1" customWidth="1"/>
    <col min="29" max="29" width="9.85546875" style="5" hidden="1" customWidth="1"/>
    <col min="30" max="30" width="10.42578125" style="5" hidden="1" customWidth="1"/>
    <col min="31" max="31" width="14.42578125" style="5" hidden="1" customWidth="1"/>
    <col min="32" max="32" width="19.28515625" style="5" hidden="1" customWidth="1"/>
    <col min="33" max="33" width="19" style="5" hidden="1" customWidth="1"/>
    <col min="34" max="34" width="20.5703125" style="5" hidden="1" customWidth="1"/>
    <col min="35" max="35" width="0.140625" style="5" customWidth="1"/>
    <col min="36" max="36" width="23.140625" style="5" hidden="1" customWidth="1"/>
    <col min="37" max="37" width="0.28515625" style="5" hidden="1" customWidth="1"/>
    <col min="38" max="38" width="22.42578125" style="5" hidden="1" customWidth="1"/>
    <col min="39" max="39" width="9" style="5" customWidth="1"/>
    <col min="40" max="16384" width="9.140625" style="5"/>
  </cols>
  <sheetData>
    <row r="1" spans="1:37" ht="18.75">
      <c r="A1" s="25" t="s">
        <v>59</v>
      </c>
      <c r="B1" s="24"/>
      <c r="C1" s="82"/>
      <c r="D1" s="82"/>
      <c r="E1" s="130"/>
      <c r="F1" s="102"/>
      <c r="G1" s="102"/>
      <c r="H1" s="102"/>
      <c r="I1" s="102"/>
      <c r="J1" s="102"/>
    </row>
    <row r="2" spans="1:37" ht="15.75">
      <c r="A2" s="16" t="s">
        <v>432</v>
      </c>
      <c r="B2" s="24"/>
      <c r="C2" s="82"/>
      <c r="D2" s="82"/>
      <c r="E2" s="130"/>
      <c r="F2" s="102"/>
      <c r="G2" s="102"/>
      <c r="H2" s="102"/>
      <c r="I2" s="102"/>
      <c r="J2" s="102"/>
    </row>
    <row r="3" spans="1:37" s="7" customFormat="1" ht="16.5">
      <c r="A3" s="26" t="s">
        <v>6</v>
      </c>
      <c r="B3" s="311" t="str">
        <f>IF(Agency="","",Agency)</f>
        <v>North Seattle College</v>
      </c>
      <c r="C3" s="480" t="s">
        <v>65</v>
      </c>
      <c r="D3" s="481" t="s">
        <v>66</v>
      </c>
      <c r="E3" s="482" t="s">
        <v>67</v>
      </c>
      <c r="G3" s="103"/>
      <c r="H3" s="103"/>
      <c r="I3" s="103"/>
      <c r="J3" s="103"/>
    </row>
    <row r="4" spans="1:37" s="7" customFormat="1" ht="15.75">
      <c r="A4" s="26" t="s">
        <v>153</v>
      </c>
      <c r="B4" s="311">
        <f>IF(Year="","",Year)</f>
        <v>2016</v>
      </c>
      <c r="C4" s="483"/>
      <c r="D4" s="483"/>
      <c r="E4" s="483"/>
      <c r="F4" s="103"/>
      <c r="G4" s="103"/>
      <c r="H4" s="103"/>
      <c r="I4" s="103"/>
      <c r="J4" s="103"/>
    </row>
    <row r="5" spans="1:37" s="7" customFormat="1" ht="15.75">
      <c r="A5" s="26"/>
      <c r="B5" s="311"/>
      <c r="C5" s="483"/>
      <c r="D5" s="483"/>
      <c r="E5" s="483"/>
      <c r="F5" s="103"/>
      <c r="G5" s="103"/>
      <c r="H5" s="103"/>
      <c r="I5" s="103"/>
      <c r="J5" s="103"/>
    </row>
    <row r="6" spans="1:37" s="7" customFormat="1" ht="283.5" customHeight="1">
      <c r="A6" s="730" t="s">
        <v>460</v>
      </c>
      <c r="B6" s="730"/>
      <c r="C6" s="730"/>
      <c r="D6" s="730"/>
      <c r="E6" s="730"/>
      <c r="F6" s="273"/>
      <c r="G6" s="273"/>
      <c r="H6" s="273"/>
      <c r="I6" s="273"/>
      <c r="J6" s="273"/>
    </row>
    <row r="7" spans="1:37" ht="15.75" thickBot="1">
      <c r="F7" s="101"/>
      <c r="J7"/>
      <c r="S7" s="5"/>
    </row>
    <row r="8" spans="1:37" ht="18.75">
      <c r="A8" s="748" t="s">
        <v>436</v>
      </c>
      <c r="B8" s="749"/>
      <c r="C8" s="746" t="s">
        <v>21</v>
      </c>
      <c r="D8" s="747"/>
      <c r="E8" s="304" t="s">
        <v>152</v>
      </c>
      <c r="F8" s="297"/>
      <c r="G8" s="297"/>
      <c r="H8" s="297"/>
      <c r="I8" s="297"/>
      <c r="J8" s="298"/>
    </row>
    <row r="9" spans="1:37" ht="61.5" customHeight="1" thickBot="1">
      <c r="A9" s="750"/>
      <c r="B9" s="751"/>
      <c r="C9" s="569" t="s">
        <v>289</v>
      </c>
      <c r="D9" s="570" t="s">
        <v>447</v>
      </c>
      <c r="E9" s="571" t="s">
        <v>371</v>
      </c>
      <c r="F9" s="299" t="s">
        <v>418</v>
      </c>
      <c r="G9" s="251" t="s">
        <v>151</v>
      </c>
      <c r="H9" s="251" t="s">
        <v>150</v>
      </c>
      <c r="I9" s="251" t="s">
        <v>156</v>
      </c>
      <c r="J9" s="252" t="s">
        <v>420</v>
      </c>
      <c r="AA9" s="153" t="s">
        <v>289</v>
      </c>
      <c r="AB9" s="153" t="s">
        <v>320</v>
      </c>
      <c r="AC9" s="64" t="s">
        <v>96</v>
      </c>
      <c r="AD9" s="64" t="s">
        <v>97</v>
      </c>
      <c r="AE9" s="63" t="s">
        <v>98</v>
      </c>
      <c r="AF9" s="63" t="s">
        <v>99</v>
      </c>
      <c r="AG9" s="63" t="s">
        <v>102</v>
      </c>
      <c r="AH9" s="63" t="s">
        <v>103</v>
      </c>
      <c r="AI9" s="63" t="s">
        <v>107</v>
      </c>
      <c r="AJ9" s="63" t="s">
        <v>108</v>
      </c>
      <c r="AK9" s="63" t="s">
        <v>200</v>
      </c>
    </row>
    <row r="10" spans="1:37" ht="36.75" customHeight="1">
      <c r="A10" s="722" t="s">
        <v>60</v>
      </c>
      <c r="B10" s="484" t="s">
        <v>367</v>
      </c>
      <c r="C10" s="485">
        <v>48474</v>
      </c>
      <c r="D10" s="486"/>
      <c r="E10" s="487">
        <f>SUM(F10:I10)</f>
        <v>20.352405703408987</v>
      </c>
      <c r="F10" s="300">
        <f>(AC10*AE10)/1000</f>
        <v>19.307785346341461</v>
      </c>
      <c r="G10" s="253">
        <f>(((AC10*AG10)/1000)*21)+((AD10*AH10)/1000)*25</f>
        <v>1.9250431686219788E-2</v>
      </c>
      <c r="H10" s="253">
        <f>((('4-Travel &amp; CTR'!AC10*AI10)/1000)*310)+(((AD10*AJ10)/1000)*298)</f>
        <v>5.6207749028495804E-2</v>
      </c>
      <c r="I10" s="253">
        <f>(SUM(G10:H10,F10))*0.05</f>
        <v>0.96916217635280888</v>
      </c>
      <c r="J10" s="254">
        <f>('4-Travel &amp; CTR'!AD10*'4-Travel &amp; CTR'!AF10)/1000</f>
        <v>0.95174560975609757</v>
      </c>
      <c r="AA10" s="5">
        <f>C10</f>
        <v>48474</v>
      </c>
      <c r="AB10" s="5">
        <f>AA10/20.5</f>
        <v>2364.5853658536585</v>
      </c>
      <c r="AC10" s="58">
        <f>AB10*0.93</f>
        <v>2199.0643902439024</v>
      </c>
      <c r="AD10" s="58">
        <f>AB10*0.07</f>
        <v>165.52097560975611</v>
      </c>
      <c r="AE10" s="27">
        <f>'7-Emissions Factors'!$C$27</f>
        <v>8.7799999999999994</v>
      </c>
      <c r="AF10" s="27">
        <f>'7-Emissions Factors'!$C$28</f>
        <v>5.75</v>
      </c>
      <c r="AG10" s="69">
        <f>'7-Emissions Factors'!$N$27</f>
        <v>3.9297116323681706E-4</v>
      </c>
      <c r="AH10" s="69">
        <f>'7-Emissions Factors'!$N$28</f>
        <v>2.6652452025586359E-4</v>
      </c>
      <c r="AI10" s="69">
        <f>'7-Emissions Factors'!$N$43</f>
        <v>7.859423264736341E-5</v>
      </c>
      <c r="AJ10" s="69">
        <f>'7-Emissions Factors'!$N$44</f>
        <v>5.3304904051172719E-5</v>
      </c>
      <c r="AK10" s="71" t="s">
        <v>201</v>
      </c>
    </row>
    <row r="11" spans="1:37" ht="18.75" customHeight="1">
      <c r="A11" s="743"/>
      <c r="B11" s="488" t="s">
        <v>155</v>
      </c>
      <c r="C11" s="489"/>
      <c r="D11" s="490"/>
      <c r="E11" s="491"/>
      <c r="F11" s="301"/>
      <c r="G11" s="105"/>
      <c r="H11" s="105"/>
      <c r="I11" s="105"/>
      <c r="J11" s="255"/>
      <c r="AC11" s="133" t="s">
        <v>289</v>
      </c>
      <c r="AD11" s="133"/>
      <c r="AE11" s="133" t="s">
        <v>290</v>
      </c>
      <c r="AF11" s="133" t="s">
        <v>291</v>
      </c>
      <c r="AG11" s="75" t="s">
        <v>292</v>
      </c>
    </row>
    <row r="12" spans="1:37" ht="33" customHeight="1">
      <c r="A12" s="743"/>
      <c r="B12" s="492" t="s">
        <v>368</v>
      </c>
      <c r="C12" s="493">
        <v>3780</v>
      </c>
      <c r="D12" s="494" t="str">
        <f>IF(E40=0,"",E40)</f>
        <v/>
      </c>
      <c r="E12" s="491">
        <f>SUM(F12:I12)</f>
        <v>1.0576175400000001</v>
      </c>
      <c r="F12" s="301">
        <f>(AC12*AE12)/1000</f>
        <v>1.0470600000000001</v>
      </c>
      <c r="G12" s="105">
        <f>((AC12*AF12)/1000000)*25</f>
        <v>9.8280000000000004E-4</v>
      </c>
      <c r="H12" s="105">
        <f>((AC12*AG12)/1000000)*298</f>
        <v>9.5747400000000017E-3</v>
      </c>
      <c r="I12" s="105">
        <v>0</v>
      </c>
      <c r="J12" s="255">
        <v>0</v>
      </c>
      <c r="AC12" s="161">
        <f>SUM(C12:D12)</f>
        <v>3780</v>
      </c>
      <c r="AE12" s="5">
        <v>0.27700000000000002</v>
      </c>
      <c r="AF12" s="5">
        <v>1.04E-2</v>
      </c>
      <c r="AG12" s="5">
        <v>8.5000000000000006E-3</v>
      </c>
    </row>
    <row r="13" spans="1:37" ht="31.5" customHeight="1">
      <c r="A13" s="743"/>
      <c r="B13" s="492" t="s">
        <v>369</v>
      </c>
      <c r="C13" s="493">
        <v>6679</v>
      </c>
      <c r="D13" s="494" t="str">
        <f>IF(E41=0,"",E41)</f>
        <v/>
      </c>
      <c r="E13" s="491">
        <f>SUM(F13:I13)</f>
        <v>1.548145447</v>
      </c>
      <c r="F13" s="301">
        <f>(AC13*AE13)/1000</f>
        <v>1.5294909999999999</v>
      </c>
      <c r="G13" s="105">
        <f>((AC13*AF13)/1000000)*25</f>
        <v>1.7365399999999997E-3</v>
      </c>
      <c r="H13" s="105">
        <f>((AC13*AG13)/1000000)*298</f>
        <v>1.6917906999999999E-2</v>
      </c>
      <c r="I13" s="105">
        <v>0</v>
      </c>
      <c r="J13" s="255">
        <v>0</v>
      </c>
      <c r="AC13" s="161">
        <f t="shared" ref="AC13:AC14" si="0">SUM(C13:D13)</f>
        <v>6679</v>
      </c>
      <c r="AE13" s="5">
        <v>0.22900000000000001</v>
      </c>
      <c r="AF13" s="5">
        <v>1.04E-2</v>
      </c>
      <c r="AG13" s="5">
        <v>8.5000000000000006E-3</v>
      </c>
    </row>
    <row r="14" spans="1:37" ht="45.75" customHeight="1" thickBot="1">
      <c r="A14" s="744"/>
      <c r="B14" s="495" t="s">
        <v>370</v>
      </c>
      <c r="C14" s="496">
        <v>737299</v>
      </c>
      <c r="D14" s="497" t="str">
        <f>IF(E42=0,"",E42)</f>
        <v/>
      </c>
      <c r="E14" s="498">
        <f>SUM(F14:I14)</f>
        <v>138.45959110699999</v>
      </c>
      <c r="F14" s="302">
        <f>(AC14*AE14)/1000</f>
        <v>136.40031500000001</v>
      </c>
      <c r="G14" s="256">
        <f>((AC14*AF14)/1000000)*25</f>
        <v>0.19169774000000001</v>
      </c>
      <c r="H14" s="256">
        <f>((AC14*AG14)/1000000)*298</f>
        <v>1.8675783669999999</v>
      </c>
      <c r="I14" s="256">
        <v>0</v>
      </c>
      <c r="J14" s="257">
        <v>0</v>
      </c>
      <c r="AC14" s="161">
        <f t="shared" si="0"/>
        <v>737299</v>
      </c>
      <c r="AE14" s="5">
        <v>0.185</v>
      </c>
      <c r="AF14" s="5">
        <v>1.04E-2</v>
      </c>
      <c r="AG14" s="5">
        <v>8.5000000000000006E-3</v>
      </c>
    </row>
    <row r="15" spans="1:37" ht="29.25" customHeight="1" thickBot="1">
      <c r="A15" s="18"/>
      <c r="B15" s="499"/>
      <c r="C15" s="500"/>
      <c r="D15" s="501" t="s">
        <v>149</v>
      </c>
      <c r="E15" s="502">
        <f>SUM(F15:I15)</f>
        <v>161.41775979740899</v>
      </c>
      <c r="F15" s="303">
        <f t="shared" ref="F15:H15" si="1">SUM(F10:F14)</f>
        <v>158.28465134634146</v>
      </c>
      <c r="G15" s="258">
        <f t="shared" si="1"/>
        <v>0.21366751168621978</v>
      </c>
      <c r="H15" s="258">
        <f t="shared" si="1"/>
        <v>1.9502787630284957</v>
      </c>
      <c r="I15" s="258">
        <f>SUM(I10:I14)</f>
        <v>0.96916217635280888</v>
      </c>
      <c r="J15" s="259">
        <f>SUM(J10:J14)</f>
        <v>0.95174560975609757</v>
      </c>
    </row>
    <row r="16" spans="1:37" ht="41.25" customHeight="1" thickBot="1">
      <c r="A16" s="752" t="s">
        <v>437</v>
      </c>
      <c r="B16" s="753"/>
      <c r="C16" s="754"/>
      <c r="D16" s="131"/>
      <c r="E16" s="104"/>
      <c r="J16"/>
      <c r="S16" s="5"/>
    </row>
    <row r="17" spans="1:19" ht="82.5" customHeight="1">
      <c r="A17" s="722" t="s">
        <v>61</v>
      </c>
      <c r="B17" s="484" t="s">
        <v>202</v>
      </c>
      <c r="C17" s="503">
        <v>840</v>
      </c>
      <c r="D17" s="745"/>
      <c r="E17" s="5"/>
      <c r="F17" s="5"/>
      <c r="G17" s="5"/>
      <c r="H17" s="5"/>
      <c r="I17" s="5"/>
      <c r="J17"/>
      <c r="S17" s="5"/>
    </row>
    <row r="18" spans="1:19" ht="16.5" thickBot="1">
      <c r="A18" s="744"/>
      <c r="B18" s="504" t="s">
        <v>358</v>
      </c>
      <c r="C18" s="505">
        <v>0.68500000000000005</v>
      </c>
      <c r="D18" s="745"/>
      <c r="E18" s="104"/>
      <c r="J18"/>
      <c r="S18" s="5"/>
    </row>
    <row r="19" spans="1:19" ht="15.75" thickBot="1">
      <c r="D19" s="131"/>
      <c r="E19" s="104"/>
      <c r="J19"/>
      <c r="S19" s="5"/>
    </row>
    <row r="20" spans="1:19" ht="37.5" customHeight="1" thickBot="1">
      <c r="A20" s="734" t="s">
        <v>438</v>
      </c>
      <c r="B20" s="735"/>
      <c r="C20" s="735"/>
      <c r="D20" s="736"/>
      <c r="E20" s="104"/>
      <c r="J20"/>
      <c r="S20" s="5"/>
    </row>
    <row r="21" spans="1:19" ht="15.75">
      <c r="A21" s="741" t="s">
        <v>273</v>
      </c>
      <c r="B21" s="742"/>
      <c r="C21" s="506">
        <v>2490</v>
      </c>
      <c r="D21" s="507" t="s">
        <v>274</v>
      </c>
      <c r="E21" s="104"/>
      <c r="J21"/>
      <c r="S21" s="5"/>
    </row>
    <row r="22" spans="1:19" ht="15.75">
      <c r="A22" s="739" t="s">
        <v>276</v>
      </c>
      <c r="B22" s="740"/>
      <c r="C22" s="508">
        <v>1710</v>
      </c>
      <c r="D22" s="509" t="s">
        <v>274</v>
      </c>
      <c r="E22" s="104"/>
      <c r="J22"/>
      <c r="S22" s="5"/>
    </row>
    <row r="23" spans="1:19" ht="15.75">
      <c r="A23" s="739" t="s">
        <v>277</v>
      </c>
      <c r="B23" s="740"/>
      <c r="C23" s="508">
        <v>866</v>
      </c>
      <c r="D23" s="509" t="s">
        <v>274</v>
      </c>
      <c r="E23" s="104"/>
      <c r="J23"/>
      <c r="S23" s="5"/>
    </row>
    <row r="24" spans="1:19" ht="15.75">
      <c r="A24" s="739" t="s">
        <v>278</v>
      </c>
      <c r="B24" s="740"/>
      <c r="C24" s="508">
        <v>954</v>
      </c>
      <c r="D24" s="509" t="s">
        <v>274</v>
      </c>
      <c r="E24" s="104"/>
      <c r="J24"/>
      <c r="S24" s="5"/>
    </row>
    <row r="25" spans="1:19" ht="15.75">
      <c r="A25" s="739" t="s">
        <v>279</v>
      </c>
      <c r="B25" s="740"/>
      <c r="C25" s="508">
        <v>1390</v>
      </c>
      <c r="D25" s="509" t="s">
        <v>274</v>
      </c>
      <c r="E25" s="104"/>
      <c r="J25"/>
      <c r="S25" s="5"/>
    </row>
    <row r="26" spans="1:19" ht="15.75">
      <c r="A26" s="739" t="s">
        <v>280</v>
      </c>
      <c r="B26" s="740"/>
      <c r="C26" s="508">
        <v>2410</v>
      </c>
      <c r="D26" s="509" t="s">
        <v>274</v>
      </c>
      <c r="E26" s="104"/>
      <c r="J26"/>
      <c r="S26" s="5"/>
    </row>
    <row r="27" spans="1:19" ht="15.75">
      <c r="A27" s="739" t="s">
        <v>281</v>
      </c>
      <c r="B27" s="740"/>
      <c r="C27" s="508">
        <v>1110</v>
      </c>
      <c r="D27" s="509" t="s">
        <v>274</v>
      </c>
      <c r="E27" s="104"/>
      <c r="J27"/>
      <c r="S27" s="5"/>
    </row>
    <row r="28" spans="1:19" ht="15.75">
      <c r="A28" s="739" t="s">
        <v>282</v>
      </c>
      <c r="B28" s="740"/>
      <c r="C28" s="508">
        <v>129</v>
      </c>
      <c r="D28" s="509" t="s">
        <v>274</v>
      </c>
      <c r="E28" s="104"/>
      <c r="J28"/>
      <c r="S28" s="5"/>
    </row>
    <row r="29" spans="1:19" ht="15.75">
      <c r="A29" s="739" t="s">
        <v>283</v>
      </c>
      <c r="B29" s="740"/>
      <c r="C29" s="508">
        <v>687</v>
      </c>
      <c r="D29" s="509" t="s">
        <v>274</v>
      </c>
      <c r="E29" s="104"/>
      <c r="J29"/>
      <c r="S29" s="5"/>
    </row>
    <row r="30" spans="1:19" ht="15.75">
      <c r="A30" s="739" t="s">
        <v>284</v>
      </c>
      <c r="B30" s="740"/>
      <c r="C30" s="508">
        <v>1050</v>
      </c>
      <c r="D30" s="509" t="s">
        <v>274</v>
      </c>
      <c r="E30" s="104"/>
      <c r="J30"/>
      <c r="S30" s="5"/>
    </row>
    <row r="31" spans="1:19" ht="15.75">
      <c r="A31" s="739" t="s">
        <v>285</v>
      </c>
      <c r="B31" s="740"/>
      <c r="C31" s="508">
        <v>679</v>
      </c>
      <c r="D31" s="509" t="s">
        <v>274</v>
      </c>
      <c r="E31" s="104"/>
      <c r="J31"/>
      <c r="S31" s="5"/>
    </row>
    <row r="32" spans="1:19" ht="15.75">
      <c r="A32" s="739" t="s">
        <v>286</v>
      </c>
      <c r="B32" s="740"/>
      <c r="C32" s="508">
        <v>222</v>
      </c>
      <c r="D32" s="509" t="s">
        <v>274</v>
      </c>
      <c r="E32" s="104"/>
      <c r="J32"/>
      <c r="S32" s="5"/>
    </row>
    <row r="33" spans="1:20" ht="15.75">
      <c r="A33" s="739" t="s">
        <v>287</v>
      </c>
      <c r="B33" s="740"/>
      <c r="C33" s="508">
        <v>127</v>
      </c>
      <c r="D33" s="509" t="s">
        <v>274</v>
      </c>
      <c r="E33" s="104"/>
      <c r="J33"/>
      <c r="S33" s="5"/>
    </row>
    <row r="34" spans="1:20" ht="16.5" thickBot="1">
      <c r="A34" s="737" t="s">
        <v>288</v>
      </c>
      <c r="B34" s="738"/>
      <c r="C34" s="510">
        <v>2300</v>
      </c>
      <c r="D34" s="511" t="s">
        <v>274</v>
      </c>
      <c r="E34" s="104"/>
      <c r="J34"/>
      <c r="S34" s="5"/>
    </row>
    <row r="35" spans="1:20">
      <c r="D35" s="131"/>
      <c r="E35" s="104"/>
      <c r="J35"/>
      <c r="S35" s="5"/>
    </row>
    <row r="36" spans="1:20">
      <c r="A36" s="138" t="s">
        <v>299</v>
      </c>
      <c r="C36" s="129" t="s">
        <v>275</v>
      </c>
      <c r="D36" s="129"/>
      <c r="E36" s="83"/>
      <c r="F36" s="131"/>
      <c r="K36" s="5"/>
      <c r="T36"/>
    </row>
    <row r="37" spans="1:20" ht="15.75" thickBot="1"/>
    <row r="38" spans="1:20" ht="19.5" thickBot="1">
      <c r="A38" s="731" t="s">
        <v>439</v>
      </c>
      <c r="B38" s="732"/>
      <c r="C38" s="732"/>
      <c r="D38" s="732"/>
      <c r="E38" s="733"/>
      <c r="J38"/>
      <c r="S38" s="5"/>
    </row>
    <row r="39" spans="1:20" ht="71.25" customHeight="1">
      <c r="A39" s="577" t="s">
        <v>323</v>
      </c>
      <c r="B39" s="578" t="s">
        <v>331</v>
      </c>
      <c r="C39" s="578" t="s">
        <v>321</v>
      </c>
      <c r="D39" s="578" t="s">
        <v>328</v>
      </c>
      <c r="E39" s="579" t="s">
        <v>322</v>
      </c>
      <c r="F39" s="156"/>
      <c r="G39" s="154"/>
      <c r="J39" s="5"/>
    </row>
    <row r="40" spans="1:20" ht="41.25" customHeight="1">
      <c r="A40" s="580" t="s">
        <v>324</v>
      </c>
      <c r="B40" s="581" t="s">
        <v>327</v>
      </c>
      <c r="C40" s="586"/>
      <c r="D40" s="492">
        <v>150</v>
      </c>
      <c r="E40" s="584">
        <f>C40*D40</f>
        <v>0</v>
      </c>
      <c r="F40" s="155"/>
      <c r="G40" s="154"/>
      <c r="J40" s="5"/>
    </row>
    <row r="41" spans="1:20" ht="48.75" customHeight="1">
      <c r="A41" s="580" t="s">
        <v>325</v>
      </c>
      <c r="B41" s="581" t="s">
        <v>329</v>
      </c>
      <c r="C41" s="586"/>
      <c r="D41" s="492">
        <v>500</v>
      </c>
      <c r="E41" s="584">
        <f>C41*D41</f>
        <v>0</v>
      </c>
      <c r="F41" s="155"/>
      <c r="G41" s="154"/>
      <c r="J41" s="5"/>
    </row>
    <row r="42" spans="1:20" ht="48" customHeight="1" thickBot="1">
      <c r="A42" s="582" t="s">
        <v>326</v>
      </c>
      <c r="B42" s="583" t="s">
        <v>330</v>
      </c>
      <c r="C42" s="587"/>
      <c r="D42" s="495">
        <v>2000</v>
      </c>
      <c r="E42" s="585">
        <f>C42*D42</f>
        <v>0</v>
      </c>
      <c r="F42" s="155"/>
      <c r="G42" s="154"/>
      <c r="J42" s="5"/>
    </row>
    <row r="43" spans="1:20">
      <c r="A43" s="10"/>
      <c r="B43" s="10"/>
      <c r="C43" s="106"/>
      <c r="D43" s="106"/>
      <c r="E43" s="132"/>
      <c r="F43" s="154"/>
      <c r="G43" s="154"/>
    </row>
    <row r="44" spans="1:20">
      <c r="A44" s="10"/>
      <c r="B44" s="10"/>
      <c r="C44" s="106"/>
      <c r="D44" s="106"/>
      <c r="E44" s="132"/>
      <c r="F44" s="154"/>
      <c r="G44" s="154"/>
    </row>
    <row r="45" spans="1:20">
      <c r="A45" s="10"/>
      <c r="B45" s="10"/>
      <c r="C45" s="106"/>
      <c r="D45" s="106"/>
      <c r="E45" s="132"/>
      <c r="F45" s="154"/>
      <c r="G45" s="154"/>
    </row>
    <row r="46" spans="1:20">
      <c r="A46" s="10"/>
      <c r="B46" s="10"/>
      <c r="C46" s="106"/>
      <c r="D46" s="106"/>
      <c r="E46" s="132"/>
      <c r="F46" s="154"/>
      <c r="G46" s="154"/>
    </row>
    <row r="47" spans="1:20">
      <c r="A47" s="10"/>
      <c r="B47" s="10"/>
      <c r="C47" s="106"/>
      <c r="D47" s="106"/>
      <c r="E47" s="132"/>
      <c r="F47" s="154"/>
      <c r="G47" s="154"/>
    </row>
    <row r="48" spans="1:20">
      <c r="A48" s="10"/>
      <c r="B48" s="10"/>
      <c r="C48" s="106"/>
      <c r="D48" s="106"/>
      <c r="E48" s="132"/>
      <c r="F48" s="154"/>
      <c r="G48" s="154"/>
    </row>
    <row r="49" spans="1:7">
      <c r="A49" s="10"/>
      <c r="B49" s="10"/>
      <c r="C49" s="106"/>
      <c r="D49" s="106"/>
      <c r="E49" s="132"/>
      <c r="F49" s="154"/>
      <c r="G49" s="154"/>
    </row>
    <row r="50" spans="1:7">
      <c r="A50" s="10"/>
      <c r="B50" s="10"/>
      <c r="C50" s="106"/>
      <c r="D50" s="106"/>
      <c r="E50" s="132"/>
      <c r="F50" s="154"/>
      <c r="G50" s="154"/>
    </row>
    <row r="51" spans="1:7">
      <c r="A51" s="10"/>
      <c r="B51" s="10"/>
      <c r="C51" s="106"/>
      <c r="D51" s="106"/>
      <c r="E51" s="132"/>
      <c r="F51" s="154"/>
      <c r="G51" s="154"/>
    </row>
    <row r="52" spans="1:7">
      <c r="A52" s="10"/>
      <c r="B52" s="10"/>
      <c r="C52" s="106"/>
      <c r="D52" s="106"/>
      <c r="E52" s="132"/>
      <c r="F52" s="154"/>
      <c r="G52" s="154"/>
    </row>
    <row r="53" spans="1:7">
      <c r="A53" s="10"/>
      <c r="B53" s="10"/>
      <c r="C53" s="106"/>
      <c r="D53" s="106"/>
      <c r="E53" s="132"/>
      <c r="F53" s="154"/>
      <c r="G53" s="154"/>
    </row>
    <row r="54" spans="1:7">
      <c r="A54" s="10"/>
      <c r="B54" s="10"/>
      <c r="C54" s="106"/>
      <c r="D54" s="106"/>
      <c r="E54" s="132"/>
      <c r="F54" s="154"/>
      <c r="G54" s="154"/>
    </row>
    <row r="55" spans="1:7">
      <c r="A55" s="10"/>
      <c r="B55" s="10"/>
      <c r="C55" s="106"/>
      <c r="D55" s="106"/>
      <c r="E55" s="132"/>
      <c r="F55" s="154"/>
      <c r="G55" s="154"/>
    </row>
    <row r="56" spans="1:7">
      <c r="A56" s="10"/>
      <c r="B56" s="10"/>
      <c r="C56" s="106"/>
      <c r="D56" s="106"/>
      <c r="E56" s="132"/>
      <c r="F56" s="154"/>
      <c r="G56" s="154"/>
    </row>
    <row r="57" spans="1:7">
      <c r="A57" s="10"/>
      <c r="B57" s="10"/>
      <c r="C57" s="106"/>
      <c r="D57" s="106"/>
      <c r="E57" s="132"/>
      <c r="F57" s="154"/>
      <c r="G57" s="154"/>
    </row>
    <row r="58" spans="1:7">
      <c r="A58" s="10"/>
      <c r="B58" s="10"/>
      <c r="C58" s="106"/>
      <c r="D58" s="106"/>
      <c r="E58" s="132"/>
      <c r="F58" s="154"/>
      <c r="G58" s="154"/>
    </row>
    <row r="59" spans="1:7">
      <c r="A59" s="10"/>
      <c r="B59" s="10"/>
      <c r="C59" s="106"/>
      <c r="D59" s="106"/>
      <c r="E59" s="132"/>
      <c r="F59" s="154"/>
      <c r="G59" s="154"/>
    </row>
    <row r="60" spans="1:7">
      <c r="A60" s="10"/>
      <c r="B60" s="10"/>
      <c r="C60" s="106"/>
      <c r="D60" s="106"/>
      <c r="E60" s="132"/>
      <c r="F60" s="154"/>
      <c r="G60" s="154"/>
    </row>
    <row r="61" spans="1:7">
      <c r="A61" s="10"/>
      <c r="B61" s="10"/>
      <c r="C61" s="106"/>
      <c r="D61" s="106"/>
      <c r="E61" s="132"/>
      <c r="F61" s="154"/>
      <c r="G61" s="154"/>
    </row>
    <row r="62" spans="1:7">
      <c r="A62" s="10"/>
      <c r="B62" s="10"/>
      <c r="C62" s="106"/>
      <c r="D62" s="106"/>
      <c r="E62" s="132"/>
      <c r="F62" s="154"/>
      <c r="G62" s="154"/>
    </row>
    <row r="63" spans="1:7">
      <c r="A63" s="10"/>
      <c r="B63" s="10"/>
      <c r="C63" s="106"/>
      <c r="D63" s="106"/>
      <c r="E63" s="132"/>
      <c r="F63" s="154"/>
      <c r="G63" s="154"/>
    </row>
    <row r="64" spans="1:7">
      <c r="A64" s="10"/>
      <c r="B64" s="10"/>
      <c r="C64" s="106"/>
      <c r="D64" s="106"/>
      <c r="E64" s="132"/>
      <c r="F64" s="154"/>
      <c r="G64" s="154"/>
    </row>
    <row r="65" spans="1:7">
      <c r="A65" s="10"/>
      <c r="B65" s="10"/>
      <c r="C65" s="106"/>
      <c r="D65" s="106"/>
      <c r="E65" s="132"/>
      <c r="F65" s="154"/>
      <c r="G65" s="154"/>
    </row>
  </sheetData>
  <sheetProtection formatColumns="0" formatRows="0"/>
  <mergeCells count="23">
    <mergeCell ref="A22:B22"/>
    <mergeCell ref="A10:A14"/>
    <mergeCell ref="A17:A18"/>
    <mergeCell ref="D17:D18"/>
    <mergeCell ref="C8:D8"/>
    <mergeCell ref="A8:B9"/>
    <mergeCell ref="A16:C16"/>
    <mergeCell ref="A6:E6"/>
    <mergeCell ref="A38:E38"/>
    <mergeCell ref="A20:D20"/>
    <mergeCell ref="A34:B34"/>
    <mergeCell ref="A33:B33"/>
    <mergeCell ref="A32:B32"/>
    <mergeCell ref="A31:B31"/>
    <mergeCell ref="A30:B30"/>
    <mergeCell ref="A29:B29"/>
    <mergeCell ref="A28:B28"/>
    <mergeCell ref="A27:B27"/>
    <mergeCell ref="A21:B21"/>
    <mergeCell ref="A26:B26"/>
    <mergeCell ref="A25:B25"/>
    <mergeCell ref="A24:B24"/>
    <mergeCell ref="A23:B23"/>
  </mergeCells>
  <hyperlinks>
    <hyperlink ref="C36" r:id="rId1"/>
  </hyperlinks>
  <pageMargins left="0.25" right="0.25" top="0.75" bottom="0.75" header="0.3" footer="0.3"/>
  <pageSetup fitToHeight="2" orientation="portrait" r:id="rId2"/>
  <headerFooter scaleWithDoc="0">
    <oddFooter>&amp;C&amp;"Times New Roman,Regular"&amp;12&amp;A</oddFooter>
  </headerFooter>
  <rowBreaks count="1" manualBreakCount="1">
    <brk id="15" max="16383" man="1"/>
  </rowBreaks>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D51"/>
  <sheetViews>
    <sheetView topLeftCell="A4" zoomScaleNormal="100" workbookViewId="0">
      <selection activeCell="F9" sqref="F9"/>
    </sheetView>
  </sheetViews>
  <sheetFormatPr defaultRowHeight="15"/>
  <cols>
    <col min="1" max="1" width="18.42578125" customWidth="1"/>
    <col min="2" max="2" width="13" customWidth="1"/>
    <col min="3" max="3" width="13.5703125" customWidth="1"/>
    <col min="4" max="4" width="19.28515625" customWidth="1"/>
    <col min="5" max="5" width="11" customWidth="1"/>
    <col min="6" max="6" width="13.140625" bestFit="1" customWidth="1"/>
    <col min="7" max="7" width="10.5703125" hidden="1" customWidth="1"/>
    <col min="8" max="11" width="9.42578125" hidden="1" customWidth="1"/>
    <col min="12" max="26" width="9.140625" customWidth="1"/>
    <col min="27" max="27" width="25.5703125" customWidth="1"/>
  </cols>
  <sheetData>
    <row r="1" spans="1:16" ht="18.75">
      <c r="A1" s="25" t="s">
        <v>59</v>
      </c>
      <c r="B1" s="24"/>
      <c r="C1" s="24"/>
      <c r="D1" s="24"/>
      <c r="E1" s="24"/>
      <c r="F1" s="52"/>
      <c r="G1" s="52"/>
      <c r="H1" s="52"/>
      <c r="I1" s="52"/>
      <c r="J1" s="96"/>
      <c r="K1" s="96"/>
      <c r="L1" s="15"/>
      <c r="M1" s="15"/>
      <c r="N1" s="15"/>
      <c r="O1" s="15"/>
      <c r="P1" s="15"/>
    </row>
    <row r="2" spans="1:16" ht="15.75">
      <c r="A2" s="16" t="s">
        <v>157</v>
      </c>
      <c r="B2" s="24"/>
      <c r="C2" s="24"/>
      <c r="D2" s="24"/>
      <c r="E2" s="24"/>
      <c r="F2" s="52"/>
      <c r="G2" s="52"/>
      <c r="H2" s="52"/>
      <c r="I2" s="52"/>
      <c r="J2" s="96"/>
      <c r="K2" s="96"/>
      <c r="L2" s="15"/>
      <c r="M2" s="15"/>
      <c r="N2" s="15"/>
      <c r="O2" s="15"/>
      <c r="P2" s="15"/>
    </row>
    <row r="3" spans="1:16" ht="15.75">
      <c r="A3" s="26" t="s">
        <v>6</v>
      </c>
      <c r="B3" s="311" t="str">
        <f>IF(Agency="","",Agency)</f>
        <v>North Seattle College</v>
      </c>
      <c r="C3" s="188"/>
      <c r="D3" s="188"/>
      <c r="E3" s="188"/>
      <c r="F3" s="188"/>
      <c r="G3" s="97"/>
      <c r="H3" s="97"/>
      <c r="I3" s="97"/>
      <c r="J3" s="98"/>
      <c r="K3" s="98"/>
    </row>
    <row r="4" spans="1:16" ht="15.75">
      <c r="A4" s="28" t="s">
        <v>153</v>
      </c>
      <c r="B4" s="311">
        <f>IF(Year="","",Year)</f>
        <v>2016</v>
      </c>
      <c r="C4" s="189"/>
      <c r="D4" s="189"/>
      <c r="E4" s="164"/>
      <c r="F4" s="99"/>
      <c r="G4" s="99"/>
      <c r="H4" s="99"/>
      <c r="I4" s="99"/>
      <c r="J4" s="99"/>
      <c r="K4" s="99"/>
    </row>
    <row r="5" spans="1:16" ht="15.75" thickBot="1"/>
    <row r="6" spans="1:16" ht="48" thickBot="1">
      <c r="A6" s="692" t="s">
        <v>440</v>
      </c>
      <c r="B6" s="759"/>
      <c r="C6" s="759"/>
      <c r="D6" s="759"/>
      <c r="E6" s="536" t="s">
        <v>360</v>
      </c>
      <c r="F6" s="537" t="s">
        <v>414</v>
      </c>
      <c r="G6" s="547" t="s">
        <v>418</v>
      </c>
      <c r="H6" s="548" t="s">
        <v>151</v>
      </c>
      <c r="I6" s="548" t="s">
        <v>150</v>
      </c>
      <c r="J6" s="548" t="s">
        <v>156</v>
      </c>
      <c r="K6" s="549" t="s">
        <v>412</v>
      </c>
    </row>
    <row r="7" spans="1:16" ht="18.75">
      <c r="A7" s="544" t="s">
        <v>332</v>
      </c>
      <c r="B7" s="538"/>
      <c r="C7" s="539"/>
      <c r="D7" s="539"/>
      <c r="E7" s="539"/>
      <c r="F7" s="540"/>
      <c r="G7" s="545"/>
      <c r="H7" s="545"/>
      <c r="I7" s="545"/>
      <c r="J7" s="545"/>
      <c r="K7" s="546"/>
    </row>
    <row r="8" spans="1:16" ht="15.75">
      <c r="A8" s="756" t="s">
        <v>9</v>
      </c>
      <c r="B8" s="770"/>
      <c r="C8" s="770"/>
      <c r="D8" s="770"/>
      <c r="E8" s="512">
        <f>IF(F8=0,0,F8/F27)</f>
        <v>0.1435843730327433</v>
      </c>
      <c r="F8" s="513">
        <f>'2-Building Energy Use'!G19</f>
        <v>190.98483586</v>
      </c>
      <c r="G8" s="100">
        <f>'2-Building Energy Use'!H19</f>
        <v>189.944188</v>
      </c>
      <c r="H8" s="100">
        <f>'2-Building Energy Use'!I19</f>
        <v>8.0545499999999992E-2</v>
      </c>
      <c r="I8" s="100">
        <f>'2-Building Energy Use'!J19</f>
        <v>0.96010235999999993</v>
      </c>
      <c r="J8" s="100" t="s">
        <v>386</v>
      </c>
      <c r="K8" s="100">
        <f>'2-Building Energy Use'!K19</f>
        <v>0</v>
      </c>
    </row>
    <row r="9" spans="1:16" ht="15.75">
      <c r="A9" s="773" t="s">
        <v>47</v>
      </c>
      <c r="B9" s="773"/>
      <c r="C9" s="773"/>
      <c r="D9" s="774"/>
      <c r="E9" s="514">
        <f>IF(F9=0,0,F9/F27)</f>
        <v>9.2386686703501184E-2</v>
      </c>
      <c r="F9" s="515">
        <f>'2-Building Energy Use'!G21</f>
        <v>122.8856304</v>
      </c>
      <c r="G9" s="170">
        <f>'2-Building Energy Use'!H21</f>
        <v>1.272E-5</v>
      </c>
      <c r="H9" s="170">
        <f>'2-Building Energy Use'!I21</f>
        <v>0</v>
      </c>
      <c r="I9" s="170">
        <f>'2-Building Energy Use'!J21</f>
        <v>0</v>
      </c>
      <c r="J9" s="170" t="s">
        <v>386</v>
      </c>
      <c r="K9" s="170">
        <f>'2-Building Energy Use'!K21</f>
        <v>0</v>
      </c>
    </row>
    <row r="10" spans="1:16" ht="16.5" thickBot="1">
      <c r="A10" s="775" t="s">
        <v>18</v>
      </c>
      <c r="B10" s="775"/>
      <c r="C10" s="775"/>
      <c r="D10" s="776"/>
      <c r="E10" s="516">
        <f>IF(F10=0,0,F10/F27)</f>
        <v>0</v>
      </c>
      <c r="F10" s="517">
        <f>'2-Building Energy Use'!G22</f>
        <v>0</v>
      </c>
      <c r="G10" s="167">
        <f>'2-Building Energy Use'!H22</f>
        <v>0</v>
      </c>
      <c r="H10" s="167">
        <f>'2-Building Energy Use'!I22</f>
        <v>0</v>
      </c>
      <c r="I10" s="167">
        <f>'2-Building Energy Use'!J22</f>
        <v>0</v>
      </c>
      <c r="J10" s="167" t="s">
        <v>386</v>
      </c>
      <c r="K10" s="167">
        <f>'2-Building Energy Use'!K22</f>
        <v>0</v>
      </c>
    </row>
    <row r="11" spans="1:16" ht="16.5" thickTop="1">
      <c r="A11" s="518" t="s">
        <v>415</v>
      </c>
      <c r="B11" s="519"/>
      <c r="C11" s="519"/>
      <c r="D11" s="519"/>
      <c r="E11" s="520">
        <f>IF(F11=0,0,F11/F27)</f>
        <v>0.23597105973624449</v>
      </c>
      <c r="F11" s="521">
        <f t="shared" ref="F11:I11" si="0">SUM(F8:F10)</f>
        <v>313.87046626</v>
      </c>
      <c r="G11" s="166">
        <f t="shared" si="0"/>
        <v>189.94420072</v>
      </c>
      <c r="H11" s="166">
        <f t="shared" si="0"/>
        <v>8.0545499999999992E-2</v>
      </c>
      <c r="I11" s="166">
        <f t="shared" si="0"/>
        <v>0.96010235999999993</v>
      </c>
      <c r="J11" s="166" t="s">
        <v>386</v>
      </c>
      <c r="K11" s="166">
        <f>SUM(K8:K10)</f>
        <v>0</v>
      </c>
    </row>
    <row r="12" spans="1:16">
      <c r="F12" s="169"/>
      <c r="G12" s="169"/>
      <c r="H12" s="169"/>
      <c r="I12" s="169"/>
      <c r="J12" s="169"/>
      <c r="K12" s="169"/>
    </row>
    <row r="13" spans="1:16" ht="18.75">
      <c r="A13" s="541" t="s">
        <v>333</v>
      </c>
      <c r="B13" s="542"/>
      <c r="C13" s="542"/>
      <c r="D13" s="542"/>
      <c r="E13" s="542"/>
      <c r="F13" s="543"/>
      <c r="G13" s="542"/>
      <c r="H13" s="542"/>
      <c r="I13" s="542"/>
      <c r="J13" s="542"/>
      <c r="K13" s="542"/>
    </row>
    <row r="14" spans="1:16" ht="15.75">
      <c r="A14" s="771" t="s">
        <v>13</v>
      </c>
      <c r="B14" s="771"/>
      <c r="C14" s="771"/>
      <c r="D14" s="772"/>
      <c r="E14" s="514">
        <f>IF(F14=0,0,F14/F27)</f>
        <v>4.0332114980847229E-3</v>
      </c>
      <c r="F14" s="522">
        <f>'3-Fleet Energy'!K25</f>
        <v>5.3646662215443088</v>
      </c>
      <c r="G14" s="572">
        <f>'3-Fleet Energy'!L25</f>
        <v>4.3605869999999998</v>
      </c>
      <c r="H14" s="572">
        <f>'3-Fleet Energy'!M25</f>
        <v>4.3971524389215264E-3</v>
      </c>
      <c r="I14" s="572">
        <f>'3-Fleet Energy'!N25</f>
        <v>1.2982069105387364E-2</v>
      </c>
      <c r="J14" s="572">
        <f>'3-Fleet Energy'!O25</f>
        <v>0.98669999999999991</v>
      </c>
      <c r="K14" s="572">
        <f>'3-Fleet Energy'!P25</f>
        <v>0.30676249999999999</v>
      </c>
    </row>
    <row r="15" spans="1:16" ht="15.75">
      <c r="A15" s="755" t="s">
        <v>12</v>
      </c>
      <c r="B15" s="755"/>
      <c r="C15" s="755"/>
      <c r="D15" s="756"/>
      <c r="E15" s="514">
        <f>IF(F15=0,0,F15/F27)</f>
        <v>0</v>
      </c>
      <c r="F15" s="523">
        <f>'3-Fleet Energy'!K39</f>
        <v>0</v>
      </c>
      <c r="G15" s="573">
        <f>'3-Fleet Energy'!L39</f>
        <v>0</v>
      </c>
      <c r="H15" s="573">
        <f>'3-Fleet Energy'!M39</f>
        <v>0</v>
      </c>
      <c r="I15" s="573">
        <f>'3-Fleet Energy'!N39</f>
        <v>0</v>
      </c>
      <c r="J15" s="573">
        <f>'3-Fleet Energy'!O39</f>
        <v>0</v>
      </c>
      <c r="K15" s="573">
        <f>'3-Fleet Energy'!P39</f>
        <v>0</v>
      </c>
    </row>
    <row r="16" spans="1:16" ht="15.75">
      <c r="A16" s="755" t="s">
        <v>14</v>
      </c>
      <c r="B16" s="755"/>
      <c r="C16" s="755"/>
      <c r="D16" s="756"/>
      <c r="E16" s="514">
        <f>IF(F16=0,0,F16/F27)</f>
        <v>7.1195093690274045E-3</v>
      </c>
      <c r="F16" s="523">
        <f>'3-Fleet Energy'!K54</f>
        <v>9.4698211200000006</v>
      </c>
      <c r="G16" s="573">
        <f>'3-Fleet Energy'!L54</f>
        <v>7.2588480000000004</v>
      </c>
      <c r="H16" s="573">
        <f>'3-Fleet Energy'!M54</f>
        <v>9.0720000000000002E-3</v>
      </c>
      <c r="I16" s="573">
        <f>'3-Fleet Energy'!N54</f>
        <v>5.6901119999999999E-2</v>
      </c>
      <c r="J16" s="573">
        <f>'3-Fleet Energy'!O54</f>
        <v>2.1450000000000005</v>
      </c>
      <c r="K16" s="573">
        <f>'3-Fleet Energy'!P54</f>
        <v>0.2208</v>
      </c>
    </row>
    <row r="17" spans="1:11" ht="15.75">
      <c r="A17" s="755" t="s">
        <v>15</v>
      </c>
      <c r="B17" s="755"/>
      <c r="C17" s="755"/>
      <c r="D17" s="756"/>
      <c r="E17" s="514">
        <f>IF(F17=0,0,F17/F27)</f>
        <v>0</v>
      </c>
      <c r="F17" s="523">
        <f>'3-Fleet Energy'!K58</f>
        <v>0</v>
      </c>
      <c r="G17" s="573">
        <f>'3-Fleet Energy'!L58</f>
        <v>0</v>
      </c>
      <c r="H17" s="573">
        <f>'3-Fleet Energy'!M58</f>
        <v>0</v>
      </c>
      <c r="I17" s="573">
        <f>'3-Fleet Energy'!N58</f>
        <v>0</v>
      </c>
      <c r="J17" s="573">
        <f>'3-Fleet Energy'!O58</f>
        <v>0</v>
      </c>
      <c r="K17" s="573">
        <f>'3-Fleet Energy'!P58</f>
        <v>0</v>
      </c>
    </row>
    <row r="18" spans="1:11" ht="15.75">
      <c r="A18" s="755" t="s">
        <v>16</v>
      </c>
      <c r="B18" s="755"/>
      <c r="C18" s="755"/>
      <c r="D18" s="756"/>
      <c r="E18" s="514">
        <f>IF(F18=0,0,F18/F27)</f>
        <v>0</v>
      </c>
      <c r="F18" s="523">
        <f>'3-Fleet Energy'!K66</f>
        <v>0</v>
      </c>
      <c r="G18" s="573">
        <f>'3-Fleet Energy'!L66</f>
        <v>0</v>
      </c>
      <c r="H18" s="573">
        <f>'3-Fleet Energy'!M66</f>
        <v>0</v>
      </c>
      <c r="I18" s="573">
        <f>'3-Fleet Energy'!N66</f>
        <v>0</v>
      </c>
      <c r="J18" s="573">
        <f>'3-Fleet Energy'!O66</f>
        <v>0</v>
      </c>
      <c r="K18" s="573">
        <f>'3-Fleet Energy'!P66</f>
        <v>0</v>
      </c>
    </row>
    <row r="19" spans="1:11" ht="16.5" thickBot="1">
      <c r="A19" s="757" t="s">
        <v>17</v>
      </c>
      <c r="B19" s="757"/>
      <c r="C19" s="757"/>
      <c r="D19" s="758"/>
      <c r="E19" s="516">
        <f>IF(F19=0,0,F19/F27)</f>
        <v>0</v>
      </c>
      <c r="F19" s="524">
        <f>'3-Fleet Energy'!K70</f>
        <v>0</v>
      </c>
      <c r="G19" s="574">
        <f>'3-Fleet Energy'!L70</f>
        <v>0</v>
      </c>
      <c r="H19" s="574">
        <f>'3-Fleet Energy'!M70</f>
        <v>0</v>
      </c>
      <c r="I19" s="574">
        <f>'3-Fleet Energy'!N70</f>
        <v>0</v>
      </c>
      <c r="J19" s="574">
        <f>'3-Fleet Energy'!O70</f>
        <v>0</v>
      </c>
      <c r="K19" s="574">
        <f>'3-Fleet Energy'!P70</f>
        <v>0</v>
      </c>
    </row>
    <row r="20" spans="1:11" ht="16.5" thickTop="1">
      <c r="A20" s="763" t="s">
        <v>335</v>
      </c>
      <c r="B20" s="763"/>
      <c r="C20" s="763"/>
      <c r="D20" s="763"/>
      <c r="E20" s="520">
        <f>IF(F20=0,0,F20/F27)</f>
        <v>1.1152720867112128E-2</v>
      </c>
      <c r="F20" s="525">
        <f>'3-Fleet Energy'!K72</f>
        <v>14.83448734154431</v>
      </c>
      <c r="G20" s="575">
        <f>'3-Fleet Energy'!L72</f>
        <v>11.619434999999999</v>
      </c>
      <c r="H20" s="575">
        <f>'3-Fleet Energy'!M72</f>
        <v>1.3469152438921526E-2</v>
      </c>
      <c r="I20" s="575">
        <f>'3-Fleet Energy'!N72</f>
        <v>6.9883189105387364E-2</v>
      </c>
      <c r="J20" s="575">
        <f>'3-Fleet Energy'!O72</f>
        <v>3.1317000000000004</v>
      </c>
      <c r="K20" s="575">
        <f>'3-Fleet Energy'!P72</f>
        <v>0.52756249999999993</v>
      </c>
    </row>
    <row r="21" spans="1:11">
      <c r="F21" s="161"/>
      <c r="G21" s="161"/>
      <c r="H21" s="161"/>
      <c r="I21" s="161"/>
      <c r="J21" s="161"/>
      <c r="K21" s="161"/>
    </row>
    <row r="22" spans="1:11" ht="18.75" customHeight="1">
      <c r="A22" s="541" t="s">
        <v>334</v>
      </c>
      <c r="B22" s="542"/>
      <c r="C22" s="542"/>
      <c r="D22" s="542"/>
      <c r="E22" s="542"/>
      <c r="F22" s="543"/>
      <c r="G22" s="542"/>
      <c r="H22" s="542"/>
      <c r="I22" s="542"/>
      <c r="J22" s="542"/>
      <c r="K22" s="543"/>
    </row>
    <row r="23" spans="1:11" ht="15.75">
      <c r="A23" s="755" t="s">
        <v>11</v>
      </c>
      <c r="B23" s="755"/>
      <c r="C23" s="755"/>
      <c r="D23" s="756"/>
      <c r="E23" s="526">
        <f>IF(F23=0,0,F23/F27)</f>
        <v>0.12135553973432059</v>
      </c>
      <c r="F23" s="513">
        <f>'4-Travel &amp; CTR'!E15</f>
        <v>161.41775979740899</v>
      </c>
      <c r="G23" s="100">
        <f>'4-Travel &amp; CTR'!F15</f>
        <v>158.28465134634146</v>
      </c>
      <c r="H23" s="100">
        <f>'4-Travel &amp; CTR'!G15</f>
        <v>0.21366751168621978</v>
      </c>
      <c r="I23" s="100">
        <f>'4-Travel &amp; CTR'!H15</f>
        <v>1.9502787630284957</v>
      </c>
      <c r="J23" s="100">
        <f>'4-Travel &amp; CTR'!I15</f>
        <v>0.96916217635280888</v>
      </c>
      <c r="K23" s="100">
        <f>'4-Travel &amp; CTR'!J15</f>
        <v>0.95174560975609757</v>
      </c>
    </row>
    <row r="24" spans="1:11" ht="16.5" thickBot="1">
      <c r="A24" s="757" t="s">
        <v>416</v>
      </c>
      <c r="B24" s="757"/>
      <c r="C24" s="757"/>
      <c r="D24" s="758"/>
      <c r="E24" s="516">
        <f>IF(F24=0,0,F24/F27)</f>
        <v>0.63152067966232284</v>
      </c>
      <c r="F24" s="517">
        <f>'4-Travel &amp; CTR'!C17</f>
        <v>840</v>
      </c>
      <c r="G24" s="271">
        <f>F24*(792.9/796)</f>
        <v>836.7286432160804</v>
      </c>
      <c r="H24" s="271">
        <f>F24*(0.8/796)</f>
        <v>0.84422110552763829</v>
      </c>
      <c r="I24" s="271">
        <f>F24*(2.3/796)</f>
        <v>2.4271356783919593</v>
      </c>
      <c r="J24" s="271">
        <v>0</v>
      </c>
      <c r="K24" s="271">
        <f>F24*(39/796)</f>
        <v>41.155778894472363</v>
      </c>
    </row>
    <row r="25" spans="1:11" ht="16.5" thickTop="1">
      <c r="A25" s="763" t="s">
        <v>336</v>
      </c>
      <c r="B25" s="763"/>
      <c r="C25" s="763"/>
      <c r="D25" s="765"/>
      <c r="E25" s="527">
        <f>IF(F25=0,0,F25/F27)</f>
        <v>0.7528762193966434</v>
      </c>
      <c r="F25" s="525">
        <f t="shared" ref="F25:I25" si="1">SUM(F23:F24)</f>
        <v>1001.417759797409</v>
      </c>
      <c r="G25" s="168">
        <f t="shared" si="1"/>
        <v>995.01329456242183</v>
      </c>
      <c r="H25" s="168">
        <f t="shared" si="1"/>
        <v>1.057888617213858</v>
      </c>
      <c r="I25" s="168">
        <f t="shared" si="1"/>
        <v>4.3774144414204548</v>
      </c>
      <c r="J25" s="168">
        <f>SUM(J23:J24)</f>
        <v>0.96916217635280888</v>
      </c>
      <c r="K25" s="168">
        <f>SUM(K23:K24)</f>
        <v>42.107524504228458</v>
      </c>
    </row>
    <row r="26" spans="1:11" ht="15.75" thickBot="1">
      <c r="A26" s="9"/>
      <c r="B26" s="9"/>
      <c r="C26" s="9"/>
      <c r="D26" s="9"/>
      <c r="E26" s="9"/>
      <c r="F26" s="57"/>
      <c r="G26" s="57"/>
      <c r="H26" s="57"/>
      <c r="I26" s="57"/>
      <c r="J26" s="57"/>
      <c r="K26" s="57"/>
    </row>
    <row r="27" spans="1:11" ht="19.5" thickBot="1">
      <c r="A27" s="766" t="s">
        <v>20</v>
      </c>
      <c r="B27" s="767"/>
      <c r="C27" s="767"/>
      <c r="D27" s="768"/>
      <c r="E27" s="528">
        <f>SUM(E11,E20,E25)</f>
        <v>1</v>
      </c>
      <c r="F27" s="551">
        <f t="shared" ref="F27:G27" si="2">SUM(F11,F20,F25)</f>
        <v>1330.1227133989532</v>
      </c>
      <c r="G27" s="550">
        <f t="shared" si="2"/>
        <v>1196.5769302824219</v>
      </c>
      <c r="H27" s="162">
        <f>SUM(H11,H20,H25)</f>
        <v>1.1519032696527796</v>
      </c>
      <c r="I27" s="162">
        <f>SUM(I11,I20,I25)</f>
        <v>5.4073999905258425</v>
      </c>
      <c r="J27" s="163">
        <f>SUM(J11,J20,J25)</f>
        <v>4.100862176352809</v>
      </c>
      <c r="K27" s="162">
        <f>SUM(K11,K20,K25)</f>
        <v>42.63508700422846</v>
      </c>
    </row>
    <row r="28" spans="1:11">
      <c r="A28" t="s">
        <v>449</v>
      </c>
    </row>
    <row r="29" spans="1:11">
      <c r="A29" t="s">
        <v>413</v>
      </c>
    </row>
    <row r="30" spans="1:11">
      <c r="A30" t="s">
        <v>417</v>
      </c>
    </row>
    <row r="31" spans="1:11" ht="15.75" thickBot="1"/>
    <row r="32" spans="1:11" ht="19.5" thickBot="1">
      <c r="A32" s="760" t="s">
        <v>441</v>
      </c>
      <c r="B32" s="761"/>
      <c r="C32" s="761"/>
      <c r="D32" s="762"/>
    </row>
    <row r="33" spans="1:30" ht="54" customHeight="1">
      <c r="A33" s="769" t="s">
        <v>350</v>
      </c>
      <c r="B33" s="769"/>
      <c r="C33" s="260" t="s">
        <v>349</v>
      </c>
      <c r="D33" s="261" t="s">
        <v>348</v>
      </c>
      <c r="E33" s="171"/>
    </row>
    <row r="34" spans="1:30" ht="15.75">
      <c r="A34" s="764" t="s">
        <v>345</v>
      </c>
      <c r="B34" s="764"/>
      <c r="C34" s="529">
        <f>SUM(F20,F8)</f>
        <v>205.81932320154431</v>
      </c>
      <c r="D34" s="530">
        <f>IF(C34=0,0,C34/F27)</f>
        <v>0.15473709389985543</v>
      </c>
      <c r="E34" s="165"/>
    </row>
    <row r="35" spans="1:30" ht="15.75">
      <c r="A35" s="764" t="s">
        <v>346</v>
      </c>
      <c r="B35" s="764"/>
      <c r="C35" s="529">
        <f>SUM(F9:F10)</f>
        <v>122.8856304</v>
      </c>
      <c r="D35" s="530">
        <f>IF(C35=0,0,C35/F27)</f>
        <v>9.2386686703501184E-2</v>
      </c>
      <c r="E35" s="165"/>
    </row>
    <row r="36" spans="1:30" ht="15.75">
      <c r="A36" s="764" t="s">
        <v>347</v>
      </c>
      <c r="B36" s="764"/>
      <c r="C36" s="529">
        <f>F25</f>
        <v>1001.417759797409</v>
      </c>
      <c r="D36" s="530">
        <f>IF(C36=0,0,C36/F27)</f>
        <v>0.7528762193966434</v>
      </c>
      <c r="E36" s="165"/>
    </row>
    <row r="37" spans="1:30">
      <c r="A37" s="174"/>
      <c r="B37" s="174"/>
      <c r="C37" s="175"/>
      <c r="D37" s="165"/>
      <c r="E37" s="165"/>
    </row>
    <row r="38" spans="1:30" ht="15.75" thickBot="1">
      <c r="AC38" s="172"/>
      <c r="AD38" s="172"/>
    </row>
    <row r="39" spans="1:30" ht="52.5" customHeight="1" thickBot="1">
      <c r="A39" s="752" t="s">
        <v>442</v>
      </c>
      <c r="B39" s="754"/>
      <c r="AC39" s="173"/>
      <c r="AD39" s="173"/>
    </row>
    <row r="40" spans="1:30" ht="63">
      <c r="A40" s="531" t="s">
        <v>361</v>
      </c>
      <c r="B40" s="531" t="s">
        <v>364</v>
      </c>
      <c r="AC40" s="173"/>
      <c r="AD40" s="173"/>
    </row>
    <row r="41" spans="1:30" ht="47.25">
      <c r="A41" s="532" t="s">
        <v>490</v>
      </c>
      <c r="B41" s="533">
        <f>E8</f>
        <v>0.1435843730327433</v>
      </c>
      <c r="AC41" s="172"/>
      <c r="AD41" s="172"/>
    </row>
    <row r="42" spans="1:30" ht="31.5">
      <c r="A42" s="534" t="s">
        <v>47</v>
      </c>
      <c r="B42" s="535">
        <f>E9</f>
        <v>9.2386686703501184E-2</v>
      </c>
      <c r="AC42" s="172"/>
      <c r="AD42" s="172"/>
    </row>
    <row r="43" spans="1:30" ht="15.75">
      <c r="A43" s="534" t="s">
        <v>18</v>
      </c>
      <c r="B43" s="535">
        <f>E10</f>
        <v>0</v>
      </c>
      <c r="AC43" s="172"/>
      <c r="AD43" s="172"/>
    </row>
    <row r="44" spans="1:30" ht="15.75">
      <c r="A44" s="532" t="s">
        <v>13</v>
      </c>
      <c r="B44" s="533">
        <f t="shared" ref="B44:B49" si="3">E14</f>
        <v>4.0332114980847229E-3</v>
      </c>
      <c r="AC44" s="172"/>
      <c r="AD44" s="172"/>
    </row>
    <row r="45" spans="1:30" ht="31.5">
      <c r="A45" s="532" t="s">
        <v>12</v>
      </c>
      <c r="B45" s="533">
        <f t="shared" si="3"/>
        <v>0</v>
      </c>
      <c r="AC45" s="172"/>
      <c r="AD45" s="172"/>
    </row>
    <row r="46" spans="1:30" ht="15.75">
      <c r="A46" s="532" t="s">
        <v>14</v>
      </c>
      <c r="B46" s="533">
        <f t="shared" si="3"/>
        <v>7.1195093690274045E-3</v>
      </c>
      <c r="AC46" s="172"/>
      <c r="AD46" s="172"/>
    </row>
    <row r="47" spans="1:30" ht="15.75">
      <c r="A47" s="532" t="s">
        <v>15</v>
      </c>
      <c r="B47" s="533">
        <f t="shared" si="3"/>
        <v>0</v>
      </c>
      <c r="AC47" s="172"/>
      <c r="AD47" s="172"/>
    </row>
    <row r="48" spans="1:30" ht="15.75">
      <c r="A48" s="532" t="s">
        <v>16</v>
      </c>
      <c r="B48" s="533">
        <f t="shared" si="3"/>
        <v>0</v>
      </c>
      <c r="AC48" s="172"/>
      <c r="AD48" s="172"/>
    </row>
    <row r="49" spans="1:2" ht="15.75">
      <c r="A49" s="532" t="s">
        <v>17</v>
      </c>
      <c r="B49" s="533">
        <f t="shared" si="3"/>
        <v>0</v>
      </c>
    </row>
    <row r="50" spans="1:2" ht="31.5">
      <c r="A50" s="532" t="s">
        <v>11</v>
      </c>
      <c r="B50" s="533">
        <f>E23</f>
        <v>0.12135553973432059</v>
      </c>
    </row>
    <row r="51" spans="1:2" ht="31.5">
      <c r="A51" s="532" t="s">
        <v>293</v>
      </c>
      <c r="B51" s="533">
        <f>E24</f>
        <v>0.63152067966232284</v>
      </c>
    </row>
  </sheetData>
  <mergeCells count="21">
    <mergeCell ref="A6:D6"/>
    <mergeCell ref="A32:D32"/>
    <mergeCell ref="A39:B39"/>
    <mergeCell ref="A23:D23"/>
    <mergeCell ref="A24:D24"/>
    <mergeCell ref="A20:D20"/>
    <mergeCell ref="A35:B35"/>
    <mergeCell ref="A36:B36"/>
    <mergeCell ref="A25:D25"/>
    <mergeCell ref="A27:D27"/>
    <mergeCell ref="A33:B33"/>
    <mergeCell ref="A34:B34"/>
    <mergeCell ref="A8:D8"/>
    <mergeCell ref="A14:D14"/>
    <mergeCell ref="A9:D9"/>
    <mergeCell ref="A10:D10"/>
    <mergeCell ref="A15:D15"/>
    <mergeCell ref="A16:D16"/>
    <mergeCell ref="A17:D17"/>
    <mergeCell ref="A18:D18"/>
    <mergeCell ref="A19:D19"/>
  </mergeCells>
  <pageMargins left="0.7" right="0.7" top="0.75" bottom="0.75" header="0.3" footer="0.3"/>
  <pageSetup scale="65" orientation="portrait" r:id="rId1"/>
  <headerFooter scaleWithDoc="0">
    <oddFooter>&amp;C&amp;"Times New Roman,Regular"&amp;12&amp;A</oddFooter>
  </headerFooter>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S206"/>
  <sheetViews>
    <sheetView zoomScale="68" zoomScaleNormal="68" workbookViewId="0">
      <selection activeCell="B209" sqref="B209"/>
    </sheetView>
  </sheetViews>
  <sheetFormatPr defaultRowHeight="15"/>
  <cols>
    <col min="1" max="1" width="11.85546875" customWidth="1"/>
    <col min="2" max="3" width="12.7109375" customWidth="1"/>
    <col min="4" max="4" width="13.28515625" customWidth="1"/>
    <col min="5" max="5" width="8.7109375" customWidth="1"/>
    <col min="6" max="6" width="9.5703125" customWidth="1"/>
    <col min="7" max="16" width="13.28515625" customWidth="1"/>
    <col min="17" max="17" width="14.85546875" customWidth="1"/>
    <col min="18" max="18" width="14.5703125" customWidth="1"/>
    <col min="19" max="19" width="15.140625" customWidth="1"/>
  </cols>
  <sheetData>
    <row r="1" spans="1:19" ht="18.75">
      <c r="A1" s="25" t="s">
        <v>59</v>
      </c>
      <c r="B1" s="15"/>
      <c r="C1" s="15"/>
      <c r="D1" s="15"/>
      <c r="E1" s="15"/>
      <c r="F1" s="15"/>
      <c r="G1" s="15"/>
      <c r="H1" s="15"/>
      <c r="I1" s="15"/>
      <c r="J1" s="15"/>
      <c r="K1" s="15"/>
      <c r="L1" s="15"/>
      <c r="M1" s="15"/>
      <c r="N1" s="15"/>
      <c r="O1" s="15"/>
      <c r="P1" s="15"/>
      <c r="Q1" s="15"/>
      <c r="R1" s="15"/>
      <c r="S1" s="15"/>
    </row>
    <row r="2" spans="1:19" ht="15.75">
      <c r="A2" s="48" t="s">
        <v>410</v>
      </c>
      <c r="B2" s="48"/>
      <c r="C2" s="48"/>
      <c r="D2" s="48"/>
      <c r="E2" s="48"/>
      <c r="F2" s="48"/>
      <c r="G2" s="15"/>
      <c r="H2" s="15"/>
      <c r="I2" s="15"/>
      <c r="J2" s="15"/>
      <c r="K2" s="15"/>
      <c r="L2" s="15"/>
      <c r="M2" s="15"/>
      <c r="N2" s="15"/>
      <c r="O2" s="15"/>
      <c r="P2" s="15"/>
      <c r="Q2" s="15"/>
      <c r="R2" s="15"/>
      <c r="S2" s="15"/>
    </row>
    <row r="3" spans="1:19" ht="15.75">
      <c r="A3" s="47" t="s">
        <v>154</v>
      </c>
      <c r="B3" s="237" t="str">
        <f>IF(Agency="","",Agency)</f>
        <v>North Seattle College</v>
      </c>
      <c r="C3" s="190"/>
      <c r="D3" s="190"/>
      <c r="E3" s="190"/>
      <c r="F3" s="190"/>
    </row>
    <row r="4" spans="1:19" ht="15.75">
      <c r="A4" s="47" t="s">
        <v>153</v>
      </c>
      <c r="B4" s="237">
        <f>IF(Year="","",Year)</f>
        <v>2016</v>
      </c>
      <c r="C4" s="269"/>
      <c r="D4" s="269"/>
    </row>
    <row r="5" spans="1:19" ht="15.75">
      <c r="A5" s="47"/>
      <c r="B5" s="237"/>
      <c r="C5" s="269"/>
      <c r="D5" s="269"/>
    </row>
    <row r="6" spans="1:19" ht="16.5" thickBot="1">
      <c r="A6" s="270" t="s">
        <v>411</v>
      </c>
      <c r="B6" s="270"/>
      <c r="C6" s="270"/>
      <c r="D6" s="270"/>
      <c r="E6" s="270"/>
      <c r="F6" s="270"/>
      <c r="G6" s="270"/>
      <c r="H6" s="270"/>
      <c r="I6" s="270"/>
      <c r="J6" s="270"/>
      <c r="K6" s="270"/>
      <c r="L6" s="139"/>
      <c r="M6" s="139"/>
      <c r="N6" s="139"/>
    </row>
    <row r="7" spans="1:19" ht="19.5" thickBot="1">
      <c r="A7" s="780" t="s">
        <v>63</v>
      </c>
      <c r="B7" s="781"/>
      <c r="C7" s="781"/>
      <c r="D7" s="781"/>
      <c r="E7" s="781"/>
      <c r="F7" s="781"/>
      <c r="G7" s="781"/>
      <c r="H7" s="781"/>
      <c r="I7" s="781"/>
      <c r="J7" s="781"/>
      <c r="K7" s="781"/>
      <c r="L7" s="781"/>
      <c r="M7" s="781"/>
      <c r="N7" s="782"/>
      <c r="O7" s="777" t="s">
        <v>64</v>
      </c>
      <c r="P7" s="777"/>
      <c r="Q7" s="778"/>
      <c r="R7" s="779" t="s">
        <v>148</v>
      </c>
      <c r="S7" s="778"/>
    </row>
    <row r="8" spans="1:19" s="44" customFormat="1" ht="135.75" customHeight="1">
      <c r="A8" s="46" t="s">
        <v>172</v>
      </c>
      <c r="B8" s="46" t="s">
        <v>171</v>
      </c>
      <c r="C8" s="46" t="s">
        <v>344</v>
      </c>
      <c r="D8" s="46" t="s">
        <v>343</v>
      </c>
      <c r="E8" s="46" t="s">
        <v>158</v>
      </c>
      <c r="F8" s="46" t="s">
        <v>147</v>
      </c>
      <c r="G8" s="46" t="s">
        <v>170</v>
      </c>
      <c r="H8" s="46" t="s">
        <v>183</v>
      </c>
      <c r="I8" s="46" t="s">
        <v>169</v>
      </c>
      <c r="J8" s="46" t="s">
        <v>2</v>
      </c>
      <c r="K8" s="46" t="s">
        <v>168</v>
      </c>
      <c r="L8" s="46" t="s">
        <v>19</v>
      </c>
      <c r="M8" s="46" t="s">
        <v>167</v>
      </c>
      <c r="N8" s="46" t="s">
        <v>342</v>
      </c>
      <c r="O8" s="46" t="s">
        <v>166</v>
      </c>
      <c r="P8" s="46" t="s">
        <v>184</v>
      </c>
      <c r="Q8" s="46" t="s">
        <v>165</v>
      </c>
      <c r="R8" s="46" t="s">
        <v>164</v>
      </c>
      <c r="S8" s="45" t="s">
        <v>163</v>
      </c>
    </row>
    <row r="9" spans="1:19">
      <c r="A9" s="13"/>
      <c r="B9" s="13"/>
      <c r="C9" s="13"/>
      <c r="D9" s="13"/>
      <c r="E9" s="43"/>
      <c r="F9" s="13"/>
      <c r="G9" s="40"/>
      <c r="H9" s="40"/>
      <c r="I9" s="40"/>
      <c r="J9" s="40"/>
      <c r="K9" s="40"/>
      <c r="L9" s="40"/>
      <c r="M9" s="40"/>
      <c r="N9" s="40"/>
      <c r="O9" s="40"/>
      <c r="P9" s="40"/>
      <c r="Q9" s="40"/>
      <c r="R9" s="40"/>
      <c r="S9" s="39"/>
    </row>
    <row r="10" spans="1:19">
      <c r="A10" s="13"/>
      <c r="B10" s="13"/>
      <c r="C10" s="13"/>
      <c r="D10" s="13"/>
      <c r="E10" s="43"/>
      <c r="F10" s="13"/>
      <c r="G10" s="40"/>
      <c r="H10" s="40"/>
      <c r="I10" s="40"/>
      <c r="J10" s="40"/>
      <c r="K10" s="40"/>
      <c r="L10" s="40"/>
      <c r="M10" s="40"/>
      <c r="N10" s="40"/>
      <c r="O10" s="40"/>
      <c r="P10" s="40"/>
      <c r="Q10" s="40"/>
      <c r="R10" s="40"/>
      <c r="S10" s="39"/>
    </row>
    <row r="11" spans="1:19">
      <c r="A11" s="13"/>
      <c r="B11" s="13"/>
      <c r="C11" s="13"/>
      <c r="D11" s="13"/>
      <c r="E11" s="43"/>
      <c r="F11" s="13"/>
      <c r="G11" s="40"/>
      <c r="H11" s="40"/>
      <c r="I11" s="40"/>
      <c r="J11" s="40"/>
      <c r="K11" s="40"/>
      <c r="L11" s="40"/>
      <c r="M11" s="40"/>
      <c r="N11" s="40"/>
      <c r="O11" s="40"/>
      <c r="P11" s="40"/>
      <c r="Q11" s="40"/>
      <c r="R11" s="40"/>
      <c r="S11" s="39"/>
    </row>
    <row r="12" spans="1:19">
      <c r="A12" s="13"/>
      <c r="B12" s="13"/>
      <c r="C12" s="13"/>
      <c r="D12" s="13"/>
      <c r="E12" s="43"/>
      <c r="F12" s="13"/>
      <c r="G12" s="40"/>
      <c r="H12" s="40"/>
      <c r="I12" s="40"/>
      <c r="J12" s="40"/>
      <c r="K12" s="40"/>
      <c r="L12" s="40"/>
      <c r="M12" s="40"/>
      <c r="N12" s="40"/>
      <c r="O12" s="40"/>
      <c r="P12" s="40"/>
      <c r="Q12" s="40"/>
      <c r="R12" s="40"/>
      <c r="S12" s="39"/>
    </row>
    <row r="13" spans="1:19">
      <c r="A13" s="13"/>
      <c r="B13" s="13"/>
      <c r="C13" s="13"/>
      <c r="D13" s="13"/>
      <c r="E13" s="43"/>
      <c r="F13" s="13"/>
      <c r="G13" s="40"/>
      <c r="H13" s="40"/>
      <c r="I13" s="40"/>
      <c r="J13" s="40"/>
      <c r="K13" s="40"/>
      <c r="L13" s="40"/>
      <c r="M13" s="40"/>
      <c r="N13" s="40"/>
      <c r="O13" s="40"/>
      <c r="P13" s="40"/>
      <c r="Q13" s="40"/>
      <c r="R13" s="40"/>
      <c r="S13" s="39"/>
    </row>
    <row r="14" spans="1:19">
      <c r="A14" s="13"/>
      <c r="B14" s="13"/>
      <c r="C14" s="13"/>
      <c r="D14" s="13"/>
      <c r="E14" s="43"/>
      <c r="F14" s="13"/>
      <c r="G14" s="40"/>
      <c r="H14" s="40"/>
      <c r="I14" s="40"/>
      <c r="J14" s="40"/>
      <c r="K14" s="40"/>
      <c r="L14" s="40"/>
      <c r="M14" s="40"/>
      <c r="N14" s="40"/>
      <c r="O14" s="40"/>
      <c r="P14" s="40"/>
      <c r="Q14" s="40"/>
      <c r="R14" s="40"/>
      <c r="S14" s="39"/>
    </row>
    <row r="15" spans="1:19">
      <c r="A15" s="13"/>
      <c r="B15" s="13"/>
      <c r="C15" s="13"/>
      <c r="D15" s="13"/>
      <c r="E15" s="43"/>
      <c r="F15" s="13"/>
      <c r="G15" s="40"/>
      <c r="H15" s="40"/>
      <c r="I15" s="40"/>
      <c r="J15" s="40"/>
      <c r="K15" s="40"/>
      <c r="L15" s="40"/>
      <c r="M15" s="40"/>
      <c r="N15" s="40"/>
      <c r="O15" s="40"/>
      <c r="P15" s="40"/>
      <c r="Q15" s="40"/>
      <c r="R15" s="40"/>
      <c r="S15" s="39"/>
    </row>
    <row r="16" spans="1:19">
      <c r="A16" s="13"/>
      <c r="B16" s="13"/>
      <c r="C16" s="13"/>
      <c r="D16" s="13"/>
      <c r="E16" s="43"/>
      <c r="F16" s="13"/>
      <c r="G16" s="40"/>
      <c r="H16" s="40"/>
      <c r="I16" s="40"/>
      <c r="J16" s="40"/>
      <c r="K16" s="40"/>
      <c r="L16" s="40"/>
      <c r="M16" s="40"/>
      <c r="N16" s="40"/>
      <c r="O16" s="40"/>
      <c r="P16" s="40"/>
      <c r="Q16" s="40"/>
      <c r="R16" s="40"/>
      <c r="S16" s="39"/>
    </row>
    <row r="17" spans="1:19">
      <c r="A17" s="13"/>
      <c r="B17" s="13"/>
      <c r="C17" s="13"/>
      <c r="D17" s="13"/>
      <c r="E17" s="43"/>
      <c r="F17" s="13"/>
      <c r="G17" s="40"/>
      <c r="H17" s="40"/>
      <c r="I17" s="40"/>
      <c r="J17" s="40"/>
      <c r="K17" s="40"/>
      <c r="L17" s="40"/>
      <c r="M17" s="40"/>
      <c r="N17" s="40"/>
      <c r="O17" s="40"/>
      <c r="P17" s="40"/>
      <c r="Q17" s="40"/>
      <c r="R17" s="40"/>
      <c r="S17" s="39"/>
    </row>
    <row r="18" spans="1:19">
      <c r="A18" s="13"/>
      <c r="B18" s="13"/>
      <c r="C18" s="13"/>
      <c r="D18" s="13"/>
      <c r="E18" s="43"/>
      <c r="F18" s="13"/>
      <c r="G18" s="40"/>
      <c r="H18" s="40"/>
      <c r="I18" s="40"/>
      <c r="J18" s="40"/>
      <c r="K18" s="40"/>
      <c r="L18" s="40"/>
      <c r="M18" s="40"/>
      <c r="N18" s="40"/>
      <c r="O18" s="40"/>
      <c r="P18" s="40"/>
      <c r="Q18" s="40"/>
      <c r="R18" s="40"/>
      <c r="S18" s="39"/>
    </row>
    <row r="19" spans="1:19">
      <c r="A19" s="13"/>
      <c r="B19" s="13"/>
      <c r="C19" s="13"/>
      <c r="D19" s="13"/>
      <c r="E19" s="43"/>
      <c r="F19" s="13"/>
      <c r="G19" s="40"/>
      <c r="H19" s="40"/>
      <c r="I19" s="40"/>
      <c r="J19" s="40"/>
      <c r="K19" s="40"/>
      <c r="L19" s="40"/>
      <c r="M19" s="40"/>
      <c r="N19" s="40"/>
      <c r="O19" s="40"/>
      <c r="P19" s="40"/>
      <c r="Q19" s="40"/>
      <c r="R19" s="40"/>
      <c r="S19" s="39"/>
    </row>
    <row r="20" spans="1:19">
      <c r="A20" s="13"/>
      <c r="B20" s="13"/>
      <c r="C20" s="13"/>
      <c r="D20" s="13"/>
      <c r="E20" s="43"/>
      <c r="F20" s="13"/>
      <c r="G20" s="40"/>
      <c r="H20" s="40"/>
      <c r="I20" s="40"/>
      <c r="J20" s="40"/>
      <c r="K20" s="40"/>
      <c r="L20" s="40"/>
      <c r="M20" s="40"/>
      <c r="N20" s="40"/>
      <c r="O20" s="40"/>
      <c r="P20" s="40"/>
      <c r="Q20" s="40"/>
      <c r="R20" s="40"/>
      <c r="S20" s="39"/>
    </row>
    <row r="21" spans="1:19">
      <c r="A21" s="13"/>
      <c r="B21" s="13"/>
      <c r="C21" s="13"/>
      <c r="D21" s="13"/>
      <c r="E21" s="43"/>
      <c r="F21" s="13"/>
      <c r="G21" s="40"/>
      <c r="H21" s="40"/>
      <c r="I21" s="40"/>
      <c r="J21" s="40"/>
      <c r="K21" s="40"/>
      <c r="L21" s="40"/>
      <c r="M21" s="40"/>
      <c r="N21" s="40"/>
      <c r="O21" s="40"/>
      <c r="P21" s="40"/>
      <c r="Q21" s="40"/>
      <c r="R21" s="40"/>
      <c r="S21" s="39"/>
    </row>
    <row r="22" spans="1:19">
      <c r="A22" s="13"/>
      <c r="B22" s="13"/>
      <c r="C22" s="13"/>
      <c r="D22" s="13"/>
      <c r="E22" s="43"/>
      <c r="F22" s="13"/>
      <c r="G22" s="40"/>
      <c r="H22" s="40"/>
      <c r="I22" s="40"/>
      <c r="J22" s="40"/>
      <c r="K22" s="40"/>
      <c r="L22" s="40"/>
      <c r="M22" s="40"/>
      <c r="N22" s="40"/>
      <c r="O22" s="40"/>
      <c r="P22" s="40"/>
      <c r="Q22" s="40"/>
      <c r="R22" s="40"/>
      <c r="S22" s="39"/>
    </row>
    <row r="23" spans="1:19">
      <c r="A23" s="13"/>
      <c r="B23" s="13"/>
      <c r="C23" s="13"/>
      <c r="D23" s="13"/>
      <c r="E23" s="43"/>
      <c r="F23" s="13"/>
      <c r="G23" s="40"/>
      <c r="H23" s="40"/>
      <c r="I23" s="40"/>
      <c r="J23" s="40"/>
      <c r="K23" s="40"/>
      <c r="L23" s="40"/>
      <c r="M23" s="40"/>
      <c r="N23" s="40"/>
      <c r="O23" s="40"/>
      <c r="P23" s="40"/>
      <c r="Q23" s="40"/>
      <c r="R23" s="40"/>
      <c r="S23" s="39"/>
    </row>
    <row r="24" spans="1:19">
      <c r="A24" s="13"/>
      <c r="B24" s="13"/>
      <c r="C24" s="13"/>
      <c r="D24" s="13"/>
      <c r="E24" s="43"/>
      <c r="F24" s="13"/>
      <c r="G24" s="40"/>
      <c r="H24" s="40"/>
      <c r="I24" s="40"/>
      <c r="J24" s="40"/>
      <c r="K24" s="40"/>
      <c r="L24" s="40"/>
      <c r="M24" s="40"/>
      <c r="N24" s="40"/>
      <c r="O24" s="40"/>
      <c r="P24" s="40"/>
      <c r="Q24" s="40"/>
      <c r="R24" s="40"/>
      <c r="S24" s="39"/>
    </row>
    <row r="25" spans="1:19">
      <c r="A25" s="13"/>
      <c r="B25" s="13"/>
      <c r="C25" s="13"/>
      <c r="D25" s="13"/>
      <c r="E25" s="43"/>
      <c r="F25" s="13"/>
      <c r="G25" s="40"/>
      <c r="H25" s="40"/>
      <c r="I25" s="40"/>
      <c r="J25" s="40"/>
      <c r="K25" s="40"/>
      <c r="L25" s="40"/>
      <c r="M25" s="40"/>
      <c r="N25" s="40"/>
      <c r="O25" s="40"/>
      <c r="P25" s="40"/>
      <c r="Q25" s="40"/>
      <c r="R25" s="40"/>
      <c r="S25" s="39"/>
    </row>
    <row r="26" spans="1:19">
      <c r="A26" s="6"/>
      <c r="B26" s="6"/>
      <c r="C26" s="152"/>
      <c r="D26" s="14"/>
      <c r="E26" s="42"/>
      <c r="F26" s="14"/>
      <c r="G26" s="33"/>
      <c r="H26" s="33"/>
      <c r="I26" s="33"/>
      <c r="J26" s="33"/>
      <c r="K26" s="33"/>
      <c r="L26" s="33"/>
      <c r="M26" s="33"/>
      <c r="N26" s="33"/>
      <c r="O26" s="33"/>
      <c r="P26" s="33"/>
      <c r="Q26" s="33"/>
      <c r="R26" s="33"/>
      <c r="S26" s="32"/>
    </row>
    <row r="27" spans="1:19" ht="33.75" customHeight="1">
      <c r="A27" s="6"/>
      <c r="B27" s="6"/>
      <c r="C27" s="6"/>
      <c r="D27" s="6"/>
      <c r="E27" s="41"/>
      <c r="F27" s="6"/>
      <c r="G27" s="40"/>
      <c r="H27" s="40"/>
      <c r="I27" s="40"/>
      <c r="J27" s="40"/>
      <c r="K27" s="40"/>
      <c r="L27" s="40"/>
      <c r="M27" s="40"/>
      <c r="N27" s="40"/>
      <c r="O27" s="40"/>
      <c r="P27" s="40"/>
      <c r="Q27" s="40"/>
      <c r="R27" s="40"/>
      <c r="S27" s="39"/>
    </row>
    <row r="28" spans="1:19" hidden="1">
      <c r="A28" s="6"/>
      <c r="B28" s="6"/>
      <c r="C28" s="6"/>
      <c r="D28" s="6"/>
      <c r="E28" s="41"/>
      <c r="F28" s="6"/>
      <c r="G28" s="40"/>
      <c r="H28" s="40"/>
      <c r="I28" s="40"/>
      <c r="J28" s="40"/>
      <c r="K28" s="40"/>
      <c r="L28" s="40"/>
      <c r="M28" s="40"/>
      <c r="N28" s="40"/>
      <c r="O28" s="40"/>
      <c r="P28" s="40"/>
      <c r="Q28" s="40"/>
      <c r="R28" s="40"/>
      <c r="S28" s="39"/>
    </row>
    <row r="29" spans="1:19" hidden="1">
      <c r="A29" s="6"/>
      <c r="B29" s="6"/>
      <c r="C29" s="6"/>
      <c r="D29" s="6"/>
      <c r="E29" s="41"/>
      <c r="F29" s="6"/>
      <c r="G29" s="40"/>
      <c r="H29" s="40"/>
      <c r="I29" s="40"/>
      <c r="J29" s="40"/>
      <c r="K29" s="40"/>
      <c r="L29" s="40"/>
      <c r="M29" s="40"/>
      <c r="N29" s="40"/>
      <c r="O29" s="40"/>
      <c r="P29" s="40"/>
      <c r="Q29" s="40"/>
      <c r="R29" s="40"/>
      <c r="S29" s="39"/>
    </row>
    <row r="30" spans="1:19" hidden="1">
      <c r="A30" s="6"/>
      <c r="B30" s="6"/>
      <c r="C30" s="6"/>
      <c r="D30" s="6"/>
      <c r="E30" s="41"/>
      <c r="F30" s="6"/>
      <c r="G30" s="40"/>
      <c r="H30" s="40"/>
      <c r="I30" s="40"/>
      <c r="J30" s="40"/>
      <c r="K30" s="40"/>
      <c r="L30" s="40"/>
      <c r="M30" s="40"/>
      <c r="N30" s="40"/>
      <c r="O30" s="40"/>
      <c r="P30" s="40"/>
      <c r="Q30" s="40"/>
      <c r="R30" s="40"/>
      <c r="S30" s="39"/>
    </row>
    <row r="31" spans="1:19" hidden="1">
      <c r="A31" s="6"/>
      <c r="B31" s="6"/>
      <c r="C31" s="6"/>
      <c r="D31" s="6"/>
      <c r="E31" s="41"/>
      <c r="F31" s="6"/>
      <c r="G31" s="40"/>
      <c r="H31" s="40"/>
      <c r="I31" s="40"/>
      <c r="J31" s="40"/>
      <c r="K31" s="40"/>
      <c r="L31" s="40"/>
      <c r="M31" s="40"/>
      <c r="N31" s="40"/>
      <c r="O31" s="40"/>
      <c r="P31" s="40"/>
      <c r="Q31" s="40"/>
      <c r="R31" s="40"/>
      <c r="S31" s="39"/>
    </row>
    <row r="32" spans="1:19" hidden="1">
      <c r="A32" s="6"/>
      <c r="B32" s="6"/>
      <c r="C32" s="6"/>
      <c r="D32" s="6"/>
      <c r="E32" s="41"/>
      <c r="F32" s="6"/>
      <c r="G32" s="40"/>
      <c r="H32" s="40"/>
      <c r="I32" s="40"/>
      <c r="J32" s="40"/>
      <c r="K32" s="40"/>
      <c r="L32" s="40"/>
      <c r="M32" s="40"/>
      <c r="N32" s="40"/>
      <c r="O32" s="40"/>
      <c r="P32" s="40"/>
      <c r="Q32" s="40"/>
      <c r="R32" s="40"/>
      <c r="S32" s="39"/>
    </row>
    <row r="33" spans="1:19" hidden="1">
      <c r="A33" s="6"/>
      <c r="B33" s="6"/>
      <c r="C33" s="6"/>
      <c r="D33" s="6"/>
      <c r="E33" s="41"/>
      <c r="F33" s="6"/>
      <c r="G33" s="40"/>
      <c r="H33" s="40"/>
      <c r="I33" s="40"/>
      <c r="J33" s="40"/>
      <c r="K33" s="40"/>
      <c r="L33" s="40"/>
      <c r="M33" s="40"/>
      <c r="N33" s="40"/>
      <c r="O33" s="40"/>
      <c r="P33" s="40"/>
      <c r="Q33" s="40"/>
      <c r="R33" s="40"/>
      <c r="S33" s="39"/>
    </row>
    <row r="34" spans="1:19" hidden="1">
      <c r="A34" s="6"/>
      <c r="B34" s="6"/>
      <c r="C34" s="6"/>
      <c r="D34" s="6"/>
      <c r="E34" s="41"/>
      <c r="F34" s="6"/>
      <c r="G34" s="40"/>
      <c r="H34" s="40"/>
      <c r="I34" s="40"/>
      <c r="J34" s="40"/>
      <c r="K34" s="40"/>
      <c r="L34" s="40"/>
      <c r="M34" s="40"/>
      <c r="N34" s="40"/>
      <c r="O34" s="40"/>
      <c r="P34" s="40"/>
      <c r="Q34" s="40"/>
      <c r="R34" s="40"/>
      <c r="S34" s="39"/>
    </row>
    <row r="35" spans="1:19" hidden="1">
      <c r="A35" s="6"/>
      <c r="B35" s="6"/>
      <c r="C35" s="6"/>
      <c r="D35" s="6"/>
      <c r="E35" s="41"/>
      <c r="F35" s="6"/>
      <c r="G35" s="40"/>
      <c r="H35" s="40"/>
      <c r="I35" s="40"/>
      <c r="J35" s="40"/>
      <c r="K35" s="40"/>
      <c r="L35" s="40"/>
      <c r="M35" s="40"/>
      <c r="N35" s="40"/>
      <c r="O35" s="40"/>
      <c r="P35" s="40"/>
      <c r="Q35" s="40"/>
      <c r="R35" s="40"/>
      <c r="S35" s="39"/>
    </row>
    <row r="36" spans="1:19" hidden="1">
      <c r="A36" s="6"/>
      <c r="B36" s="6"/>
      <c r="C36" s="6"/>
      <c r="D36" s="6"/>
      <c r="E36" s="41"/>
      <c r="F36" s="6"/>
      <c r="G36" s="40"/>
      <c r="H36" s="40"/>
      <c r="I36" s="40"/>
      <c r="J36" s="40"/>
      <c r="K36" s="40"/>
      <c r="L36" s="40"/>
      <c r="M36" s="40"/>
      <c r="N36" s="40"/>
      <c r="O36" s="40"/>
      <c r="P36" s="40"/>
      <c r="Q36" s="40"/>
      <c r="R36" s="40"/>
      <c r="S36" s="39"/>
    </row>
    <row r="37" spans="1:19" hidden="1">
      <c r="A37" s="6"/>
      <c r="B37" s="6"/>
      <c r="C37" s="6"/>
      <c r="D37" s="6"/>
      <c r="E37" s="41"/>
      <c r="F37" s="6"/>
      <c r="G37" s="40"/>
      <c r="H37" s="40"/>
      <c r="I37" s="40"/>
      <c r="J37" s="40"/>
      <c r="K37" s="40"/>
      <c r="L37" s="40"/>
      <c r="M37" s="40"/>
      <c r="N37" s="40"/>
      <c r="O37" s="40"/>
      <c r="P37" s="40"/>
      <c r="Q37" s="40"/>
      <c r="R37" s="40"/>
      <c r="S37" s="39"/>
    </row>
    <row r="38" spans="1:19" hidden="1">
      <c r="A38" s="6"/>
      <c r="B38" s="6"/>
      <c r="C38" s="6"/>
      <c r="D38" s="6"/>
      <c r="E38" s="41"/>
      <c r="F38" s="6"/>
      <c r="G38" s="40"/>
      <c r="H38" s="40"/>
      <c r="I38" s="40"/>
      <c r="J38" s="40"/>
      <c r="K38" s="40"/>
      <c r="L38" s="40"/>
      <c r="M38" s="40"/>
      <c r="N38" s="40"/>
      <c r="O38" s="40"/>
      <c r="P38" s="40"/>
      <c r="Q38" s="40"/>
      <c r="R38" s="40"/>
      <c r="S38" s="39"/>
    </row>
    <row r="39" spans="1:19" hidden="1">
      <c r="A39" s="6"/>
      <c r="B39" s="6"/>
      <c r="C39" s="6"/>
      <c r="D39" s="6"/>
      <c r="E39" s="41"/>
      <c r="F39" s="6"/>
      <c r="G39" s="40"/>
      <c r="H39" s="40"/>
      <c r="I39" s="40"/>
      <c r="J39" s="40"/>
      <c r="K39" s="40"/>
      <c r="L39" s="40"/>
      <c r="M39" s="40"/>
      <c r="N39" s="40"/>
      <c r="O39" s="40"/>
      <c r="P39" s="40"/>
      <c r="Q39" s="40"/>
      <c r="R39" s="40"/>
      <c r="S39" s="39"/>
    </row>
    <row r="40" spans="1:19" hidden="1">
      <c r="A40" s="6"/>
      <c r="B40" s="6"/>
      <c r="C40" s="6"/>
      <c r="D40" s="6"/>
      <c r="E40" s="41"/>
      <c r="F40" s="6"/>
      <c r="G40" s="40"/>
      <c r="H40" s="40"/>
      <c r="I40" s="40"/>
      <c r="J40" s="40"/>
      <c r="K40" s="40"/>
      <c r="L40" s="40"/>
      <c r="M40" s="40"/>
      <c r="N40" s="40"/>
      <c r="O40" s="40"/>
      <c r="P40" s="40"/>
      <c r="Q40" s="40"/>
      <c r="R40" s="40"/>
      <c r="S40" s="39"/>
    </row>
    <row r="41" spans="1:19" hidden="1">
      <c r="A41" s="6"/>
      <c r="B41" s="6"/>
      <c r="C41" s="6"/>
      <c r="D41" s="6"/>
      <c r="E41" s="41"/>
      <c r="F41" s="6"/>
      <c r="G41" s="40"/>
      <c r="H41" s="40"/>
      <c r="I41" s="40"/>
      <c r="J41" s="40"/>
      <c r="K41" s="40"/>
      <c r="L41" s="40"/>
      <c r="M41" s="40"/>
      <c r="N41" s="40"/>
      <c r="O41" s="40"/>
      <c r="P41" s="40"/>
      <c r="Q41" s="40"/>
      <c r="R41" s="40"/>
      <c r="S41" s="39"/>
    </row>
    <row r="42" spans="1:19" hidden="1">
      <c r="A42" s="6"/>
      <c r="B42" s="6"/>
      <c r="C42" s="6"/>
      <c r="D42" s="6"/>
      <c r="E42" s="41"/>
      <c r="F42" s="6"/>
      <c r="G42" s="40"/>
      <c r="H42" s="40"/>
      <c r="I42" s="40"/>
      <c r="J42" s="40"/>
      <c r="K42" s="40"/>
      <c r="L42" s="40"/>
      <c r="M42" s="40"/>
      <c r="N42" s="40"/>
      <c r="O42" s="40"/>
      <c r="P42" s="40"/>
      <c r="Q42" s="40"/>
      <c r="R42" s="40"/>
      <c r="S42" s="39"/>
    </row>
    <row r="43" spans="1:19" hidden="1">
      <c r="A43" s="6"/>
      <c r="B43" s="6"/>
      <c r="C43" s="6"/>
      <c r="D43" s="6"/>
      <c r="E43" s="41"/>
      <c r="F43" s="6"/>
      <c r="G43" s="40"/>
      <c r="H43" s="40"/>
      <c r="I43" s="40"/>
      <c r="J43" s="40"/>
      <c r="K43" s="40"/>
      <c r="L43" s="40"/>
      <c r="M43" s="40"/>
      <c r="N43" s="40"/>
      <c r="O43" s="40"/>
      <c r="P43" s="40"/>
      <c r="Q43" s="40"/>
      <c r="R43" s="40"/>
      <c r="S43" s="39"/>
    </row>
    <row r="44" spans="1:19" hidden="1">
      <c r="A44" s="6"/>
      <c r="B44" s="6"/>
      <c r="C44" s="6"/>
      <c r="D44" s="6"/>
      <c r="E44" s="41"/>
      <c r="F44" s="6"/>
      <c r="G44" s="40"/>
      <c r="H44" s="40"/>
      <c r="I44" s="40"/>
      <c r="J44" s="40"/>
      <c r="K44" s="40"/>
      <c r="L44" s="40"/>
      <c r="M44" s="40"/>
      <c r="N44" s="40"/>
      <c r="O44" s="40"/>
      <c r="P44" s="40"/>
      <c r="Q44" s="40"/>
      <c r="R44" s="40"/>
      <c r="S44" s="39"/>
    </row>
    <row r="45" spans="1:19" hidden="1">
      <c r="A45" s="6"/>
      <c r="B45" s="6"/>
      <c r="C45" s="6"/>
      <c r="D45" s="6"/>
      <c r="E45" s="41"/>
      <c r="F45" s="6"/>
      <c r="G45" s="40"/>
      <c r="H45" s="40"/>
      <c r="I45" s="40"/>
      <c r="J45" s="40"/>
      <c r="K45" s="40"/>
      <c r="L45" s="40"/>
      <c r="M45" s="40"/>
      <c r="N45" s="40"/>
      <c r="O45" s="40"/>
      <c r="P45" s="40"/>
      <c r="Q45" s="40"/>
      <c r="R45" s="40"/>
      <c r="S45" s="39"/>
    </row>
    <row r="46" spans="1:19" hidden="1">
      <c r="A46" s="6"/>
      <c r="B46" s="6"/>
      <c r="C46" s="6"/>
      <c r="D46" s="6"/>
      <c r="E46" s="41"/>
      <c r="F46" s="6"/>
      <c r="G46" s="40"/>
      <c r="H46" s="40"/>
      <c r="I46" s="40"/>
      <c r="J46" s="40"/>
      <c r="K46" s="40"/>
      <c r="L46" s="40"/>
      <c r="M46" s="40"/>
      <c r="N46" s="40"/>
      <c r="O46" s="40"/>
      <c r="P46" s="40"/>
      <c r="Q46" s="40"/>
      <c r="R46" s="40"/>
      <c r="S46" s="39"/>
    </row>
    <row r="47" spans="1:19" hidden="1">
      <c r="A47" s="6"/>
      <c r="B47" s="6"/>
      <c r="C47" s="6"/>
      <c r="D47" s="6"/>
      <c r="E47" s="41"/>
      <c r="F47" s="6"/>
      <c r="G47" s="40"/>
      <c r="H47" s="40"/>
      <c r="I47" s="40"/>
      <c r="J47" s="40"/>
      <c r="K47" s="40"/>
      <c r="L47" s="40"/>
      <c r="M47" s="40"/>
      <c r="N47" s="40"/>
      <c r="O47" s="40"/>
      <c r="P47" s="40"/>
      <c r="Q47" s="40"/>
      <c r="R47" s="40"/>
      <c r="S47" s="39"/>
    </row>
    <row r="48" spans="1:19" hidden="1">
      <c r="A48" s="6"/>
      <c r="B48" s="6"/>
      <c r="C48" s="6"/>
      <c r="D48" s="6"/>
      <c r="E48" s="41"/>
      <c r="F48" s="6"/>
      <c r="G48" s="40"/>
      <c r="H48" s="40"/>
      <c r="I48" s="40"/>
      <c r="J48" s="40"/>
      <c r="K48" s="40"/>
      <c r="L48" s="40"/>
      <c r="M48" s="40"/>
      <c r="N48" s="40"/>
      <c r="O48" s="40"/>
      <c r="P48" s="40"/>
      <c r="Q48" s="40"/>
      <c r="R48" s="40"/>
      <c r="S48" s="39"/>
    </row>
    <row r="49" spans="1:19" hidden="1">
      <c r="A49" s="6"/>
      <c r="B49" s="6"/>
      <c r="C49" s="6"/>
      <c r="D49" s="6"/>
      <c r="E49" s="41"/>
      <c r="F49" s="6"/>
      <c r="G49" s="40"/>
      <c r="H49" s="40"/>
      <c r="I49" s="40"/>
      <c r="J49" s="40"/>
      <c r="K49" s="40"/>
      <c r="L49" s="40"/>
      <c r="M49" s="40"/>
      <c r="N49" s="40"/>
      <c r="O49" s="40"/>
      <c r="P49" s="40"/>
      <c r="Q49" s="40"/>
      <c r="R49" s="40"/>
      <c r="S49" s="39"/>
    </row>
    <row r="50" spans="1:19" hidden="1">
      <c r="A50" s="6"/>
      <c r="B50" s="6"/>
      <c r="C50" s="6"/>
      <c r="D50" s="6"/>
      <c r="E50" s="41"/>
      <c r="F50" s="6"/>
      <c r="G50" s="40"/>
      <c r="H50" s="40"/>
      <c r="I50" s="40"/>
      <c r="J50" s="40"/>
      <c r="K50" s="40"/>
      <c r="L50" s="40"/>
      <c r="M50" s="40"/>
      <c r="N50" s="40"/>
      <c r="O50" s="40"/>
      <c r="P50" s="40"/>
      <c r="Q50" s="40"/>
      <c r="R50" s="40"/>
      <c r="S50" s="39"/>
    </row>
    <row r="51" spans="1:19" hidden="1">
      <c r="A51" s="6"/>
      <c r="B51" s="6"/>
      <c r="C51" s="6"/>
      <c r="D51" s="6"/>
      <c r="E51" s="41"/>
      <c r="F51" s="6"/>
      <c r="G51" s="40"/>
      <c r="H51" s="40"/>
      <c r="I51" s="40"/>
      <c r="J51" s="40"/>
      <c r="K51" s="40"/>
      <c r="L51" s="40"/>
      <c r="M51" s="40"/>
      <c r="N51" s="40"/>
      <c r="O51" s="40"/>
      <c r="P51" s="40"/>
      <c r="Q51" s="40"/>
      <c r="R51" s="40"/>
      <c r="S51" s="39"/>
    </row>
    <row r="52" spans="1:19" hidden="1">
      <c r="A52" s="6"/>
      <c r="B52" s="6"/>
      <c r="C52" s="6"/>
      <c r="D52" s="6"/>
      <c r="E52" s="41"/>
      <c r="F52" s="6"/>
      <c r="G52" s="40"/>
      <c r="H52" s="40"/>
      <c r="I52" s="40"/>
      <c r="J52" s="40"/>
      <c r="K52" s="40"/>
      <c r="L52" s="40"/>
      <c r="M52" s="40"/>
      <c r="N52" s="40"/>
      <c r="O52" s="40"/>
      <c r="P52" s="40"/>
      <c r="Q52" s="40"/>
      <c r="R52" s="40"/>
      <c r="S52" s="39"/>
    </row>
    <row r="53" spans="1:19" hidden="1">
      <c r="A53" s="6"/>
      <c r="B53" s="6"/>
      <c r="C53" s="6"/>
      <c r="D53" s="6"/>
      <c r="E53" s="41"/>
      <c r="F53" s="6"/>
      <c r="G53" s="40"/>
      <c r="H53" s="40"/>
      <c r="I53" s="40"/>
      <c r="J53" s="40"/>
      <c r="K53" s="40"/>
      <c r="L53" s="40"/>
      <c r="M53" s="40"/>
      <c r="N53" s="40"/>
      <c r="O53" s="40"/>
      <c r="P53" s="40"/>
      <c r="Q53" s="40"/>
      <c r="R53" s="40"/>
      <c r="S53" s="39"/>
    </row>
    <row r="54" spans="1:19" hidden="1">
      <c r="A54" s="6"/>
      <c r="B54" s="6"/>
      <c r="C54" s="6"/>
      <c r="D54" s="6"/>
      <c r="E54" s="41"/>
      <c r="F54" s="6"/>
      <c r="G54" s="40"/>
      <c r="H54" s="40"/>
      <c r="I54" s="40"/>
      <c r="J54" s="40"/>
      <c r="K54" s="40"/>
      <c r="L54" s="40"/>
      <c r="M54" s="40"/>
      <c r="N54" s="40"/>
      <c r="O54" s="40"/>
      <c r="P54" s="40"/>
      <c r="Q54" s="40"/>
      <c r="R54" s="40"/>
      <c r="S54" s="39"/>
    </row>
    <row r="55" spans="1:19" hidden="1">
      <c r="A55" s="6"/>
      <c r="B55" s="6"/>
      <c r="C55" s="6"/>
      <c r="D55" s="6"/>
      <c r="E55" s="41"/>
      <c r="F55" s="6"/>
      <c r="G55" s="40"/>
      <c r="H55" s="40"/>
      <c r="I55" s="40"/>
      <c r="J55" s="40"/>
      <c r="K55" s="40"/>
      <c r="L55" s="40"/>
      <c r="M55" s="40"/>
      <c r="N55" s="40"/>
      <c r="O55" s="40"/>
      <c r="P55" s="40"/>
      <c r="Q55" s="40"/>
      <c r="R55" s="40"/>
      <c r="S55" s="39"/>
    </row>
    <row r="56" spans="1:19" hidden="1">
      <c r="A56" s="6"/>
      <c r="B56" s="6"/>
      <c r="C56" s="6"/>
      <c r="D56" s="6"/>
      <c r="E56" s="41"/>
      <c r="F56" s="6"/>
      <c r="G56" s="40"/>
      <c r="H56" s="40"/>
      <c r="I56" s="40"/>
      <c r="J56" s="40"/>
      <c r="K56" s="40"/>
      <c r="L56" s="40"/>
      <c r="M56" s="40"/>
      <c r="N56" s="40"/>
      <c r="O56" s="40"/>
      <c r="P56" s="40"/>
      <c r="Q56" s="40"/>
      <c r="R56" s="40"/>
      <c r="S56" s="39"/>
    </row>
    <row r="57" spans="1:19" hidden="1">
      <c r="A57" s="6"/>
      <c r="B57" s="6"/>
      <c r="C57" s="6"/>
      <c r="D57" s="6"/>
      <c r="E57" s="41"/>
      <c r="F57" s="6"/>
      <c r="G57" s="40"/>
      <c r="H57" s="40"/>
      <c r="I57" s="40"/>
      <c r="J57" s="40"/>
      <c r="K57" s="40"/>
      <c r="L57" s="40"/>
      <c r="M57" s="40"/>
      <c r="N57" s="40"/>
      <c r="O57" s="40"/>
      <c r="P57" s="40"/>
      <c r="Q57" s="40"/>
      <c r="R57" s="40"/>
      <c r="S57" s="39"/>
    </row>
    <row r="58" spans="1:19" hidden="1">
      <c r="A58" s="6"/>
      <c r="B58" s="6"/>
      <c r="C58" s="6"/>
      <c r="D58" s="6"/>
      <c r="E58" s="41"/>
      <c r="F58" s="6"/>
      <c r="G58" s="40"/>
      <c r="H58" s="40"/>
      <c r="I58" s="40"/>
      <c r="J58" s="40"/>
      <c r="K58" s="40"/>
      <c r="L58" s="40"/>
      <c r="M58" s="40"/>
      <c r="N58" s="40"/>
      <c r="O58" s="40"/>
      <c r="P58" s="40"/>
      <c r="Q58" s="40"/>
      <c r="R58" s="40"/>
      <c r="S58" s="39"/>
    </row>
    <row r="59" spans="1:19" hidden="1">
      <c r="A59" s="6"/>
      <c r="B59" s="6"/>
      <c r="C59" s="6"/>
      <c r="D59" s="6"/>
      <c r="E59" s="41"/>
      <c r="F59" s="6"/>
      <c r="G59" s="40"/>
      <c r="H59" s="40"/>
      <c r="I59" s="40"/>
      <c r="J59" s="40"/>
      <c r="K59" s="40"/>
      <c r="L59" s="40"/>
      <c r="M59" s="40"/>
      <c r="N59" s="40"/>
      <c r="O59" s="40"/>
      <c r="P59" s="40"/>
      <c r="Q59" s="40"/>
      <c r="R59" s="40"/>
      <c r="S59" s="39"/>
    </row>
    <row r="60" spans="1:19" hidden="1">
      <c r="A60" s="6"/>
      <c r="B60" s="6"/>
      <c r="C60" s="6"/>
      <c r="D60" s="6"/>
      <c r="E60" s="41"/>
      <c r="F60" s="6"/>
      <c r="G60" s="40"/>
      <c r="H60" s="40"/>
      <c r="I60" s="40"/>
      <c r="J60" s="40"/>
      <c r="K60" s="40"/>
      <c r="L60" s="40"/>
      <c r="M60" s="40"/>
      <c r="N60" s="40"/>
      <c r="O60" s="40"/>
      <c r="P60" s="40"/>
      <c r="Q60" s="40"/>
      <c r="R60" s="40"/>
      <c r="S60" s="39"/>
    </row>
    <row r="61" spans="1:19" hidden="1">
      <c r="A61" s="6"/>
      <c r="B61" s="6"/>
      <c r="C61" s="6"/>
      <c r="D61" s="6"/>
      <c r="E61" s="41"/>
      <c r="F61" s="6"/>
      <c r="G61" s="40"/>
      <c r="H61" s="40"/>
      <c r="I61" s="40"/>
      <c r="J61" s="40"/>
      <c r="K61" s="40"/>
      <c r="L61" s="40"/>
      <c r="M61" s="40"/>
      <c r="N61" s="40"/>
      <c r="O61" s="40"/>
      <c r="P61" s="40"/>
      <c r="Q61" s="40"/>
      <c r="R61" s="40"/>
      <c r="S61" s="39"/>
    </row>
    <row r="62" spans="1:19" hidden="1">
      <c r="A62" s="6"/>
      <c r="B62" s="6"/>
      <c r="C62" s="6"/>
      <c r="D62" s="6"/>
      <c r="E62" s="41"/>
      <c r="F62" s="6"/>
      <c r="G62" s="40"/>
      <c r="H62" s="40"/>
      <c r="I62" s="40"/>
      <c r="J62" s="40"/>
      <c r="K62" s="40"/>
      <c r="L62" s="40"/>
      <c r="M62" s="40"/>
      <c r="N62" s="40"/>
      <c r="O62" s="40"/>
      <c r="P62" s="40"/>
      <c r="Q62" s="40"/>
      <c r="R62" s="40"/>
      <c r="S62" s="39"/>
    </row>
    <row r="63" spans="1:19" hidden="1">
      <c r="A63" s="6"/>
      <c r="B63" s="6"/>
      <c r="C63" s="6"/>
      <c r="D63" s="6"/>
      <c r="E63" s="41"/>
      <c r="F63" s="6"/>
      <c r="G63" s="40"/>
      <c r="H63" s="40"/>
      <c r="I63" s="40"/>
      <c r="J63" s="40"/>
      <c r="K63" s="40"/>
      <c r="L63" s="40"/>
      <c r="M63" s="40"/>
      <c r="N63" s="40"/>
      <c r="O63" s="40"/>
      <c r="P63" s="40"/>
      <c r="Q63" s="40"/>
      <c r="R63" s="40"/>
      <c r="S63" s="39"/>
    </row>
    <row r="64" spans="1:19" hidden="1">
      <c r="A64" s="6"/>
      <c r="B64" s="6"/>
      <c r="C64" s="6"/>
      <c r="D64" s="6"/>
      <c r="E64" s="41"/>
      <c r="F64" s="6"/>
      <c r="G64" s="40"/>
      <c r="H64" s="40"/>
      <c r="I64" s="40"/>
      <c r="J64" s="40"/>
      <c r="K64" s="40"/>
      <c r="L64" s="40"/>
      <c r="M64" s="40"/>
      <c r="N64" s="40"/>
      <c r="O64" s="40"/>
      <c r="P64" s="40"/>
      <c r="Q64" s="40"/>
      <c r="R64" s="40"/>
      <c r="S64" s="39"/>
    </row>
    <row r="65" spans="1:19" hidden="1">
      <c r="A65" s="6"/>
      <c r="B65" s="6"/>
      <c r="C65" s="6"/>
      <c r="D65" s="6"/>
      <c r="E65" s="41"/>
      <c r="F65" s="6"/>
      <c r="G65" s="40"/>
      <c r="H65" s="40"/>
      <c r="I65" s="40"/>
      <c r="J65" s="40"/>
      <c r="K65" s="40"/>
      <c r="L65" s="40"/>
      <c r="M65" s="40"/>
      <c r="N65" s="40"/>
      <c r="O65" s="40"/>
      <c r="P65" s="40"/>
      <c r="Q65" s="40"/>
      <c r="R65" s="40"/>
      <c r="S65" s="39"/>
    </row>
    <row r="66" spans="1:19" hidden="1">
      <c r="A66" s="6"/>
      <c r="B66" s="6"/>
      <c r="C66" s="6"/>
      <c r="D66" s="6"/>
      <c r="E66" s="41"/>
      <c r="F66" s="6"/>
      <c r="G66" s="40"/>
      <c r="H66" s="40"/>
      <c r="I66" s="40"/>
      <c r="J66" s="40"/>
      <c r="K66" s="40"/>
      <c r="L66" s="40"/>
      <c r="M66" s="40"/>
      <c r="N66" s="40"/>
      <c r="O66" s="40"/>
      <c r="P66" s="40"/>
      <c r="Q66" s="40"/>
      <c r="R66" s="40"/>
      <c r="S66" s="39"/>
    </row>
    <row r="67" spans="1:19" hidden="1">
      <c r="A67" s="6"/>
      <c r="B67" s="6"/>
      <c r="C67" s="6"/>
      <c r="D67" s="6"/>
      <c r="E67" s="41"/>
      <c r="F67" s="6"/>
      <c r="G67" s="40"/>
      <c r="H67" s="40"/>
      <c r="I67" s="40"/>
      <c r="J67" s="40"/>
      <c r="K67" s="40"/>
      <c r="L67" s="40"/>
      <c r="M67" s="40"/>
      <c r="N67" s="40"/>
      <c r="O67" s="40"/>
      <c r="P67" s="40"/>
      <c r="Q67" s="40"/>
      <c r="R67" s="40"/>
      <c r="S67" s="39"/>
    </row>
    <row r="68" spans="1:19" hidden="1">
      <c r="A68" s="6"/>
      <c r="B68" s="6"/>
      <c r="C68" s="6"/>
      <c r="D68" s="6"/>
      <c r="E68" s="41"/>
      <c r="F68" s="6"/>
      <c r="G68" s="40"/>
      <c r="H68" s="40"/>
      <c r="I68" s="40"/>
      <c r="J68" s="40"/>
      <c r="K68" s="40"/>
      <c r="L68" s="40"/>
      <c r="M68" s="40"/>
      <c r="N68" s="40"/>
      <c r="O68" s="40"/>
      <c r="P68" s="40"/>
      <c r="Q68" s="40"/>
      <c r="R68" s="40"/>
      <c r="S68" s="39"/>
    </row>
    <row r="69" spans="1:19" hidden="1">
      <c r="A69" s="6"/>
      <c r="B69" s="6"/>
      <c r="C69" s="6"/>
      <c r="D69" s="6"/>
      <c r="E69" s="41"/>
      <c r="F69" s="6"/>
      <c r="G69" s="40"/>
      <c r="H69" s="40"/>
      <c r="I69" s="40"/>
      <c r="J69" s="40"/>
      <c r="K69" s="40"/>
      <c r="L69" s="40"/>
      <c r="M69" s="40"/>
      <c r="N69" s="40"/>
      <c r="O69" s="40"/>
      <c r="P69" s="40"/>
      <c r="Q69" s="40"/>
      <c r="R69" s="40"/>
      <c r="S69" s="39"/>
    </row>
    <row r="70" spans="1:19" hidden="1">
      <c r="A70" s="6"/>
      <c r="B70" s="6"/>
      <c r="C70" s="6"/>
      <c r="D70" s="6"/>
      <c r="E70" s="41"/>
      <c r="F70" s="6"/>
      <c r="G70" s="40"/>
      <c r="H70" s="40"/>
      <c r="I70" s="40"/>
      <c r="J70" s="40"/>
      <c r="K70" s="40"/>
      <c r="L70" s="40"/>
      <c r="M70" s="40"/>
      <c r="N70" s="40"/>
      <c r="O70" s="40"/>
      <c r="P70" s="40"/>
      <c r="Q70" s="40"/>
      <c r="R70" s="40"/>
      <c r="S70" s="39"/>
    </row>
    <row r="71" spans="1:19" hidden="1">
      <c r="A71" s="6"/>
      <c r="B71" s="6"/>
      <c r="C71" s="6"/>
      <c r="D71" s="6"/>
      <c r="E71" s="41"/>
      <c r="F71" s="6"/>
      <c r="G71" s="40"/>
      <c r="H71" s="40"/>
      <c r="I71" s="40"/>
      <c r="J71" s="40"/>
      <c r="K71" s="40"/>
      <c r="L71" s="40"/>
      <c r="M71" s="40"/>
      <c r="N71" s="40"/>
      <c r="O71" s="40"/>
      <c r="P71" s="40"/>
      <c r="Q71" s="40"/>
      <c r="R71" s="40"/>
      <c r="S71" s="39"/>
    </row>
    <row r="72" spans="1:19" hidden="1">
      <c r="A72" s="6"/>
      <c r="B72" s="6"/>
      <c r="C72" s="6"/>
      <c r="D72" s="6"/>
      <c r="E72" s="41"/>
      <c r="F72" s="6"/>
      <c r="G72" s="40"/>
      <c r="H72" s="40"/>
      <c r="I72" s="40"/>
      <c r="J72" s="40"/>
      <c r="K72" s="40"/>
      <c r="L72" s="40"/>
      <c r="M72" s="40"/>
      <c r="N72" s="40"/>
      <c r="O72" s="40"/>
      <c r="P72" s="40"/>
      <c r="Q72" s="40"/>
      <c r="R72" s="40"/>
      <c r="S72" s="39"/>
    </row>
    <row r="73" spans="1:19" hidden="1">
      <c r="A73" s="6"/>
      <c r="B73" s="6"/>
      <c r="C73" s="6"/>
      <c r="D73" s="6"/>
      <c r="E73" s="41"/>
      <c r="F73" s="6"/>
      <c r="G73" s="40"/>
      <c r="H73" s="40"/>
      <c r="I73" s="40"/>
      <c r="J73" s="40"/>
      <c r="K73" s="40"/>
      <c r="L73" s="40"/>
      <c r="M73" s="40"/>
      <c r="N73" s="40"/>
      <c r="O73" s="40"/>
      <c r="P73" s="40"/>
      <c r="Q73" s="40"/>
      <c r="R73" s="40"/>
      <c r="S73" s="39"/>
    </row>
    <row r="74" spans="1:19" hidden="1">
      <c r="A74" s="6"/>
      <c r="B74" s="6"/>
      <c r="C74" s="6"/>
      <c r="D74" s="6"/>
      <c r="E74" s="41"/>
      <c r="F74" s="6"/>
      <c r="G74" s="40"/>
      <c r="H74" s="40"/>
      <c r="I74" s="40"/>
      <c r="J74" s="40"/>
      <c r="K74" s="40"/>
      <c r="L74" s="40"/>
      <c r="M74" s="40"/>
      <c r="N74" s="40"/>
      <c r="O74" s="40"/>
      <c r="P74" s="40"/>
      <c r="Q74" s="40"/>
      <c r="R74" s="40"/>
      <c r="S74" s="39"/>
    </row>
    <row r="75" spans="1:19" hidden="1">
      <c r="A75" s="6"/>
      <c r="B75" s="6"/>
      <c r="C75" s="6"/>
      <c r="D75" s="6"/>
      <c r="E75" s="41"/>
      <c r="F75" s="6"/>
      <c r="G75" s="40"/>
      <c r="H75" s="40"/>
      <c r="I75" s="40"/>
      <c r="J75" s="40"/>
      <c r="K75" s="40"/>
      <c r="L75" s="40"/>
      <c r="M75" s="40"/>
      <c r="N75" s="40"/>
      <c r="O75" s="40"/>
      <c r="P75" s="40"/>
      <c r="Q75" s="40"/>
      <c r="R75" s="40"/>
      <c r="S75" s="39"/>
    </row>
    <row r="76" spans="1:19" hidden="1">
      <c r="A76" s="6"/>
      <c r="B76" s="6"/>
      <c r="C76" s="6"/>
      <c r="D76" s="6"/>
      <c r="E76" s="41"/>
      <c r="F76" s="6"/>
      <c r="G76" s="40"/>
      <c r="H76" s="40"/>
      <c r="I76" s="40"/>
      <c r="J76" s="40"/>
      <c r="K76" s="40"/>
      <c r="L76" s="40"/>
      <c r="M76" s="40"/>
      <c r="N76" s="40"/>
      <c r="O76" s="40"/>
      <c r="P76" s="40"/>
      <c r="Q76" s="40"/>
      <c r="R76" s="40"/>
      <c r="S76" s="39"/>
    </row>
    <row r="77" spans="1:19" hidden="1">
      <c r="A77" s="6"/>
      <c r="B77" s="6"/>
      <c r="C77" s="6"/>
      <c r="D77" s="6"/>
      <c r="E77" s="41"/>
      <c r="F77" s="6"/>
      <c r="G77" s="40"/>
      <c r="H77" s="40"/>
      <c r="I77" s="40"/>
      <c r="J77" s="40"/>
      <c r="K77" s="40"/>
      <c r="L77" s="40"/>
      <c r="M77" s="40"/>
      <c r="N77" s="40"/>
      <c r="O77" s="40"/>
      <c r="P77" s="40"/>
      <c r="Q77" s="40"/>
      <c r="R77" s="40"/>
      <c r="S77" s="39"/>
    </row>
    <row r="78" spans="1:19" hidden="1">
      <c r="A78" s="6"/>
      <c r="B78" s="6"/>
      <c r="C78" s="6"/>
      <c r="D78" s="6"/>
      <c r="E78" s="41"/>
      <c r="F78" s="6"/>
      <c r="G78" s="40"/>
      <c r="H78" s="40"/>
      <c r="I78" s="40"/>
      <c r="J78" s="40"/>
      <c r="K78" s="40"/>
      <c r="L78" s="40"/>
      <c r="M78" s="40"/>
      <c r="N78" s="40"/>
      <c r="O78" s="40"/>
      <c r="P78" s="40"/>
      <c r="Q78" s="40"/>
      <c r="R78" s="40"/>
      <c r="S78" s="39"/>
    </row>
    <row r="79" spans="1:19" hidden="1">
      <c r="A79" s="6"/>
      <c r="B79" s="6"/>
      <c r="C79" s="6"/>
      <c r="D79" s="6"/>
      <c r="E79" s="41"/>
      <c r="F79" s="6"/>
      <c r="G79" s="40"/>
      <c r="H79" s="40"/>
      <c r="I79" s="40"/>
      <c r="J79" s="40"/>
      <c r="K79" s="40"/>
      <c r="L79" s="40"/>
      <c r="M79" s="40"/>
      <c r="N79" s="40"/>
      <c r="O79" s="40"/>
      <c r="P79" s="40"/>
      <c r="Q79" s="40"/>
      <c r="R79" s="40"/>
      <c r="S79" s="39"/>
    </row>
    <row r="80" spans="1:19" hidden="1">
      <c r="A80" s="6"/>
      <c r="B80" s="6"/>
      <c r="C80" s="6"/>
      <c r="D80" s="6"/>
      <c r="E80" s="41"/>
      <c r="F80" s="6"/>
      <c r="G80" s="40"/>
      <c r="H80" s="40"/>
      <c r="I80" s="40"/>
      <c r="J80" s="40"/>
      <c r="K80" s="40"/>
      <c r="L80" s="40"/>
      <c r="M80" s="40"/>
      <c r="N80" s="40"/>
      <c r="O80" s="40"/>
      <c r="P80" s="40"/>
      <c r="Q80" s="40"/>
      <c r="R80" s="40"/>
      <c r="S80" s="39"/>
    </row>
    <row r="81" spans="1:19" hidden="1">
      <c r="A81" s="6"/>
      <c r="B81" s="6"/>
      <c r="C81" s="6"/>
      <c r="D81" s="6"/>
      <c r="E81" s="41"/>
      <c r="F81" s="6"/>
      <c r="G81" s="40"/>
      <c r="H81" s="40"/>
      <c r="I81" s="40"/>
      <c r="J81" s="40"/>
      <c r="K81" s="40"/>
      <c r="L81" s="40"/>
      <c r="M81" s="40"/>
      <c r="N81" s="40"/>
      <c r="O81" s="40"/>
      <c r="P81" s="40"/>
      <c r="Q81" s="40"/>
      <c r="R81" s="40"/>
      <c r="S81" s="39"/>
    </row>
    <row r="82" spans="1:19" hidden="1">
      <c r="A82" s="6"/>
      <c r="B82" s="6"/>
      <c r="C82" s="6"/>
      <c r="D82" s="6"/>
      <c r="E82" s="41"/>
      <c r="F82" s="6"/>
      <c r="G82" s="40"/>
      <c r="H82" s="40"/>
      <c r="I82" s="40"/>
      <c r="J82" s="40"/>
      <c r="K82" s="40"/>
      <c r="L82" s="40"/>
      <c r="M82" s="40"/>
      <c r="N82" s="40"/>
      <c r="O82" s="40"/>
      <c r="P82" s="40"/>
      <c r="Q82" s="40"/>
      <c r="R82" s="40"/>
      <c r="S82" s="39"/>
    </row>
    <row r="83" spans="1:19" hidden="1">
      <c r="A83" s="6"/>
      <c r="B83" s="6"/>
      <c r="C83" s="6"/>
      <c r="D83" s="6"/>
      <c r="E83" s="41"/>
      <c r="F83" s="6"/>
      <c r="G83" s="40"/>
      <c r="H83" s="40"/>
      <c r="I83" s="40"/>
      <c r="J83" s="40"/>
      <c r="K83" s="40"/>
      <c r="L83" s="40"/>
      <c r="M83" s="40"/>
      <c r="N83" s="40"/>
      <c r="O83" s="40"/>
      <c r="P83" s="40"/>
      <c r="Q83" s="40"/>
      <c r="R83" s="40"/>
      <c r="S83" s="39"/>
    </row>
    <row r="84" spans="1:19" hidden="1">
      <c r="A84" s="6"/>
      <c r="B84" s="6"/>
      <c r="C84" s="6"/>
      <c r="D84" s="6"/>
      <c r="E84" s="41"/>
      <c r="F84" s="6"/>
      <c r="G84" s="40"/>
      <c r="H84" s="40"/>
      <c r="I84" s="40"/>
      <c r="J84" s="40"/>
      <c r="K84" s="40"/>
      <c r="L84" s="40"/>
      <c r="M84" s="40"/>
      <c r="N84" s="40"/>
      <c r="O84" s="40"/>
      <c r="P84" s="40"/>
      <c r="Q84" s="40"/>
      <c r="R84" s="40"/>
      <c r="S84" s="39"/>
    </row>
    <row r="85" spans="1:19" hidden="1">
      <c r="A85" s="6"/>
      <c r="B85" s="6"/>
      <c r="C85" s="6"/>
      <c r="D85" s="6"/>
      <c r="E85" s="41"/>
      <c r="F85" s="6"/>
      <c r="G85" s="40"/>
      <c r="H85" s="40"/>
      <c r="I85" s="40"/>
      <c r="J85" s="40"/>
      <c r="K85" s="40"/>
      <c r="L85" s="40"/>
      <c r="M85" s="40"/>
      <c r="N85" s="40"/>
      <c r="O85" s="40"/>
      <c r="P85" s="40"/>
      <c r="Q85" s="40"/>
      <c r="R85" s="40"/>
      <c r="S85" s="39"/>
    </row>
    <row r="86" spans="1:19" hidden="1">
      <c r="A86" s="6"/>
      <c r="B86" s="6"/>
      <c r="C86" s="6"/>
      <c r="D86" s="6"/>
      <c r="E86" s="41"/>
      <c r="F86" s="6"/>
      <c r="G86" s="40"/>
      <c r="H86" s="40"/>
      <c r="I86" s="40"/>
      <c r="J86" s="40"/>
      <c r="K86" s="40"/>
      <c r="L86" s="40"/>
      <c r="M86" s="40"/>
      <c r="N86" s="40"/>
      <c r="O86" s="40"/>
      <c r="P86" s="40"/>
      <c r="Q86" s="40"/>
      <c r="R86" s="40"/>
      <c r="S86" s="39"/>
    </row>
    <row r="87" spans="1:19" hidden="1">
      <c r="A87" s="6"/>
      <c r="B87" s="6"/>
      <c r="C87" s="6"/>
      <c r="D87" s="6"/>
      <c r="E87" s="41"/>
      <c r="F87" s="6"/>
      <c r="G87" s="40"/>
      <c r="H87" s="40"/>
      <c r="I87" s="40"/>
      <c r="J87" s="40"/>
      <c r="K87" s="40"/>
      <c r="L87" s="40"/>
      <c r="M87" s="40"/>
      <c r="N87" s="40"/>
      <c r="O87" s="40"/>
      <c r="P87" s="40"/>
      <c r="Q87" s="40"/>
      <c r="R87" s="40"/>
      <c r="S87" s="39"/>
    </row>
    <row r="88" spans="1:19" hidden="1">
      <c r="A88" s="6"/>
      <c r="B88" s="6"/>
      <c r="C88" s="6"/>
      <c r="D88" s="6"/>
      <c r="E88" s="41"/>
      <c r="F88" s="6"/>
      <c r="G88" s="40"/>
      <c r="H88" s="40"/>
      <c r="I88" s="40"/>
      <c r="J88" s="40"/>
      <c r="K88" s="40"/>
      <c r="L88" s="40"/>
      <c r="M88" s="40"/>
      <c r="N88" s="40"/>
      <c r="O88" s="40"/>
      <c r="P88" s="40"/>
      <c r="Q88" s="40"/>
      <c r="R88" s="40"/>
      <c r="S88" s="39"/>
    </row>
    <row r="89" spans="1:19" hidden="1">
      <c r="A89" s="6"/>
      <c r="B89" s="6"/>
      <c r="C89" s="6"/>
      <c r="D89" s="6"/>
      <c r="E89" s="41"/>
      <c r="F89" s="6"/>
      <c r="G89" s="40"/>
      <c r="H89" s="40"/>
      <c r="I89" s="40"/>
      <c r="J89" s="40"/>
      <c r="K89" s="40"/>
      <c r="L89" s="40"/>
      <c r="M89" s="40"/>
      <c r="N89" s="40"/>
      <c r="O89" s="40"/>
      <c r="P89" s="40"/>
      <c r="Q89" s="40"/>
      <c r="R89" s="40"/>
      <c r="S89" s="39"/>
    </row>
    <row r="90" spans="1:19" hidden="1">
      <c r="A90" s="6"/>
      <c r="B90" s="6"/>
      <c r="C90" s="6"/>
      <c r="D90" s="6"/>
      <c r="E90" s="41"/>
      <c r="F90" s="6"/>
      <c r="G90" s="40"/>
      <c r="H90" s="40"/>
      <c r="I90" s="40"/>
      <c r="J90" s="40"/>
      <c r="K90" s="40"/>
      <c r="L90" s="40"/>
      <c r="M90" s="40"/>
      <c r="N90" s="40"/>
      <c r="O90" s="40"/>
      <c r="P90" s="40"/>
      <c r="Q90" s="40"/>
      <c r="R90" s="40"/>
      <c r="S90" s="39"/>
    </row>
    <row r="91" spans="1:19" hidden="1">
      <c r="A91" s="6"/>
      <c r="B91" s="6"/>
      <c r="C91" s="6"/>
      <c r="D91" s="6"/>
      <c r="E91" s="41"/>
      <c r="F91" s="6"/>
      <c r="G91" s="40"/>
      <c r="H91" s="40"/>
      <c r="I91" s="40"/>
      <c r="J91" s="40"/>
      <c r="K91" s="40"/>
      <c r="L91" s="40"/>
      <c r="M91" s="40"/>
      <c r="N91" s="40"/>
      <c r="O91" s="40"/>
      <c r="P91" s="40"/>
      <c r="Q91" s="40"/>
      <c r="R91" s="40"/>
      <c r="S91" s="39"/>
    </row>
    <row r="92" spans="1:19" hidden="1">
      <c r="A92" s="6"/>
      <c r="B92" s="6"/>
      <c r="C92" s="6"/>
      <c r="D92" s="6"/>
      <c r="E92" s="41"/>
      <c r="F92" s="6"/>
      <c r="G92" s="40"/>
      <c r="H92" s="40"/>
      <c r="I92" s="40"/>
      <c r="J92" s="40"/>
      <c r="K92" s="40"/>
      <c r="L92" s="40"/>
      <c r="M92" s="40"/>
      <c r="N92" s="40"/>
      <c r="O92" s="40"/>
      <c r="P92" s="40"/>
      <c r="Q92" s="40"/>
      <c r="R92" s="40"/>
      <c r="S92" s="39"/>
    </row>
    <row r="93" spans="1:19" hidden="1">
      <c r="A93" s="6"/>
      <c r="B93" s="6"/>
      <c r="C93" s="6"/>
      <c r="D93" s="6"/>
      <c r="E93" s="41"/>
      <c r="F93" s="6"/>
      <c r="G93" s="40"/>
      <c r="H93" s="40"/>
      <c r="I93" s="40"/>
      <c r="J93" s="40"/>
      <c r="K93" s="40"/>
      <c r="L93" s="40"/>
      <c r="M93" s="40"/>
      <c r="N93" s="40"/>
      <c r="O93" s="40"/>
      <c r="P93" s="40"/>
      <c r="Q93" s="40"/>
      <c r="R93" s="40"/>
      <c r="S93" s="39"/>
    </row>
    <row r="94" spans="1:19" hidden="1">
      <c r="A94" s="6"/>
      <c r="B94" s="6"/>
      <c r="C94" s="6"/>
      <c r="D94" s="6"/>
      <c r="E94" s="41"/>
      <c r="F94" s="6"/>
      <c r="G94" s="40"/>
      <c r="H94" s="40"/>
      <c r="I94" s="40"/>
      <c r="J94" s="40"/>
      <c r="K94" s="40"/>
      <c r="L94" s="40"/>
      <c r="M94" s="40"/>
      <c r="N94" s="40"/>
      <c r="O94" s="40"/>
      <c r="P94" s="40"/>
      <c r="Q94" s="40"/>
      <c r="R94" s="40"/>
      <c r="S94" s="39"/>
    </row>
    <row r="95" spans="1:19" hidden="1">
      <c r="A95" s="6"/>
      <c r="B95" s="6"/>
      <c r="C95" s="6"/>
      <c r="D95" s="6"/>
      <c r="E95" s="41"/>
      <c r="F95" s="6"/>
      <c r="G95" s="40"/>
      <c r="H95" s="40"/>
      <c r="I95" s="40"/>
      <c r="J95" s="40"/>
      <c r="K95" s="40"/>
      <c r="L95" s="40"/>
      <c r="M95" s="40"/>
      <c r="N95" s="40"/>
      <c r="O95" s="40"/>
      <c r="P95" s="40"/>
      <c r="Q95" s="40"/>
      <c r="R95" s="40"/>
      <c r="S95" s="39"/>
    </row>
    <row r="96" spans="1:19" hidden="1">
      <c r="A96" s="6"/>
      <c r="B96" s="6"/>
      <c r="C96" s="6"/>
      <c r="D96" s="6"/>
      <c r="E96" s="41"/>
      <c r="F96" s="6"/>
      <c r="G96" s="40"/>
      <c r="H96" s="40"/>
      <c r="I96" s="40"/>
      <c r="J96" s="40"/>
      <c r="K96" s="40"/>
      <c r="L96" s="40"/>
      <c r="M96" s="40"/>
      <c r="N96" s="40"/>
      <c r="O96" s="40"/>
      <c r="P96" s="40"/>
      <c r="Q96" s="40"/>
      <c r="R96" s="40"/>
      <c r="S96" s="39"/>
    </row>
    <row r="97" spans="1:19" hidden="1">
      <c r="A97" s="6"/>
      <c r="B97" s="6"/>
      <c r="C97" s="6"/>
      <c r="D97" s="6"/>
      <c r="E97" s="41"/>
      <c r="F97" s="6"/>
      <c r="G97" s="40"/>
      <c r="H97" s="40"/>
      <c r="I97" s="40"/>
      <c r="J97" s="40"/>
      <c r="K97" s="40"/>
      <c r="L97" s="40"/>
      <c r="M97" s="40"/>
      <c r="N97" s="40"/>
      <c r="O97" s="40"/>
      <c r="P97" s="40"/>
      <c r="Q97" s="40"/>
      <c r="R97" s="40"/>
      <c r="S97" s="39"/>
    </row>
    <row r="98" spans="1:19" hidden="1">
      <c r="A98" s="6"/>
      <c r="B98" s="6"/>
      <c r="C98" s="6"/>
      <c r="D98" s="6"/>
      <c r="E98" s="41"/>
      <c r="F98" s="6"/>
      <c r="G98" s="40"/>
      <c r="H98" s="40"/>
      <c r="I98" s="40"/>
      <c r="J98" s="40"/>
      <c r="K98" s="40"/>
      <c r="L98" s="40"/>
      <c r="M98" s="40"/>
      <c r="N98" s="40"/>
      <c r="O98" s="40"/>
      <c r="P98" s="40"/>
      <c r="Q98" s="40"/>
      <c r="R98" s="40"/>
      <c r="S98" s="39"/>
    </row>
    <row r="99" spans="1:19" hidden="1">
      <c r="A99" s="6"/>
      <c r="B99" s="6"/>
      <c r="C99" s="6"/>
      <c r="D99" s="6"/>
      <c r="E99" s="41"/>
      <c r="F99" s="6"/>
      <c r="G99" s="40"/>
      <c r="H99" s="40"/>
      <c r="I99" s="40"/>
      <c r="J99" s="40"/>
      <c r="K99" s="40"/>
      <c r="L99" s="40"/>
      <c r="M99" s="40"/>
      <c r="N99" s="40"/>
      <c r="O99" s="40"/>
      <c r="P99" s="40"/>
      <c r="Q99" s="40"/>
      <c r="R99" s="40"/>
      <c r="S99" s="39"/>
    </row>
    <row r="100" spans="1:19" hidden="1">
      <c r="A100" s="6"/>
      <c r="B100" s="6"/>
      <c r="C100" s="6"/>
      <c r="D100" s="6"/>
      <c r="E100" s="41"/>
      <c r="F100" s="6"/>
      <c r="G100" s="40"/>
      <c r="H100" s="40"/>
      <c r="I100" s="40"/>
      <c r="J100" s="40"/>
      <c r="K100" s="40"/>
      <c r="L100" s="40"/>
      <c r="M100" s="40"/>
      <c r="N100" s="40"/>
      <c r="O100" s="40"/>
      <c r="P100" s="40"/>
      <c r="Q100" s="40"/>
      <c r="R100" s="40"/>
      <c r="S100" s="39"/>
    </row>
    <row r="101" spans="1:19" hidden="1">
      <c r="A101" s="6"/>
      <c r="B101" s="6"/>
      <c r="C101" s="6"/>
      <c r="D101" s="6"/>
      <c r="E101" s="41"/>
      <c r="F101" s="6"/>
      <c r="G101" s="40"/>
      <c r="H101" s="40"/>
      <c r="I101" s="40"/>
      <c r="J101" s="40"/>
      <c r="K101" s="40"/>
      <c r="L101" s="40"/>
      <c r="M101" s="40"/>
      <c r="N101" s="40"/>
      <c r="O101" s="40"/>
      <c r="P101" s="40"/>
      <c r="Q101" s="40"/>
      <c r="R101" s="40"/>
      <c r="S101" s="39"/>
    </row>
    <row r="102" spans="1:19" hidden="1">
      <c r="A102" s="6"/>
      <c r="B102" s="6"/>
      <c r="C102" s="6"/>
      <c r="D102" s="6"/>
      <c r="E102" s="41"/>
      <c r="F102" s="6"/>
      <c r="G102" s="40"/>
      <c r="H102" s="40"/>
      <c r="I102" s="40"/>
      <c r="J102" s="40"/>
      <c r="K102" s="40"/>
      <c r="L102" s="40"/>
      <c r="M102" s="40"/>
      <c r="N102" s="40"/>
      <c r="O102" s="40"/>
      <c r="P102" s="40"/>
      <c r="Q102" s="40"/>
      <c r="R102" s="40"/>
      <c r="S102" s="39"/>
    </row>
    <row r="103" spans="1:19" hidden="1">
      <c r="A103" s="6"/>
      <c r="B103" s="6"/>
      <c r="C103" s="6"/>
      <c r="D103" s="6"/>
      <c r="E103" s="41"/>
      <c r="F103" s="6"/>
      <c r="G103" s="40"/>
      <c r="H103" s="40"/>
      <c r="I103" s="40"/>
      <c r="J103" s="40"/>
      <c r="K103" s="40"/>
      <c r="L103" s="40"/>
      <c r="M103" s="40"/>
      <c r="N103" s="40"/>
      <c r="O103" s="40"/>
      <c r="P103" s="40"/>
      <c r="Q103" s="40"/>
      <c r="R103" s="40"/>
      <c r="S103" s="39"/>
    </row>
    <row r="104" spans="1:19" hidden="1">
      <c r="A104" s="6"/>
      <c r="B104" s="6"/>
      <c r="C104" s="6"/>
      <c r="D104" s="6"/>
      <c r="E104" s="41"/>
      <c r="F104" s="6"/>
      <c r="G104" s="40"/>
      <c r="H104" s="40"/>
      <c r="I104" s="40"/>
      <c r="J104" s="40"/>
      <c r="K104" s="40"/>
      <c r="L104" s="40"/>
      <c r="M104" s="40"/>
      <c r="N104" s="40"/>
      <c r="O104" s="40"/>
      <c r="P104" s="40"/>
      <c r="Q104" s="40"/>
      <c r="R104" s="40"/>
      <c r="S104" s="39"/>
    </row>
    <row r="105" spans="1:19" hidden="1">
      <c r="A105" s="6"/>
      <c r="B105" s="6"/>
      <c r="C105" s="6"/>
      <c r="D105" s="6"/>
      <c r="E105" s="41"/>
      <c r="F105" s="6"/>
      <c r="G105" s="40"/>
      <c r="H105" s="40"/>
      <c r="I105" s="40"/>
      <c r="J105" s="40"/>
      <c r="K105" s="40"/>
      <c r="L105" s="40"/>
      <c r="M105" s="40"/>
      <c r="N105" s="40"/>
      <c r="O105" s="40"/>
      <c r="P105" s="40"/>
      <c r="Q105" s="40"/>
      <c r="R105" s="40"/>
      <c r="S105" s="39"/>
    </row>
    <row r="106" spans="1:19" hidden="1">
      <c r="A106" s="6"/>
      <c r="B106" s="6"/>
      <c r="C106" s="6"/>
      <c r="D106" s="6"/>
      <c r="E106" s="41"/>
      <c r="F106" s="6"/>
      <c r="G106" s="40"/>
      <c r="H106" s="40"/>
      <c r="I106" s="40"/>
      <c r="J106" s="40"/>
      <c r="K106" s="40"/>
      <c r="L106" s="40"/>
      <c r="M106" s="40"/>
      <c r="N106" s="40"/>
      <c r="O106" s="40"/>
      <c r="P106" s="40"/>
      <c r="Q106" s="40"/>
      <c r="R106" s="40"/>
      <c r="S106" s="39"/>
    </row>
    <row r="107" spans="1:19" hidden="1">
      <c r="A107" s="6"/>
      <c r="B107" s="6"/>
      <c r="C107" s="6"/>
      <c r="D107" s="6"/>
      <c r="E107" s="41"/>
      <c r="F107" s="6"/>
      <c r="G107" s="40"/>
      <c r="H107" s="40"/>
      <c r="I107" s="40"/>
      <c r="J107" s="40"/>
      <c r="K107" s="40"/>
      <c r="L107" s="40"/>
      <c r="M107" s="40"/>
      <c r="N107" s="40"/>
      <c r="O107" s="40"/>
      <c r="P107" s="40"/>
      <c r="Q107" s="40"/>
      <c r="R107" s="40"/>
      <c r="S107" s="39"/>
    </row>
    <row r="108" spans="1:19" hidden="1">
      <c r="A108" s="6"/>
      <c r="B108" s="6"/>
      <c r="C108" s="6"/>
      <c r="D108" s="6"/>
      <c r="E108" s="41"/>
      <c r="F108" s="6"/>
      <c r="G108" s="40"/>
      <c r="H108" s="40"/>
      <c r="I108" s="40"/>
      <c r="J108" s="40"/>
      <c r="K108" s="40"/>
      <c r="L108" s="40"/>
      <c r="M108" s="40"/>
      <c r="N108" s="40"/>
      <c r="O108" s="40"/>
      <c r="P108" s="40"/>
      <c r="Q108" s="40"/>
      <c r="R108" s="40"/>
      <c r="S108" s="39"/>
    </row>
    <row r="109" spans="1:19" hidden="1">
      <c r="A109" s="6"/>
      <c r="B109" s="6"/>
      <c r="C109" s="6"/>
      <c r="D109" s="6"/>
      <c r="E109" s="41"/>
      <c r="F109" s="6"/>
      <c r="G109" s="40"/>
      <c r="H109" s="40"/>
      <c r="I109" s="40"/>
      <c r="J109" s="40"/>
      <c r="K109" s="40"/>
      <c r="L109" s="40"/>
      <c r="M109" s="40"/>
      <c r="N109" s="40"/>
      <c r="O109" s="40"/>
      <c r="P109" s="40"/>
      <c r="Q109" s="40"/>
      <c r="R109" s="40"/>
      <c r="S109" s="39"/>
    </row>
    <row r="110" spans="1:19" hidden="1">
      <c r="A110" s="6"/>
      <c r="B110" s="6"/>
      <c r="C110" s="6"/>
      <c r="D110" s="6"/>
      <c r="E110" s="41"/>
      <c r="F110" s="6"/>
      <c r="G110" s="40"/>
      <c r="H110" s="40"/>
      <c r="I110" s="40"/>
      <c r="J110" s="40"/>
      <c r="K110" s="40"/>
      <c r="L110" s="40"/>
      <c r="M110" s="40"/>
      <c r="N110" s="40"/>
      <c r="O110" s="40"/>
      <c r="P110" s="40"/>
      <c r="Q110" s="40"/>
      <c r="R110" s="40"/>
      <c r="S110" s="39"/>
    </row>
    <row r="111" spans="1:19" hidden="1">
      <c r="A111" s="6"/>
      <c r="B111" s="6"/>
      <c r="C111" s="6"/>
      <c r="D111" s="6"/>
      <c r="E111" s="41"/>
      <c r="F111" s="6"/>
      <c r="G111" s="40"/>
      <c r="H111" s="40"/>
      <c r="I111" s="40"/>
      <c r="J111" s="40"/>
      <c r="K111" s="40"/>
      <c r="L111" s="40"/>
      <c r="M111" s="40"/>
      <c r="N111" s="40"/>
      <c r="O111" s="40"/>
      <c r="P111" s="40"/>
      <c r="Q111" s="40"/>
      <c r="R111" s="40"/>
      <c r="S111" s="39"/>
    </row>
    <row r="112" spans="1:19" hidden="1">
      <c r="A112" s="6"/>
      <c r="B112" s="6"/>
      <c r="C112" s="6"/>
      <c r="D112" s="6"/>
      <c r="E112" s="41"/>
      <c r="F112" s="6"/>
      <c r="G112" s="40"/>
      <c r="H112" s="40"/>
      <c r="I112" s="40"/>
      <c r="J112" s="40"/>
      <c r="K112" s="40"/>
      <c r="L112" s="40"/>
      <c r="M112" s="40"/>
      <c r="N112" s="40"/>
      <c r="O112" s="40"/>
      <c r="P112" s="40"/>
      <c r="Q112" s="40"/>
      <c r="R112" s="40"/>
      <c r="S112" s="39"/>
    </row>
    <row r="113" spans="1:19" hidden="1">
      <c r="A113" s="6"/>
      <c r="B113" s="6"/>
      <c r="C113" s="6"/>
      <c r="D113" s="6"/>
      <c r="E113" s="41"/>
      <c r="F113" s="6"/>
      <c r="G113" s="40"/>
      <c r="H113" s="40"/>
      <c r="I113" s="40"/>
      <c r="J113" s="40"/>
      <c r="K113" s="40"/>
      <c r="L113" s="40"/>
      <c r="M113" s="40"/>
      <c r="N113" s="40"/>
      <c r="O113" s="40"/>
      <c r="P113" s="40"/>
      <c r="Q113" s="40"/>
      <c r="R113" s="40"/>
      <c r="S113" s="39"/>
    </row>
    <row r="114" spans="1:19" hidden="1">
      <c r="A114" s="6"/>
      <c r="B114" s="6"/>
      <c r="C114" s="6"/>
      <c r="D114" s="6"/>
      <c r="E114" s="41"/>
      <c r="F114" s="6"/>
      <c r="G114" s="40"/>
      <c r="H114" s="40"/>
      <c r="I114" s="40"/>
      <c r="J114" s="40"/>
      <c r="K114" s="40"/>
      <c r="L114" s="40"/>
      <c r="M114" s="40"/>
      <c r="N114" s="40"/>
      <c r="O114" s="40"/>
      <c r="P114" s="40"/>
      <c r="Q114" s="40"/>
      <c r="R114" s="40"/>
      <c r="S114" s="39"/>
    </row>
    <row r="115" spans="1:19" hidden="1">
      <c r="A115" s="6"/>
      <c r="B115" s="6"/>
      <c r="C115" s="6"/>
      <c r="D115" s="6"/>
      <c r="E115" s="41"/>
      <c r="F115" s="6"/>
      <c r="G115" s="40"/>
      <c r="H115" s="40"/>
      <c r="I115" s="40"/>
      <c r="J115" s="40"/>
      <c r="K115" s="40"/>
      <c r="L115" s="40"/>
      <c r="M115" s="40"/>
      <c r="N115" s="40"/>
      <c r="O115" s="40"/>
      <c r="P115" s="40"/>
      <c r="Q115" s="40"/>
      <c r="R115" s="40"/>
      <c r="S115" s="39"/>
    </row>
    <row r="116" spans="1:19" hidden="1">
      <c r="A116" s="6"/>
      <c r="B116" s="6"/>
      <c r="C116" s="6"/>
      <c r="D116" s="6"/>
      <c r="E116" s="41"/>
      <c r="F116" s="6"/>
      <c r="G116" s="40"/>
      <c r="H116" s="40"/>
      <c r="I116" s="40"/>
      <c r="J116" s="40"/>
      <c r="K116" s="40"/>
      <c r="L116" s="40"/>
      <c r="M116" s="40"/>
      <c r="N116" s="40"/>
      <c r="O116" s="40"/>
      <c r="P116" s="40"/>
      <c r="Q116" s="40"/>
      <c r="R116" s="40"/>
      <c r="S116" s="39"/>
    </row>
    <row r="117" spans="1:19" hidden="1">
      <c r="A117" s="6"/>
      <c r="B117" s="6"/>
      <c r="C117" s="6"/>
      <c r="D117" s="6"/>
      <c r="E117" s="41"/>
      <c r="F117" s="6"/>
      <c r="G117" s="40"/>
      <c r="H117" s="40"/>
      <c r="I117" s="40"/>
      <c r="J117" s="40"/>
      <c r="K117" s="40"/>
      <c r="L117" s="40"/>
      <c r="M117" s="40"/>
      <c r="N117" s="40"/>
      <c r="O117" s="40"/>
      <c r="P117" s="40"/>
      <c r="Q117" s="40"/>
      <c r="R117" s="40"/>
      <c r="S117" s="39"/>
    </row>
    <row r="118" spans="1:19" hidden="1">
      <c r="A118" s="6"/>
      <c r="B118" s="6"/>
      <c r="C118" s="6"/>
      <c r="D118" s="6"/>
      <c r="E118" s="41"/>
      <c r="F118" s="6"/>
      <c r="G118" s="40"/>
      <c r="H118" s="40"/>
      <c r="I118" s="40"/>
      <c r="J118" s="40"/>
      <c r="K118" s="40"/>
      <c r="L118" s="40"/>
      <c r="M118" s="40"/>
      <c r="N118" s="40"/>
      <c r="O118" s="40"/>
      <c r="P118" s="40"/>
      <c r="Q118" s="40"/>
      <c r="R118" s="40"/>
      <c r="S118" s="39"/>
    </row>
    <row r="119" spans="1:19" hidden="1">
      <c r="A119" s="6"/>
      <c r="B119" s="6"/>
      <c r="C119" s="6"/>
      <c r="D119" s="6"/>
      <c r="E119" s="41"/>
      <c r="F119" s="6"/>
      <c r="G119" s="40"/>
      <c r="H119" s="40"/>
      <c r="I119" s="40"/>
      <c r="J119" s="40"/>
      <c r="K119" s="40"/>
      <c r="L119" s="40"/>
      <c r="M119" s="40"/>
      <c r="N119" s="40"/>
      <c r="O119" s="40"/>
      <c r="P119" s="40"/>
      <c r="Q119" s="40"/>
      <c r="R119" s="40"/>
      <c r="S119" s="39"/>
    </row>
    <row r="120" spans="1:19" hidden="1">
      <c r="A120" s="6"/>
      <c r="B120" s="6"/>
      <c r="C120" s="6"/>
      <c r="D120" s="6"/>
      <c r="E120" s="41"/>
      <c r="F120" s="6"/>
      <c r="G120" s="40"/>
      <c r="H120" s="40"/>
      <c r="I120" s="40"/>
      <c r="J120" s="40"/>
      <c r="K120" s="40"/>
      <c r="L120" s="40"/>
      <c r="M120" s="40"/>
      <c r="N120" s="40"/>
      <c r="O120" s="40"/>
      <c r="P120" s="40"/>
      <c r="Q120" s="40"/>
      <c r="R120" s="40"/>
      <c r="S120" s="39"/>
    </row>
    <row r="121" spans="1:19" hidden="1">
      <c r="A121" s="6"/>
      <c r="B121" s="6"/>
      <c r="C121" s="6"/>
      <c r="D121" s="6"/>
      <c r="E121" s="41"/>
      <c r="F121" s="6"/>
      <c r="G121" s="40"/>
      <c r="H121" s="40"/>
      <c r="I121" s="40"/>
      <c r="J121" s="40"/>
      <c r="K121" s="40"/>
      <c r="L121" s="40"/>
      <c r="M121" s="40"/>
      <c r="N121" s="40"/>
      <c r="O121" s="40"/>
      <c r="P121" s="40"/>
      <c r="Q121" s="40"/>
      <c r="R121" s="40"/>
      <c r="S121" s="39"/>
    </row>
    <row r="122" spans="1:19" hidden="1">
      <c r="A122" s="6"/>
      <c r="B122" s="6"/>
      <c r="C122" s="6"/>
      <c r="D122" s="6"/>
      <c r="E122" s="41"/>
      <c r="F122" s="6"/>
      <c r="G122" s="40"/>
      <c r="H122" s="40"/>
      <c r="I122" s="40"/>
      <c r="J122" s="40"/>
      <c r="K122" s="40"/>
      <c r="L122" s="40"/>
      <c r="M122" s="40"/>
      <c r="N122" s="40"/>
      <c r="O122" s="40"/>
      <c r="P122" s="40"/>
      <c r="Q122" s="40"/>
      <c r="R122" s="40"/>
      <c r="S122" s="39"/>
    </row>
    <row r="123" spans="1:19" hidden="1">
      <c r="A123" s="6"/>
      <c r="B123" s="6"/>
      <c r="C123" s="6"/>
      <c r="D123" s="6"/>
      <c r="E123" s="41"/>
      <c r="F123" s="6"/>
      <c r="G123" s="40"/>
      <c r="H123" s="40"/>
      <c r="I123" s="40"/>
      <c r="J123" s="40"/>
      <c r="K123" s="40"/>
      <c r="L123" s="40"/>
      <c r="M123" s="40"/>
      <c r="N123" s="40"/>
      <c r="O123" s="40"/>
      <c r="P123" s="40"/>
      <c r="Q123" s="40"/>
      <c r="R123" s="40"/>
      <c r="S123" s="39"/>
    </row>
    <row r="124" spans="1:19" hidden="1">
      <c r="A124" s="6"/>
      <c r="B124" s="6"/>
      <c r="C124" s="6"/>
      <c r="D124" s="6"/>
      <c r="E124" s="41"/>
      <c r="F124" s="6"/>
      <c r="G124" s="40"/>
      <c r="H124" s="40"/>
      <c r="I124" s="40"/>
      <c r="J124" s="40"/>
      <c r="K124" s="40"/>
      <c r="L124" s="40"/>
      <c r="M124" s="40"/>
      <c r="N124" s="40"/>
      <c r="O124" s="40"/>
      <c r="P124" s="40"/>
      <c r="Q124" s="40"/>
      <c r="R124" s="40"/>
      <c r="S124" s="39"/>
    </row>
    <row r="125" spans="1:19" hidden="1">
      <c r="A125" s="6"/>
      <c r="B125" s="6"/>
      <c r="C125" s="6"/>
      <c r="D125" s="6"/>
      <c r="E125" s="41"/>
      <c r="F125" s="6"/>
      <c r="G125" s="40"/>
      <c r="H125" s="40"/>
      <c r="I125" s="40"/>
      <c r="J125" s="40"/>
      <c r="K125" s="40"/>
      <c r="L125" s="40"/>
      <c r="M125" s="40"/>
      <c r="N125" s="40"/>
      <c r="O125" s="40"/>
      <c r="P125" s="40"/>
      <c r="Q125" s="40"/>
      <c r="R125" s="40"/>
      <c r="S125" s="39"/>
    </row>
    <row r="126" spans="1:19" hidden="1">
      <c r="A126" s="6"/>
      <c r="B126" s="6"/>
      <c r="C126" s="6"/>
      <c r="D126" s="6"/>
      <c r="E126" s="41"/>
      <c r="F126" s="6"/>
      <c r="G126" s="40"/>
      <c r="H126" s="40"/>
      <c r="I126" s="40"/>
      <c r="J126" s="40"/>
      <c r="K126" s="40"/>
      <c r="L126" s="40"/>
      <c r="M126" s="40"/>
      <c r="N126" s="40"/>
      <c r="O126" s="40"/>
      <c r="P126" s="40"/>
      <c r="Q126" s="40"/>
      <c r="R126" s="40"/>
      <c r="S126" s="39"/>
    </row>
    <row r="127" spans="1:19" hidden="1">
      <c r="A127" s="6"/>
      <c r="B127" s="6"/>
      <c r="C127" s="6"/>
      <c r="D127" s="6"/>
      <c r="E127" s="41"/>
      <c r="F127" s="6"/>
      <c r="G127" s="40"/>
      <c r="H127" s="40"/>
      <c r="I127" s="40"/>
      <c r="J127" s="40"/>
      <c r="K127" s="40"/>
      <c r="L127" s="40"/>
      <c r="M127" s="40"/>
      <c r="N127" s="40"/>
      <c r="O127" s="40"/>
      <c r="P127" s="40"/>
      <c r="Q127" s="40"/>
      <c r="R127" s="40"/>
      <c r="S127" s="39"/>
    </row>
    <row r="128" spans="1:19" hidden="1">
      <c r="A128" s="6"/>
      <c r="B128" s="6"/>
      <c r="C128" s="6"/>
      <c r="D128" s="6"/>
      <c r="E128" s="41"/>
      <c r="F128" s="6"/>
      <c r="G128" s="40"/>
      <c r="H128" s="40"/>
      <c r="I128" s="40"/>
      <c r="J128" s="40"/>
      <c r="K128" s="40"/>
      <c r="L128" s="40"/>
      <c r="M128" s="40"/>
      <c r="N128" s="40"/>
      <c r="O128" s="40"/>
      <c r="P128" s="40"/>
      <c r="Q128" s="40"/>
      <c r="R128" s="40"/>
      <c r="S128" s="39"/>
    </row>
    <row r="129" spans="1:19" hidden="1">
      <c r="A129" s="6"/>
      <c r="B129" s="6"/>
      <c r="C129" s="6"/>
      <c r="D129" s="6"/>
      <c r="E129" s="41"/>
      <c r="F129" s="6"/>
      <c r="G129" s="40"/>
      <c r="H129" s="40"/>
      <c r="I129" s="40"/>
      <c r="J129" s="40"/>
      <c r="K129" s="40"/>
      <c r="L129" s="40"/>
      <c r="M129" s="40"/>
      <c r="N129" s="40"/>
      <c r="O129" s="40"/>
      <c r="P129" s="40"/>
      <c r="Q129" s="40"/>
      <c r="R129" s="40"/>
      <c r="S129" s="39"/>
    </row>
    <row r="130" spans="1:19" hidden="1">
      <c r="A130" s="6"/>
      <c r="B130" s="6"/>
      <c r="C130" s="6"/>
      <c r="D130" s="6"/>
      <c r="E130" s="41"/>
      <c r="F130" s="6"/>
      <c r="G130" s="40"/>
      <c r="H130" s="40"/>
      <c r="I130" s="40"/>
      <c r="J130" s="40"/>
      <c r="K130" s="40"/>
      <c r="L130" s="40"/>
      <c r="M130" s="40"/>
      <c r="N130" s="40"/>
      <c r="O130" s="40"/>
      <c r="P130" s="40"/>
      <c r="Q130" s="40"/>
      <c r="R130" s="40"/>
      <c r="S130" s="39"/>
    </row>
    <row r="131" spans="1:19" hidden="1">
      <c r="A131" s="6"/>
      <c r="B131" s="6"/>
      <c r="C131" s="6"/>
      <c r="D131" s="6"/>
      <c r="E131" s="41"/>
      <c r="F131" s="6"/>
      <c r="G131" s="40"/>
      <c r="H131" s="40"/>
      <c r="I131" s="40"/>
      <c r="J131" s="40"/>
      <c r="K131" s="40"/>
      <c r="L131" s="40"/>
      <c r="M131" s="40"/>
      <c r="N131" s="40"/>
      <c r="O131" s="40"/>
      <c r="P131" s="40"/>
      <c r="Q131" s="40"/>
      <c r="R131" s="40"/>
      <c r="S131" s="39"/>
    </row>
    <row r="132" spans="1:19" hidden="1">
      <c r="A132" s="6"/>
      <c r="B132" s="6"/>
      <c r="C132" s="6"/>
      <c r="D132" s="6"/>
      <c r="E132" s="41"/>
      <c r="F132" s="6"/>
      <c r="G132" s="40"/>
      <c r="H132" s="40"/>
      <c r="I132" s="40"/>
      <c r="J132" s="40"/>
      <c r="K132" s="40"/>
      <c r="L132" s="40"/>
      <c r="M132" s="40"/>
      <c r="N132" s="40"/>
      <c r="O132" s="40"/>
      <c r="P132" s="40"/>
      <c r="Q132" s="40"/>
      <c r="R132" s="40"/>
      <c r="S132" s="39"/>
    </row>
    <row r="133" spans="1:19" hidden="1">
      <c r="A133" s="6"/>
      <c r="B133" s="6"/>
      <c r="C133" s="6"/>
      <c r="D133" s="6"/>
      <c r="E133" s="41"/>
      <c r="F133" s="6"/>
      <c r="G133" s="40"/>
      <c r="H133" s="40"/>
      <c r="I133" s="40"/>
      <c r="J133" s="40"/>
      <c r="K133" s="40"/>
      <c r="L133" s="40"/>
      <c r="M133" s="40"/>
      <c r="N133" s="40"/>
      <c r="O133" s="40"/>
      <c r="P133" s="40"/>
      <c r="Q133" s="40"/>
      <c r="R133" s="40"/>
      <c r="S133" s="39"/>
    </row>
    <row r="134" spans="1:19" hidden="1">
      <c r="A134" s="6"/>
      <c r="B134" s="6"/>
      <c r="C134" s="6"/>
      <c r="D134" s="6"/>
      <c r="E134" s="41"/>
      <c r="F134" s="6"/>
      <c r="G134" s="40"/>
      <c r="H134" s="40"/>
      <c r="I134" s="40"/>
      <c r="J134" s="40"/>
      <c r="K134" s="40"/>
      <c r="L134" s="40"/>
      <c r="M134" s="40"/>
      <c r="N134" s="40"/>
      <c r="O134" s="40"/>
      <c r="P134" s="40"/>
      <c r="Q134" s="40"/>
      <c r="R134" s="40"/>
      <c r="S134" s="39"/>
    </row>
    <row r="135" spans="1:19" hidden="1">
      <c r="A135" s="6"/>
      <c r="B135" s="6"/>
      <c r="C135" s="6"/>
      <c r="D135" s="6"/>
      <c r="E135" s="41"/>
      <c r="F135" s="6"/>
      <c r="G135" s="40"/>
      <c r="H135" s="40"/>
      <c r="I135" s="40"/>
      <c r="J135" s="40"/>
      <c r="K135" s="40"/>
      <c r="L135" s="40"/>
      <c r="M135" s="40"/>
      <c r="N135" s="40"/>
      <c r="O135" s="40"/>
      <c r="P135" s="40"/>
      <c r="Q135" s="40"/>
      <c r="R135" s="40"/>
      <c r="S135" s="39"/>
    </row>
    <row r="136" spans="1:19" hidden="1">
      <c r="A136" s="6"/>
      <c r="B136" s="6"/>
      <c r="C136" s="6"/>
      <c r="D136" s="6"/>
      <c r="E136" s="41"/>
      <c r="F136" s="6"/>
      <c r="G136" s="40"/>
      <c r="H136" s="40"/>
      <c r="I136" s="40"/>
      <c r="J136" s="40"/>
      <c r="K136" s="40"/>
      <c r="L136" s="40"/>
      <c r="M136" s="40"/>
      <c r="N136" s="40"/>
      <c r="O136" s="40"/>
      <c r="P136" s="40"/>
      <c r="Q136" s="40"/>
      <c r="R136" s="40"/>
      <c r="S136" s="39"/>
    </row>
    <row r="137" spans="1:19" hidden="1">
      <c r="A137" s="6"/>
      <c r="B137" s="6"/>
      <c r="C137" s="6"/>
      <c r="D137" s="6"/>
      <c r="E137" s="41"/>
      <c r="F137" s="6"/>
      <c r="G137" s="40"/>
      <c r="H137" s="40"/>
      <c r="I137" s="40"/>
      <c r="J137" s="40"/>
      <c r="K137" s="40"/>
      <c r="L137" s="40"/>
      <c r="M137" s="40"/>
      <c r="N137" s="40"/>
      <c r="O137" s="40"/>
      <c r="P137" s="40"/>
      <c r="Q137" s="40"/>
      <c r="R137" s="40"/>
      <c r="S137" s="39"/>
    </row>
    <row r="138" spans="1:19" hidden="1">
      <c r="A138" s="6"/>
      <c r="B138" s="6"/>
      <c r="C138" s="6"/>
      <c r="D138" s="6"/>
      <c r="E138" s="41"/>
      <c r="F138" s="6"/>
      <c r="G138" s="40"/>
      <c r="H138" s="40"/>
      <c r="I138" s="40"/>
      <c r="J138" s="40"/>
      <c r="K138" s="40"/>
      <c r="L138" s="40"/>
      <c r="M138" s="40"/>
      <c r="N138" s="40"/>
      <c r="O138" s="40"/>
      <c r="P138" s="40"/>
      <c r="Q138" s="40"/>
      <c r="R138" s="40"/>
      <c r="S138" s="39"/>
    </row>
    <row r="139" spans="1:19" hidden="1">
      <c r="A139" s="6"/>
      <c r="B139" s="6"/>
      <c r="C139" s="6"/>
      <c r="D139" s="6"/>
      <c r="E139" s="41"/>
      <c r="F139" s="6"/>
      <c r="G139" s="40"/>
      <c r="H139" s="40"/>
      <c r="I139" s="40"/>
      <c r="J139" s="40"/>
      <c r="K139" s="40"/>
      <c r="L139" s="40"/>
      <c r="M139" s="40"/>
      <c r="N139" s="40"/>
      <c r="O139" s="40"/>
      <c r="P139" s="40"/>
      <c r="Q139" s="40"/>
      <c r="R139" s="40"/>
      <c r="S139" s="39"/>
    </row>
    <row r="140" spans="1:19" hidden="1">
      <c r="A140" s="6"/>
      <c r="B140" s="6"/>
      <c r="C140" s="6"/>
      <c r="D140" s="6"/>
      <c r="E140" s="41"/>
      <c r="F140" s="6"/>
      <c r="G140" s="40"/>
      <c r="H140" s="40"/>
      <c r="I140" s="40"/>
      <c r="J140" s="40"/>
      <c r="K140" s="40"/>
      <c r="L140" s="40"/>
      <c r="M140" s="40"/>
      <c r="N140" s="40"/>
      <c r="O140" s="40"/>
      <c r="P140" s="40"/>
      <c r="Q140" s="40"/>
      <c r="R140" s="40"/>
      <c r="S140" s="39"/>
    </row>
    <row r="141" spans="1:19" hidden="1">
      <c r="A141" s="6"/>
      <c r="B141" s="6"/>
      <c r="C141" s="6"/>
      <c r="D141" s="6"/>
      <c r="E141" s="41"/>
      <c r="F141" s="6"/>
      <c r="G141" s="40"/>
      <c r="H141" s="40"/>
      <c r="I141" s="40"/>
      <c r="J141" s="40"/>
      <c r="K141" s="40"/>
      <c r="L141" s="40"/>
      <c r="M141" s="40"/>
      <c r="N141" s="40"/>
      <c r="O141" s="40"/>
      <c r="P141" s="40"/>
      <c r="Q141" s="40"/>
      <c r="R141" s="40"/>
      <c r="S141" s="39"/>
    </row>
    <row r="142" spans="1:19" hidden="1">
      <c r="A142" s="6"/>
      <c r="B142" s="6"/>
      <c r="C142" s="6"/>
      <c r="D142" s="6"/>
      <c r="E142" s="41"/>
      <c r="F142" s="6"/>
      <c r="G142" s="40"/>
      <c r="H142" s="40"/>
      <c r="I142" s="40"/>
      <c r="J142" s="40"/>
      <c r="K142" s="40"/>
      <c r="L142" s="40"/>
      <c r="M142" s="40"/>
      <c r="N142" s="40"/>
      <c r="O142" s="40"/>
      <c r="P142" s="40"/>
      <c r="Q142" s="40"/>
      <c r="R142" s="40"/>
      <c r="S142" s="39"/>
    </row>
    <row r="143" spans="1:19" hidden="1">
      <c r="A143" s="6"/>
      <c r="B143" s="6"/>
      <c r="C143" s="6"/>
      <c r="D143" s="6"/>
      <c r="E143" s="41"/>
      <c r="F143" s="6"/>
      <c r="G143" s="40"/>
      <c r="H143" s="40"/>
      <c r="I143" s="40"/>
      <c r="J143" s="40"/>
      <c r="K143" s="40"/>
      <c r="L143" s="40"/>
      <c r="M143" s="40"/>
      <c r="N143" s="40"/>
      <c r="O143" s="40"/>
      <c r="P143" s="40"/>
      <c r="Q143" s="40"/>
      <c r="R143" s="40"/>
      <c r="S143" s="39"/>
    </row>
    <row r="144" spans="1:19" hidden="1">
      <c r="A144" s="6"/>
      <c r="B144" s="6"/>
      <c r="C144" s="6"/>
      <c r="D144" s="6"/>
      <c r="E144" s="41"/>
      <c r="F144" s="6"/>
      <c r="G144" s="40"/>
      <c r="H144" s="40"/>
      <c r="I144" s="40"/>
      <c r="J144" s="40"/>
      <c r="K144" s="40"/>
      <c r="L144" s="40"/>
      <c r="M144" s="40"/>
      <c r="N144" s="40"/>
      <c r="O144" s="40"/>
      <c r="P144" s="40"/>
      <c r="Q144" s="40"/>
      <c r="R144" s="40"/>
      <c r="S144" s="39"/>
    </row>
    <row r="145" spans="1:19" hidden="1">
      <c r="A145" s="6"/>
      <c r="B145" s="6"/>
      <c r="C145" s="6"/>
      <c r="D145" s="6"/>
      <c r="E145" s="41"/>
      <c r="F145" s="6"/>
      <c r="G145" s="40"/>
      <c r="H145" s="40"/>
      <c r="I145" s="40"/>
      <c r="J145" s="40"/>
      <c r="K145" s="40"/>
      <c r="L145" s="40"/>
      <c r="M145" s="40"/>
      <c r="N145" s="40"/>
      <c r="O145" s="40"/>
      <c r="P145" s="40"/>
      <c r="Q145" s="40"/>
      <c r="R145" s="40"/>
      <c r="S145" s="39"/>
    </row>
    <row r="146" spans="1:19" hidden="1">
      <c r="A146" s="6"/>
      <c r="B146" s="6"/>
      <c r="C146" s="6"/>
      <c r="D146" s="6"/>
      <c r="E146" s="41"/>
      <c r="F146" s="6"/>
      <c r="G146" s="40"/>
      <c r="H146" s="40"/>
      <c r="I146" s="40"/>
      <c r="J146" s="40"/>
      <c r="K146" s="40"/>
      <c r="L146" s="40"/>
      <c r="M146" s="40"/>
      <c r="N146" s="40"/>
      <c r="O146" s="40"/>
      <c r="P146" s="40"/>
      <c r="Q146" s="40"/>
      <c r="R146" s="40"/>
      <c r="S146" s="39"/>
    </row>
    <row r="147" spans="1:19" hidden="1">
      <c r="A147" s="6"/>
      <c r="B147" s="6"/>
      <c r="C147" s="6"/>
      <c r="D147" s="6"/>
      <c r="E147" s="41"/>
      <c r="F147" s="6"/>
      <c r="G147" s="40"/>
      <c r="H147" s="40"/>
      <c r="I147" s="40"/>
      <c r="J147" s="40"/>
      <c r="K147" s="40"/>
      <c r="L147" s="40"/>
      <c r="M147" s="40"/>
      <c r="N147" s="40"/>
      <c r="O147" s="40"/>
      <c r="P147" s="40"/>
      <c r="Q147" s="40"/>
      <c r="R147" s="40"/>
      <c r="S147" s="39"/>
    </row>
    <row r="148" spans="1:19" hidden="1">
      <c r="A148" s="6"/>
      <c r="B148" s="6"/>
      <c r="C148" s="6"/>
      <c r="D148" s="6"/>
      <c r="E148" s="41"/>
      <c r="F148" s="6"/>
      <c r="G148" s="40"/>
      <c r="H148" s="40"/>
      <c r="I148" s="40"/>
      <c r="J148" s="40"/>
      <c r="K148" s="40"/>
      <c r="L148" s="40"/>
      <c r="M148" s="40"/>
      <c r="N148" s="40"/>
      <c r="O148" s="40"/>
      <c r="P148" s="40"/>
      <c r="Q148" s="40"/>
      <c r="R148" s="40"/>
      <c r="S148" s="39"/>
    </row>
    <row r="149" spans="1:19" hidden="1">
      <c r="A149" s="6"/>
      <c r="B149" s="6"/>
      <c r="C149" s="6"/>
      <c r="D149" s="6"/>
      <c r="E149" s="41"/>
      <c r="F149" s="6"/>
      <c r="G149" s="40"/>
      <c r="H149" s="40"/>
      <c r="I149" s="40"/>
      <c r="J149" s="40"/>
      <c r="K149" s="40"/>
      <c r="L149" s="40"/>
      <c r="M149" s="40"/>
      <c r="N149" s="40"/>
      <c r="O149" s="40"/>
      <c r="P149" s="40"/>
      <c r="Q149" s="40"/>
      <c r="R149" s="40"/>
      <c r="S149" s="39"/>
    </row>
    <row r="150" spans="1:19" hidden="1">
      <c r="A150" s="6"/>
      <c r="B150" s="6"/>
      <c r="C150" s="6"/>
      <c r="D150" s="6"/>
      <c r="E150" s="41"/>
      <c r="F150" s="6"/>
      <c r="G150" s="40"/>
      <c r="H150" s="40"/>
      <c r="I150" s="40"/>
      <c r="J150" s="40"/>
      <c r="K150" s="40"/>
      <c r="L150" s="40"/>
      <c r="M150" s="40"/>
      <c r="N150" s="40"/>
      <c r="O150" s="40"/>
      <c r="P150" s="40"/>
      <c r="Q150" s="40"/>
      <c r="R150" s="40"/>
      <c r="S150" s="39"/>
    </row>
    <row r="151" spans="1:19" hidden="1">
      <c r="A151" s="6"/>
      <c r="B151" s="6"/>
      <c r="C151" s="6"/>
      <c r="D151" s="6"/>
      <c r="E151" s="41"/>
      <c r="F151" s="6"/>
      <c r="G151" s="40"/>
      <c r="H151" s="40"/>
      <c r="I151" s="40"/>
      <c r="J151" s="40"/>
      <c r="K151" s="40"/>
      <c r="L151" s="40"/>
      <c r="M151" s="40"/>
      <c r="N151" s="40"/>
      <c r="O151" s="40"/>
      <c r="P151" s="40"/>
      <c r="Q151" s="40"/>
      <c r="R151" s="40"/>
      <c r="S151" s="39"/>
    </row>
    <row r="152" spans="1:19" hidden="1">
      <c r="A152" s="6"/>
      <c r="B152" s="6"/>
      <c r="C152" s="6"/>
      <c r="D152" s="6"/>
      <c r="E152" s="41"/>
      <c r="F152" s="6"/>
      <c r="G152" s="40"/>
      <c r="H152" s="40"/>
      <c r="I152" s="40"/>
      <c r="J152" s="40"/>
      <c r="K152" s="40"/>
      <c r="L152" s="40"/>
      <c r="M152" s="40"/>
      <c r="N152" s="40"/>
      <c r="O152" s="40"/>
      <c r="P152" s="40"/>
      <c r="Q152" s="40"/>
      <c r="R152" s="40"/>
      <c r="S152" s="39"/>
    </row>
    <row r="153" spans="1:19" hidden="1">
      <c r="A153" s="6"/>
      <c r="B153" s="6"/>
      <c r="C153" s="6"/>
      <c r="D153" s="6"/>
      <c r="E153" s="41"/>
      <c r="F153" s="6"/>
      <c r="G153" s="40"/>
      <c r="H153" s="40"/>
      <c r="I153" s="40"/>
      <c r="J153" s="40"/>
      <c r="K153" s="40"/>
      <c r="L153" s="40"/>
      <c r="M153" s="40"/>
      <c r="N153" s="40"/>
      <c r="O153" s="40"/>
      <c r="P153" s="40"/>
      <c r="Q153" s="40"/>
      <c r="R153" s="40"/>
      <c r="S153" s="39"/>
    </row>
    <row r="154" spans="1:19" hidden="1">
      <c r="A154" s="6"/>
      <c r="B154" s="6"/>
      <c r="C154" s="6"/>
      <c r="D154" s="6"/>
      <c r="E154" s="41"/>
      <c r="F154" s="6"/>
      <c r="G154" s="40"/>
      <c r="H154" s="40"/>
      <c r="I154" s="40"/>
      <c r="J154" s="40"/>
      <c r="K154" s="40"/>
      <c r="L154" s="40"/>
      <c r="M154" s="40"/>
      <c r="N154" s="40"/>
      <c r="O154" s="40"/>
      <c r="P154" s="40"/>
      <c r="Q154" s="40"/>
      <c r="R154" s="40"/>
      <c r="S154" s="39"/>
    </row>
    <row r="155" spans="1:19" hidden="1">
      <c r="A155" s="6"/>
      <c r="B155" s="6"/>
      <c r="C155" s="6"/>
      <c r="D155" s="6"/>
      <c r="E155" s="41"/>
      <c r="F155" s="6"/>
      <c r="G155" s="40"/>
      <c r="H155" s="40"/>
      <c r="I155" s="40"/>
      <c r="J155" s="40"/>
      <c r="K155" s="40"/>
      <c r="L155" s="40"/>
      <c r="M155" s="40"/>
      <c r="N155" s="40"/>
      <c r="O155" s="40"/>
      <c r="P155" s="40"/>
      <c r="Q155" s="40"/>
      <c r="R155" s="40"/>
      <c r="S155" s="39"/>
    </row>
    <row r="156" spans="1:19" hidden="1">
      <c r="A156" s="6"/>
      <c r="B156" s="6"/>
      <c r="C156" s="6"/>
      <c r="D156" s="6"/>
      <c r="E156" s="41"/>
      <c r="F156" s="6"/>
      <c r="G156" s="40"/>
      <c r="H156" s="40"/>
      <c r="I156" s="40"/>
      <c r="J156" s="40"/>
      <c r="K156" s="40"/>
      <c r="L156" s="40"/>
      <c r="M156" s="40"/>
      <c r="N156" s="40"/>
      <c r="O156" s="40"/>
      <c r="P156" s="40"/>
      <c r="Q156" s="40"/>
      <c r="R156" s="40"/>
      <c r="S156" s="39"/>
    </row>
    <row r="157" spans="1:19" hidden="1">
      <c r="A157" s="6"/>
      <c r="B157" s="6"/>
      <c r="C157" s="6"/>
      <c r="D157" s="6"/>
      <c r="E157" s="41"/>
      <c r="F157" s="6"/>
      <c r="G157" s="40"/>
      <c r="H157" s="40"/>
      <c r="I157" s="40"/>
      <c r="J157" s="40"/>
      <c r="K157" s="40"/>
      <c r="L157" s="40"/>
      <c r="M157" s="40"/>
      <c r="N157" s="40"/>
      <c r="O157" s="40"/>
      <c r="P157" s="40"/>
      <c r="Q157" s="40"/>
      <c r="R157" s="40"/>
      <c r="S157" s="39"/>
    </row>
    <row r="158" spans="1:19" hidden="1">
      <c r="A158" s="6"/>
      <c r="B158" s="6"/>
      <c r="C158" s="6"/>
      <c r="D158" s="6"/>
      <c r="E158" s="41"/>
      <c r="F158" s="6"/>
      <c r="G158" s="40"/>
      <c r="H158" s="40"/>
      <c r="I158" s="40"/>
      <c r="J158" s="40"/>
      <c r="K158" s="40"/>
      <c r="L158" s="40"/>
      <c r="M158" s="40"/>
      <c r="N158" s="40"/>
      <c r="O158" s="40"/>
      <c r="P158" s="40"/>
      <c r="Q158" s="40"/>
      <c r="R158" s="40"/>
      <c r="S158" s="39"/>
    </row>
    <row r="159" spans="1:19" hidden="1">
      <c r="A159" s="6"/>
      <c r="B159" s="6"/>
      <c r="C159" s="6"/>
      <c r="D159" s="6"/>
      <c r="E159" s="41"/>
      <c r="F159" s="6"/>
      <c r="G159" s="40"/>
      <c r="H159" s="40"/>
      <c r="I159" s="40"/>
      <c r="J159" s="40"/>
      <c r="K159" s="40"/>
      <c r="L159" s="40"/>
      <c r="M159" s="40"/>
      <c r="N159" s="40"/>
      <c r="O159" s="40"/>
      <c r="P159" s="40"/>
      <c r="Q159" s="40"/>
      <c r="R159" s="40"/>
      <c r="S159" s="39"/>
    </row>
    <row r="160" spans="1:19" hidden="1">
      <c r="A160" s="6"/>
      <c r="B160" s="6"/>
      <c r="C160" s="6"/>
      <c r="D160" s="6"/>
      <c r="E160" s="41"/>
      <c r="F160" s="6"/>
      <c r="G160" s="40"/>
      <c r="H160" s="40"/>
      <c r="I160" s="40"/>
      <c r="J160" s="40"/>
      <c r="K160" s="40"/>
      <c r="L160" s="40"/>
      <c r="M160" s="40"/>
      <c r="N160" s="40"/>
      <c r="O160" s="40"/>
      <c r="P160" s="40"/>
      <c r="Q160" s="40"/>
      <c r="R160" s="40"/>
      <c r="S160" s="39"/>
    </row>
    <row r="161" spans="1:19" hidden="1">
      <c r="A161" s="6"/>
      <c r="B161" s="6"/>
      <c r="C161" s="6"/>
      <c r="D161" s="6"/>
      <c r="E161" s="41"/>
      <c r="F161" s="6"/>
      <c r="G161" s="40"/>
      <c r="H161" s="40"/>
      <c r="I161" s="40"/>
      <c r="J161" s="40"/>
      <c r="K161" s="40"/>
      <c r="L161" s="40"/>
      <c r="M161" s="40"/>
      <c r="N161" s="40"/>
      <c r="O161" s="40"/>
      <c r="P161" s="40"/>
      <c r="Q161" s="40"/>
      <c r="R161" s="40"/>
      <c r="S161" s="39"/>
    </row>
    <row r="162" spans="1:19" hidden="1">
      <c r="A162" s="6"/>
      <c r="B162" s="6"/>
      <c r="C162" s="6"/>
      <c r="D162" s="6"/>
      <c r="E162" s="41"/>
      <c r="F162" s="6"/>
      <c r="G162" s="40"/>
      <c r="H162" s="40"/>
      <c r="I162" s="40"/>
      <c r="J162" s="40"/>
      <c r="K162" s="40"/>
      <c r="L162" s="40"/>
      <c r="M162" s="40"/>
      <c r="N162" s="40"/>
      <c r="O162" s="40"/>
      <c r="P162" s="40"/>
      <c r="Q162" s="40"/>
      <c r="R162" s="40"/>
      <c r="S162" s="39"/>
    </row>
    <row r="163" spans="1:19" hidden="1">
      <c r="A163" s="6"/>
      <c r="B163" s="6"/>
      <c r="C163" s="6"/>
      <c r="D163" s="6"/>
      <c r="E163" s="41"/>
      <c r="F163" s="6"/>
      <c r="G163" s="40"/>
      <c r="H163" s="40"/>
      <c r="I163" s="40"/>
      <c r="J163" s="40"/>
      <c r="K163" s="40"/>
      <c r="L163" s="40"/>
      <c r="M163" s="40"/>
      <c r="N163" s="40"/>
      <c r="O163" s="40"/>
      <c r="P163" s="40"/>
      <c r="Q163" s="40"/>
      <c r="R163" s="40"/>
      <c r="S163" s="39"/>
    </row>
    <row r="164" spans="1:19" hidden="1">
      <c r="A164" s="6"/>
      <c r="B164" s="6"/>
      <c r="C164" s="6"/>
      <c r="D164" s="6"/>
      <c r="E164" s="41"/>
      <c r="F164" s="6"/>
      <c r="G164" s="40"/>
      <c r="H164" s="40"/>
      <c r="I164" s="40"/>
      <c r="J164" s="40"/>
      <c r="K164" s="40"/>
      <c r="L164" s="40"/>
      <c r="M164" s="40"/>
      <c r="N164" s="40"/>
      <c r="O164" s="40"/>
      <c r="P164" s="40"/>
      <c r="Q164" s="40"/>
      <c r="R164" s="40"/>
      <c r="S164" s="39"/>
    </row>
    <row r="165" spans="1:19" hidden="1">
      <c r="A165" s="6"/>
      <c r="B165" s="6"/>
      <c r="C165" s="6"/>
      <c r="D165" s="6"/>
      <c r="E165" s="41"/>
      <c r="F165" s="6"/>
      <c r="G165" s="40"/>
      <c r="H165" s="40"/>
      <c r="I165" s="40"/>
      <c r="J165" s="40"/>
      <c r="K165" s="40"/>
      <c r="L165" s="40"/>
      <c r="M165" s="40"/>
      <c r="N165" s="40"/>
      <c r="O165" s="40"/>
      <c r="P165" s="40"/>
      <c r="Q165" s="40"/>
      <c r="R165" s="40"/>
      <c r="S165" s="39"/>
    </row>
    <row r="166" spans="1:19" hidden="1">
      <c r="A166" s="6"/>
      <c r="B166" s="6"/>
      <c r="C166" s="6"/>
      <c r="D166" s="6"/>
      <c r="E166" s="41"/>
      <c r="F166" s="6"/>
      <c r="G166" s="40"/>
      <c r="H166" s="40"/>
      <c r="I166" s="40"/>
      <c r="J166" s="40"/>
      <c r="K166" s="40"/>
      <c r="L166" s="40"/>
      <c r="M166" s="40"/>
      <c r="N166" s="40"/>
      <c r="O166" s="40"/>
      <c r="P166" s="40"/>
      <c r="Q166" s="40"/>
      <c r="R166" s="40"/>
      <c r="S166" s="39"/>
    </row>
    <row r="167" spans="1:19" hidden="1">
      <c r="A167" s="6"/>
      <c r="B167" s="6"/>
      <c r="C167" s="6"/>
      <c r="D167" s="6"/>
      <c r="E167" s="41"/>
      <c r="F167" s="6"/>
      <c r="G167" s="40"/>
      <c r="H167" s="40"/>
      <c r="I167" s="40"/>
      <c r="J167" s="40"/>
      <c r="K167" s="40"/>
      <c r="L167" s="40"/>
      <c r="M167" s="40"/>
      <c r="N167" s="40"/>
      <c r="O167" s="40"/>
      <c r="P167" s="40"/>
      <c r="Q167" s="40"/>
      <c r="R167" s="40"/>
      <c r="S167" s="39"/>
    </row>
    <row r="168" spans="1:19" hidden="1">
      <c r="A168" s="6"/>
      <c r="B168" s="6"/>
      <c r="C168" s="6"/>
      <c r="D168" s="6"/>
      <c r="E168" s="41"/>
      <c r="F168" s="6"/>
      <c r="G168" s="40"/>
      <c r="H168" s="40"/>
      <c r="I168" s="40"/>
      <c r="J168" s="40"/>
      <c r="K168" s="40"/>
      <c r="L168" s="40"/>
      <c r="M168" s="40"/>
      <c r="N168" s="40"/>
      <c r="O168" s="40"/>
      <c r="P168" s="40"/>
      <c r="Q168" s="40"/>
      <c r="R168" s="40"/>
      <c r="S168" s="39"/>
    </row>
    <row r="169" spans="1:19" hidden="1">
      <c r="A169" s="6"/>
      <c r="B169" s="6"/>
      <c r="C169" s="6"/>
      <c r="D169" s="6"/>
      <c r="E169" s="41"/>
      <c r="F169" s="6"/>
      <c r="G169" s="40"/>
      <c r="H169" s="40"/>
      <c r="I169" s="40"/>
      <c r="J169" s="40"/>
      <c r="K169" s="40"/>
      <c r="L169" s="40"/>
      <c r="M169" s="40"/>
      <c r="N169" s="40"/>
      <c r="O169" s="40"/>
      <c r="P169" s="40"/>
      <c r="Q169" s="40"/>
      <c r="R169" s="40"/>
      <c r="S169" s="39"/>
    </row>
    <row r="170" spans="1:19" hidden="1">
      <c r="A170" s="6"/>
      <c r="B170" s="6"/>
      <c r="C170" s="6"/>
      <c r="D170" s="6"/>
      <c r="E170" s="41"/>
      <c r="F170" s="6"/>
      <c r="G170" s="40"/>
      <c r="H170" s="40"/>
      <c r="I170" s="40"/>
      <c r="J170" s="40"/>
      <c r="K170" s="40"/>
      <c r="L170" s="40"/>
      <c r="M170" s="40"/>
      <c r="N170" s="40"/>
      <c r="O170" s="40"/>
      <c r="P170" s="40"/>
      <c r="Q170" s="40"/>
      <c r="R170" s="40"/>
      <c r="S170" s="39"/>
    </row>
    <row r="171" spans="1:19" hidden="1">
      <c r="A171" s="6"/>
      <c r="B171" s="6"/>
      <c r="C171" s="6"/>
      <c r="D171" s="6"/>
      <c r="E171" s="41"/>
      <c r="F171" s="6"/>
      <c r="G171" s="40"/>
      <c r="H171" s="40"/>
      <c r="I171" s="40"/>
      <c r="J171" s="40"/>
      <c r="K171" s="40"/>
      <c r="L171" s="40"/>
      <c r="M171" s="40"/>
      <c r="N171" s="40"/>
      <c r="O171" s="40"/>
      <c r="P171" s="40"/>
      <c r="Q171" s="40"/>
      <c r="R171" s="40"/>
      <c r="S171" s="39"/>
    </row>
    <row r="172" spans="1:19" hidden="1">
      <c r="A172" s="6"/>
      <c r="B172" s="6"/>
      <c r="C172" s="6"/>
      <c r="D172" s="6"/>
      <c r="E172" s="41"/>
      <c r="F172" s="6"/>
      <c r="G172" s="40"/>
      <c r="H172" s="40"/>
      <c r="I172" s="40"/>
      <c r="J172" s="40"/>
      <c r="K172" s="40"/>
      <c r="L172" s="40"/>
      <c r="M172" s="40"/>
      <c r="N172" s="40"/>
      <c r="O172" s="40"/>
      <c r="P172" s="40"/>
      <c r="Q172" s="40"/>
      <c r="R172" s="40"/>
      <c r="S172" s="39"/>
    </row>
    <row r="173" spans="1:19" hidden="1">
      <c r="A173" s="6"/>
      <c r="B173" s="6"/>
      <c r="C173" s="6"/>
      <c r="D173" s="6"/>
      <c r="E173" s="41"/>
      <c r="F173" s="6"/>
      <c r="G173" s="40"/>
      <c r="H173" s="40"/>
      <c r="I173" s="40"/>
      <c r="J173" s="40"/>
      <c r="K173" s="40"/>
      <c r="L173" s="40"/>
      <c r="M173" s="40"/>
      <c r="N173" s="40"/>
      <c r="O173" s="40"/>
      <c r="P173" s="40"/>
      <c r="Q173" s="40"/>
      <c r="R173" s="40"/>
      <c r="S173" s="39"/>
    </row>
    <row r="174" spans="1:19" hidden="1">
      <c r="A174" s="6"/>
      <c r="B174" s="6"/>
      <c r="C174" s="6"/>
      <c r="D174" s="6"/>
      <c r="E174" s="41"/>
      <c r="F174" s="6"/>
      <c r="G174" s="40"/>
      <c r="H174" s="40"/>
      <c r="I174" s="40"/>
      <c r="J174" s="40"/>
      <c r="K174" s="40"/>
      <c r="L174" s="40"/>
      <c r="M174" s="40"/>
      <c r="N174" s="40"/>
      <c r="O174" s="40"/>
      <c r="P174" s="40"/>
      <c r="Q174" s="40"/>
      <c r="R174" s="40"/>
      <c r="S174" s="39"/>
    </row>
    <row r="175" spans="1:19" hidden="1">
      <c r="A175" s="6"/>
      <c r="B175" s="6"/>
      <c r="C175" s="6"/>
      <c r="D175" s="6"/>
      <c r="E175" s="41"/>
      <c r="F175" s="6"/>
      <c r="G175" s="40"/>
      <c r="H175" s="40"/>
      <c r="I175" s="40"/>
      <c r="J175" s="40"/>
      <c r="K175" s="40"/>
      <c r="L175" s="40"/>
      <c r="M175" s="40"/>
      <c r="N175" s="40"/>
      <c r="O175" s="40"/>
      <c r="P175" s="40"/>
      <c r="Q175" s="40"/>
      <c r="R175" s="40"/>
      <c r="S175" s="39"/>
    </row>
    <row r="176" spans="1:19" hidden="1">
      <c r="A176" s="6"/>
      <c r="B176" s="6"/>
      <c r="C176" s="6"/>
      <c r="D176" s="6"/>
      <c r="E176" s="41"/>
      <c r="F176" s="6"/>
      <c r="G176" s="40"/>
      <c r="H176" s="40"/>
      <c r="I176" s="40"/>
      <c r="J176" s="40"/>
      <c r="K176" s="40"/>
      <c r="L176" s="40"/>
      <c r="M176" s="40"/>
      <c r="N176" s="40"/>
      <c r="O176" s="40"/>
      <c r="P176" s="40"/>
      <c r="Q176" s="40"/>
      <c r="R176" s="40"/>
      <c r="S176" s="39"/>
    </row>
    <row r="177" spans="1:19" hidden="1">
      <c r="A177" s="6"/>
      <c r="B177" s="6"/>
      <c r="C177" s="6"/>
      <c r="D177" s="6"/>
      <c r="E177" s="41"/>
      <c r="F177" s="6"/>
      <c r="G177" s="40"/>
      <c r="H177" s="40"/>
      <c r="I177" s="40"/>
      <c r="J177" s="40"/>
      <c r="K177" s="40"/>
      <c r="L177" s="40"/>
      <c r="M177" s="40"/>
      <c r="N177" s="40"/>
      <c r="O177" s="40"/>
      <c r="P177" s="40"/>
      <c r="Q177" s="40"/>
      <c r="R177" s="40"/>
      <c r="S177" s="39"/>
    </row>
    <row r="178" spans="1:19" hidden="1">
      <c r="A178" s="6"/>
      <c r="B178" s="6"/>
      <c r="C178" s="6"/>
      <c r="D178" s="6"/>
      <c r="E178" s="41"/>
      <c r="F178" s="6"/>
      <c r="G178" s="40"/>
      <c r="H178" s="40"/>
      <c r="I178" s="40"/>
      <c r="J178" s="40"/>
      <c r="K178" s="40"/>
      <c r="L178" s="40"/>
      <c r="M178" s="40"/>
      <c r="N178" s="40"/>
      <c r="O178" s="40"/>
      <c r="P178" s="40"/>
      <c r="Q178" s="40"/>
      <c r="R178" s="40"/>
      <c r="S178" s="39"/>
    </row>
    <row r="179" spans="1:19" hidden="1">
      <c r="A179" s="6"/>
      <c r="B179" s="6"/>
      <c r="C179" s="6"/>
      <c r="D179" s="6"/>
      <c r="E179" s="41"/>
      <c r="F179" s="6"/>
      <c r="G179" s="40"/>
      <c r="H179" s="40"/>
      <c r="I179" s="40"/>
      <c r="J179" s="40"/>
      <c r="K179" s="40"/>
      <c r="L179" s="40"/>
      <c r="M179" s="40"/>
      <c r="N179" s="40"/>
      <c r="O179" s="40"/>
      <c r="P179" s="40"/>
      <c r="Q179" s="40"/>
      <c r="R179" s="40"/>
      <c r="S179" s="39"/>
    </row>
    <row r="180" spans="1:19" hidden="1">
      <c r="A180" s="6"/>
      <c r="B180" s="6"/>
      <c r="C180" s="6"/>
      <c r="D180" s="6"/>
      <c r="E180" s="41"/>
      <c r="F180" s="6"/>
      <c r="G180" s="40"/>
      <c r="H180" s="40"/>
      <c r="I180" s="40"/>
      <c r="J180" s="40"/>
      <c r="K180" s="40"/>
      <c r="L180" s="40"/>
      <c r="M180" s="40"/>
      <c r="N180" s="40"/>
      <c r="O180" s="40"/>
      <c r="P180" s="40"/>
      <c r="Q180" s="40"/>
      <c r="R180" s="40"/>
      <c r="S180" s="39"/>
    </row>
    <row r="181" spans="1:19" hidden="1">
      <c r="A181" s="6"/>
      <c r="B181" s="6"/>
      <c r="C181" s="6"/>
      <c r="D181" s="6"/>
      <c r="E181" s="41"/>
      <c r="F181" s="6"/>
      <c r="G181" s="40"/>
      <c r="H181" s="40"/>
      <c r="I181" s="40"/>
      <c r="J181" s="40"/>
      <c r="K181" s="40"/>
      <c r="L181" s="40"/>
      <c r="M181" s="40"/>
      <c r="N181" s="40"/>
      <c r="O181" s="40"/>
      <c r="P181" s="40"/>
      <c r="Q181" s="40"/>
      <c r="R181" s="40"/>
      <c r="S181" s="39"/>
    </row>
    <row r="182" spans="1:19" hidden="1">
      <c r="A182" s="6"/>
      <c r="B182" s="6"/>
      <c r="C182" s="6"/>
      <c r="D182" s="6"/>
      <c r="E182" s="41"/>
      <c r="F182" s="6"/>
      <c r="G182" s="40"/>
      <c r="H182" s="40"/>
      <c r="I182" s="40"/>
      <c r="J182" s="40"/>
      <c r="K182" s="40"/>
      <c r="L182" s="40"/>
      <c r="M182" s="40"/>
      <c r="N182" s="40"/>
      <c r="O182" s="40"/>
      <c r="P182" s="40"/>
      <c r="Q182" s="40"/>
      <c r="R182" s="40"/>
      <c r="S182" s="39"/>
    </row>
    <row r="183" spans="1:19" hidden="1">
      <c r="A183" s="6"/>
      <c r="B183" s="6"/>
      <c r="C183" s="6"/>
      <c r="D183" s="6"/>
      <c r="E183" s="41"/>
      <c r="F183" s="6"/>
      <c r="G183" s="40"/>
      <c r="H183" s="40"/>
      <c r="I183" s="40"/>
      <c r="J183" s="40"/>
      <c r="K183" s="40"/>
      <c r="L183" s="40"/>
      <c r="M183" s="40"/>
      <c r="N183" s="40"/>
      <c r="O183" s="40"/>
      <c r="P183" s="40"/>
      <c r="Q183" s="40"/>
      <c r="R183" s="40"/>
      <c r="S183" s="39"/>
    </row>
    <row r="184" spans="1:19" hidden="1">
      <c r="A184" s="6"/>
      <c r="B184" s="6"/>
      <c r="C184" s="6"/>
      <c r="D184" s="6"/>
      <c r="E184" s="41"/>
      <c r="F184" s="6"/>
      <c r="G184" s="40"/>
      <c r="H184" s="40"/>
      <c r="I184" s="40"/>
      <c r="J184" s="40"/>
      <c r="K184" s="40"/>
      <c r="L184" s="40"/>
      <c r="M184" s="40"/>
      <c r="N184" s="40"/>
      <c r="O184" s="40"/>
      <c r="P184" s="40"/>
      <c r="Q184" s="40"/>
      <c r="R184" s="40"/>
      <c r="S184" s="39"/>
    </row>
    <row r="185" spans="1:19" hidden="1">
      <c r="A185" s="6"/>
      <c r="B185" s="6"/>
      <c r="C185" s="6"/>
      <c r="D185" s="6"/>
      <c r="E185" s="41"/>
      <c r="F185" s="6"/>
      <c r="G185" s="40"/>
      <c r="H185" s="40"/>
      <c r="I185" s="40"/>
      <c r="J185" s="40"/>
      <c r="K185" s="40"/>
      <c r="L185" s="40"/>
      <c r="M185" s="40"/>
      <c r="N185" s="40"/>
      <c r="O185" s="40"/>
      <c r="P185" s="40"/>
      <c r="Q185" s="40"/>
      <c r="R185" s="40"/>
      <c r="S185" s="39"/>
    </row>
    <row r="186" spans="1:19" hidden="1">
      <c r="A186" s="6"/>
      <c r="B186" s="6"/>
      <c r="C186" s="6"/>
      <c r="D186" s="6"/>
      <c r="E186" s="41"/>
      <c r="F186" s="6"/>
      <c r="G186" s="40"/>
      <c r="H186" s="40"/>
      <c r="I186" s="40"/>
      <c r="J186" s="40"/>
      <c r="K186" s="40"/>
      <c r="L186" s="40"/>
      <c r="M186" s="40"/>
      <c r="N186" s="40"/>
      <c r="O186" s="40"/>
      <c r="P186" s="40"/>
      <c r="Q186" s="40"/>
      <c r="R186" s="40"/>
      <c r="S186" s="39"/>
    </row>
    <row r="187" spans="1:19" hidden="1">
      <c r="A187" s="6"/>
      <c r="B187" s="6"/>
      <c r="C187" s="6"/>
      <c r="D187" s="6"/>
      <c r="E187" s="41"/>
      <c r="F187" s="6"/>
      <c r="G187" s="40"/>
      <c r="H187" s="40"/>
      <c r="I187" s="40"/>
      <c r="J187" s="40"/>
      <c r="K187" s="40"/>
      <c r="L187" s="40"/>
      <c r="M187" s="40"/>
      <c r="N187" s="40"/>
      <c r="O187" s="40"/>
      <c r="P187" s="40"/>
      <c r="Q187" s="40"/>
      <c r="R187" s="40"/>
      <c r="S187" s="39"/>
    </row>
    <row r="188" spans="1:19" hidden="1">
      <c r="A188" s="6"/>
      <c r="B188" s="6"/>
      <c r="C188" s="6"/>
      <c r="D188" s="6"/>
      <c r="E188" s="41"/>
      <c r="F188" s="6"/>
      <c r="G188" s="40"/>
      <c r="H188" s="40"/>
      <c r="I188" s="40"/>
      <c r="J188" s="40"/>
      <c r="K188" s="40"/>
      <c r="L188" s="40"/>
      <c r="M188" s="40"/>
      <c r="N188" s="40"/>
      <c r="O188" s="40"/>
      <c r="P188" s="40"/>
      <c r="Q188" s="40"/>
      <c r="R188" s="40"/>
      <c r="S188" s="39"/>
    </row>
    <row r="189" spans="1:19" hidden="1">
      <c r="A189" s="6"/>
      <c r="B189" s="6"/>
      <c r="C189" s="6"/>
      <c r="D189" s="6"/>
      <c r="E189" s="41"/>
      <c r="F189" s="6"/>
      <c r="G189" s="40"/>
      <c r="H189" s="40"/>
      <c r="I189" s="40"/>
      <c r="J189" s="40"/>
      <c r="K189" s="40"/>
      <c r="L189" s="40"/>
      <c r="M189" s="40"/>
      <c r="N189" s="40"/>
      <c r="O189" s="40"/>
      <c r="P189" s="40"/>
      <c r="Q189" s="40"/>
      <c r="R189" s="40"/>
      <c r="S189" s="39"/>
    </row>
    <row r="190" spans="1:19" hidden="1">
      <c r="A190" s="6"/>
      <c r="B190" s="6"/>
      <c r="C190" s="6"/>
      <c r="D190" s="6"/>
      <c r="E190" s="41"/>
      <c r="F190" s="6"/>
      <c r="G190" s="40"/>
      <c r="H190" s="40"/>
      <c r="I190" s="40"/>
      <c r="J190" s="40"/>
      <c r="K190" s="40"/>
      <c r="L190" s="40"/>
      <c r="M190" s="40"/>
      <c r="N190" s="40"/>
      <c r="O190" s="40"/>
      <c r="P190" s="40"/>
      <c r="Q190" s="40"/>
      <c r="R190" s="40"/>
      <c r="S190" s="39"/>
    </row>
    <row r="191" spans="1:19" hidden="1">
      <c r="A191" s="6"/>
      <c r="B191" s="6"/>
      <c r="C191" s="6"/>
      <c r="D191" s="6"/>
      <c r="E191" s="41"/>
      <c r="F191" s="6"/>
      <c r="G191" s="40"/>
      <c r="H191" s="40"/>
      <c r="I191" s="40"/>
      <c r="J191" s="40"/>
      <c r="K191" s="40"/>
      <c r="L191" s="40"/>
      <c r="M191" s="40"/>
      <c r="N191" s="40"/>
      <c r="O191" s="40"/>
      <c r="P191" s="40"/>
      <c r="Q191" s="40"/>
      <c r="R191" s="40"/>
      <c r="S191" s="39"/>
    </row>
    <row r="192" spans="1:19" hidden="1">
      <c r="A192" s="6"/>
      <c r="B192" s="6"/>
      <c r="C192" s="6"/>
      <c r="D192" s="6"/>
      <c r="E192" s="41"/>
      <c r="F192" s="6"/>
      <c r="G192" s="40"/>
      <c r="H192" s="40"/>
      <c r="I192" s="40"/>
      <c r="J192" s="40"/>
      <c r="K192" s="40"/>
      <c r="L192" s="40"/>
      <c r="M192" s="40"/>
      <c r="N192" s="40"/>
      <c r="O192" s="40"/>
      <c r="P192" s="40"/>
      <c r="Q192" s="40"/>
      <c r="R192" s="40"/>
      <c r="S192" s="39"/>
    </row>
    <row r="193" spans="1:19" hidden="1">
      <c r="A193" s="6"/>
      <c r="B193" s="6"/>
      <c r="C193" s="6"/>
      <c r="D193" s="6"/>
      <c r="E193" s="41"/>
      <c r="F193" s="6"/>
      <c r="G193" s="40"/>
      <c r="H193" s="40"/>
      <c r="I193" s="40"/>
      <c r="J193" s="40"/>
      <c r="K193" s="40"/>
      <c r="L193" s="40"/>
      <c r="M193" s="40"/>
      <c r="N193" s="40"/>
      <c r="O193" s="40"/>
      <c r="P193" s="40"/>
      <c r="Q193" s="40"/>
      <c r="R193" s="40"/>
      <c r="S193" s="39"/>
    </row>
    <row r="194" spans="1:19" hidden="1">
      <c r="A194" s="6"/>
      <c r="B194" s="6"/>
      <c r="C194" s="6"/>
      <c r="D194" s="6"/>
      <c r="E194" s="41"/>
      <c r="F194" s="6"/>
      <c r="G194" s="40"/>
      <c r="H194" s="40"/>
      <c r="I194" s="40"/>
      <c r="J194" s="40"/>
      <c r="K194" s="40"/>
      <c r="L194" s="40"/>
      <c r="M194" s="40"/>
      <c r="N194" s="40"/>
      <c r="O194" s="40"/>
      <c r="P194" s="40"/>
      <c r="Q194" s="40"/>
      <c r="R194" s="40"/>
      <c r="S194" s="39"/>
    </row>
    <row r="195" spans="1:19" hidden="1">
      <c r="A195" s="6"/>
      <c r="B195" s="6"/>
      <c r="C195" s="6"/>
      <c r="D195" s="6"/>
      <c r="E195" s="41"/>
      <c r="F195" s="6"/>
      <c r="G195" s="40"/>
      <c r="H195" s="40"/>
      <c r="I195" s="40"/>
      <c r="J195" s="40"/>
      <c r="K195" s="40"/>
      <c r="L195" s="40"/>
      <c r="M195" s="40"/>
      <c r="N195" s="40"/>
      <c r="O195" s="40"/>
      <c r="P195" s="40"/>
      <c r="Q195" s="40"/>
      <c r="R195" s="40"/>
      <c r="S195" s="39"/>
    </row>
    <row r="196" spans="1:19" hidden="1">
      <c r="A196" s="6"/>
      <c r="B196" s="6"/>
      <c r="C196" s="6"/>
      <c r="D196" s="6"/>
      <c r="E196" s="41"/>
      <c r="F196" s="6"/>
      <c r="G196" s="40"/>
      <c r="H196" s="40"/>
      <c r="I196" s="40"/>
      <c r="J196" s="40"/>
      <c r="K196" s="40"/>
      <c r="L196" s="40"/>
      <c r="M196" s="40"/>
      <c r="N196" s="40"/>
      <c r="O196" s="40"/>
      <c r="P196" s="40"/>
      <c r="Q196" s="40"/>
      <c r="R196" s="40"/>
      <c r="S196" s="39"/>
    </row>
    <row r="197" spans="1:19" hidden="1">
      <c r="A197" s="6"/>
      <c r="B197" s="6"/>
      <c r="C197" s="6"/>
      <c r="D197" s="6"/>
      <c r="E197" s="41"/>
      <c r="F197" s="6"/>
      <c r="G197" s="40"/>
      <c r="H197" s="40"/>
      <c r="I197" s="40"/>
      <c r="J197" s="40"/>
      <c r="K197" s="40"/>
      <c r="L197" s="40"/>
      <c r="M197" s="40"/>
      <c r="N197" s="40"/>
      <c r="O197" s="40"/>
      <c r="P197" s="40"/>
      <c r="Q197" s="40"/>
      <c r="R197" s="40"/>
      <c r="S197" s="39"/>
    </row>
    <row r="198" spans="1:19" hidden="1">
      <c r="A198" s="6"/>
      <c r="B198" s="6"/>
      <c r="C198" s="6"/>
      <c r="D198" s="6"/>
      <c r="E198" s="41"/>
      <c r="F198" s="6"/>
      <c r="G198" s="40"/>
      <c r="H198" s="40"/>
      <c r="I198" s="40"/>
      <c r="J198" s="40"/>
      <c r="K198" s="40"/>
      <c r="L198" s="40"/>
      <c r="M198" s="40"/>
      <c r="N198" s="40"/>
      <c r="O198" s="40"/>
      <c r="P198" s="40"/>
      <c r="Q198" s="40"/>
      <c r="R198" s="40"/>
      <c r="S198" s="39"/>
    </row>
    <row r="199" spans="1:19" hidden="1">
      <c r="A199" s="6"/>
      <c r="B199" s="6"/>
      <c r="C199" s="6"/>
      <c r="D199" s="6"/>
      <c r="E199" s="41"/>
      <c r="F199" s="6"/>
      <c r="G199" s="40"/>
      <c r="H199" s="40"/>
      <c r="I199" s="40"/>
      <c r="J199" s="40"/>
      <c r="K199" s="40"/>
      <c r="L199" s="40"/>
      <c r="M199" s="40"/>
      <c r="N199" s="40"/>
      <c r="O199" s="40"/>
      <c r="P199" s="40"/>
      <c r="Q199" s="40"/>
      <c r="R199" s="40"/>
      <c r="S199" s="39"/>
    </row>
    <row r="200" spans="1:19" hidden="1">
      <c r="A200" s="6"/>
      <c r="B200" s="6"/>
      <c r="C200" s="6"/>
      <c r="D200" s="6"/>
      <c r="E200" s="41"/>
      <c r="F200" s="6"/>
      <c r="G200" s="40"/>
      <c r="H200" s="40"/>
      <c r="I200" s="40"/>
      <c r="J200" s="40"/>
      <c r="K200" s="40"/>
      <c r="L200" s="40"/>
      <c r="M200" s="40"/>
      <c r="N200" s="40"/>
      <c r="O200" s="40"/>
      <c r="P200" s="40"/>
      <c r="Q200" s="40"/>
      <c r="R200" s="40"/>
      <c r="S200" s="39"/>
    </row>
    <row r="201" spans="1:19" hidden="1">
      <c r="A201" s="6"/>
      <c r="B201" s="6"/>
      <c r="C201" s="6"/>
      <c r="D201" s="6"/>
      <c r="E201" s="41"/>
      <c r="F201" s="6"/>
      <c r="G201" s="40"/>
      <c r="H201" s="40"/>
      <c r="I201" s="40"/>
      <c r="J201" s="40"/>
      <c r="K201" s="40"/>
      <c r="L201" s="40"/>
      <c r="M201" s="40"/>
      <c r="N201" s="40"/>
      <c r="O201" s="40"/>
      <c r="P201" s="40"/>
      <c r="Q201" s="40"/>
      <c r="R201" s="40"/>
      <c r="S201" s="39"/>
    </row>
    <row r="202" spans="1:19" hidden="1">
      <c r="A202" s="6"/>
      <c r="B202" s="6"/>
      <c r="C202" s="6"/>
      <c r="D202" s="6"/>
      <c r="E202" s="41"/>
      <c r="F202" s="6"/>
      <c r="G202" s="40"/>
      <c r="H202" s="40"/>
      <c r="I202" s="40"/>
      <c r="J202" s="40"/>
      <c r="K202" s="40"/>
      <c r="L202" s="40"/>
      <c r="M202" s="40"/>
      <c r="N202" s="40"/>
      <c r="O202" s="40"/>
      <c r="P202" s="40"/>
      <c r="Q202" s="40"/>
      <c r="R202" s="40"/>
      <c r="S202" s="39"/>
    </row>
    <row r="203" spans="1:19" ht="0.75" hidden="1" customHeight="1">
      <c r="A203" s="6"/>
      <c r="B203" s="6"/>
      <c r="C203" s="6"/>
      <c r="D203" s="6"/>
      <c r="E203" s="41"/>
      <c r="F203" s="6"/>
      <c r="G203" s="40"/>
      <c r="H203" s="40"/>
      <c r="I203" s="40"/>
      <c r="J203" s="40"/>
      <c r="K203" s="40"/>
      <c r="L203" s="40"/>
      <c r="M203" s="40"/>
      <c r="N203" s="40"/>
      <c r="O203" s="40"/>
      <c r="P203" s="40"/>
      <c r="Q203" s="40"/>
      <c r="R203" s="40"/>
      <c r="S203" s="39"/>
    </row>
    <row r="204" spans="1:19" ht="2.25" hidden="1" customHeight="1">
      <c r="A204" s="6"/>
      <c r="B204" s="6"/>
      <c r="C204" s="6"/>
      <c r="D204" s="6"/>
      <c r="E204" s="41"/>
      <c r="F204" s="6"/>
      <c r="G204" s="40"/>
      <c r="H204" s="40"/>
      <c r="I204" s="40"/>
      <c r="J204" s="40"/>
      <c r="K204" s="40"/>
      <c r="L204" s="40"/>
      <c r="M204" s="40"/>
      <c r="N204" s="40"/>
      <c r="O204" s="40"/>
      <c r="P204" s="40"/>
      <c r="Q204" s="40"/>
      <c r="R204" s="40"/>
      <c r="S204" s="39"/>
    </row>
    <row r="205" spans="1:19" ht="34.5" hidden="1" customHeight="1" thickBot="1">
      <c r="A205" s="6"/>
      <c r="B205" s="6"/>
      <c r="C205" s="6"/>
      <c r="D205" s="6"/>
      <c r="E205" s="38"/>
      <c r="F205" s="37"/>
      <c r="G205" s="36"/>
      <c r="H205" s="36"/>
      <c r="I205" s="36"/>
      <c r="J205" s="36"/>
      <c r="K205" s="36"/>
      <c r="L205" s="36"/>
      <c r="M205" s="36"/>
      <c r="N205" s="36"/>
      <c r="O205" s="36"/>
      <c r="P205" s="36"/>
      <c r="Q205" s="36"/>
      <c r="R205" s="36"/>
      <c r="S205" s="35"/>
    </row>
    <row r="206" spans="1:19" ht="18.75">
      <c r="D206" s="34"/>
      <c r="E206" s="14">
        <f t="shared" ref="E206:S206" si="0">SUM(E9:E205)</f>
        <v>0</v>
      </c>
      <c r="F206" s="14">
        <f t="shared" si="0"/>
        <v>0</v>
      </c>
      <c r="G206" s="33">
        <f t="shared" si="0"/>
        <v>0</v>
      </c>
      <c r="H206" s="33">
        <f t="shared" si="0"/>
        <v>0</v>
      </c>
      <c r="I206" s="33">
        <f t="shared" si="0"/>
        <v>0</v>
      </c>
      <c r="J206" s="33">
        <f t="shared" si="0"/>
        <v>0</v>
      </c>
      <c r="K206" s="33">
        <f t="shared" si="0"/>
        <v>0</v>
      </c>
      <c r="L206" s="33">
        <f t="shared" si="0"/>
        <v>0</v>
      </c>
      <c r="M206" s="33">
        <f t="shared" si="0"/>
        <v>0</v>
      </c>
      <c r="N206" s="33"/>
      <c r="O206" s="33">
        <f t="shared" si="0"/>
        <v>0</v>
      </c>
      <c r="P206" s="33">
        <f t="shared" si="0"/>
        <v>0</v>
      </c>
      <c r="Q206" s="33">
        <f t="shared" si="0"/>
        <v>0</v>
      </c>
      <c r="R206" s="33">
        <f t="shared" si="0"/>
        <v>0</v>
      </c>
      <c r="S206" s="32">
        <f t="shared" si="0"/>
        <v>0</v>
      </c>
    </row>
  </sheetData>
  <mergeCells count="3">
    <mergeCell ref="O7:Q7"/>
    <mergeCell ref="R7:S7"/>
    <mergeCell ref="A7:N7"/>
  </mergeCells>
  <pageMargins left="0.25" right="0.25" top="0.75" bottom="0.75" header="0.3" footer="0.3"/>
  <pageSetup scale="54" orientation="landscape" r:id="rId1"/>
  <headerFooter scaleWithDoc="0">
    <oddFooter>&amp;C&amp;"Times New Roman,Regular"&amp;12&amp;A</oddFooter>
  </headerFooter>
  <legacyDrawing r:id="rId2"/>
  <tableParts count="1">
    <tablePart r:id="rId3"/>
  </tablePart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Z60"/>
  <sheetViews>
    <sheetView zoomScaleNormal="100" workbookViewId="0">
      <selection activeCell="J38" sqref="J38:R38"/>
    </sheetView>
  </sheetViews>
  <sheetFormatPr defaultColWidth="9.140625" defaultRowHeight="15.75"/>
  <cols>
    <col min="1" max="1" width="9.28515625" style="206" customWidth="1"/>
    <col min="2" max="2" width="17.140625" style="206" customWidth="1"/>
    <col min="3" max="3" width="9.140625" style="207" customWidth="1"/>
    <col min="4" max="4" width="12" style="206" customWidth="1"/>
    <col min="5" max="5" width="9.85546875" style="207" bestFit="1" customWidth="1"/>
    <col min="6" max="6" width="10.28515625" style="206" customWidth="1"/>
    <col min="7" max="7" width="9.85546875" style="207" bestFit="1" customWidth="1"/>
    <col min="8" max="8" width="10.85546875" style="206" customWidth="1"/>
    <col min="9" max="9" width="4" style="206" customWidth="1"/>
    <col min="10" max="10" width="9.140625" style="207" customWidth="1"/>
    <col min="11" max="11" width="11.42578125" style="206" customWidth="1"/>
    <col min="12" max="12" width="9.140625" style="207" customWidth="1"/>
    <col min="13" max="13" width="10" style="206" customWidth="1"/>
    <col min="14" max="14" width="10.140625" style="207" bestFit="1" customWidth="1"/>
    <col min="15" max="15" width="9.42578125" style="206" customWidth="1"/>
    <col min="16" max="16" width="9.7109375" style="8" customWidth="1"/>
    <col min="17" max="17" width="12" style="206" customWidth="1"/>
    <col min="18" max="18" width="13" style="206" customWidth="1"/>
    <col min="19" max="19" width="9.140625" style="206"/>
    <col min="20" max="20" width="12" style="206" customWidth="1"/>
    <col min="21" max="21" width="15" style="206" customWidth="1"/>
    <col min="22" max="22" width="12" style="207" customWidth="1"/>
    <col min="23" max="28" width="9.140625" style="206"/>
    <col min="29" max="29" width="9.7109375" style="206" bestFit="1" customWidth="1"/>
    <col min="30" max="16384" width="9.140625" style="206"/>
  </cols>
  <sheetData>
    <row r="1" spans="1:22" s="204" customFormat="1" ht="19.5">
      <c r="A1" s="215" t="s">
        <v>59</v>
      </c>
      <c r="C1" s="205"/>
      <c r="E1" s="205"/>
      <c r="G1" s="205"/>
      <c r="J1" s="205"/>
      <c r="L1" s="205"/>
      <c r="N1" s="205"/>
      <c r="P1" s="199"/>
      <c r="V1" s="205"/>
    </row>
    <row r="2" spans="1:22" s="204" customFormat="1" ht="19.5">
      <c r="A2" s="215" t="s">
        <v>352</v>
      </c>
      <c r="B2" s="195"/>
      <c r="C2" s="205"/>
      <c r="E2" s="196"/>
      <c r="F2" s="195"/>
      <c r="G2" s="196"/>
      <c r="H2" s="195"/>
      <c r="I2" s="195"/>
      <c r="J2" s="205"/>
      <c r="L2" s="205"/>
      <c r="N2" s="205"/>
      <c r="P2" s="199"/>
      <c r="V2" s="205"/>
    </row>
    <row r="3" spans="1:22" ht="37.5" customHeight="1">
      <c r="A3" s="197"/>
      <c r="B3" s="198"/>
      <c r="C3" s="796" t="s">
        <v>57</v>
      </c>
      <c r="D3" s="796"/>
      <c r="E3" s="796"/>
      <c r="F3" s="796"/>
      <c r="G3" s="796"/>
      <c r="H3" s="796"/>
      <c r="I3" s="198"/>
      <c r="J3" s="796" t="s">
        <v>56</v>
      </c>
      <c r="K3" s="796"/>
      <c r="L3" s="796"/>
      <c r="M3" s="796"/>
      <c r="N3" s="796"/>
      <c r="O3" s="796"/>
      <c r="P3" s="216"/>
      <c r="Q3" s="787" t="s">
        <v>40</v>
      </c>
      <c r="R3" s="787"/>
      <c r="T3" s="785" t="s">
        <v>197</v>
      </c>
      <c r="U3" s="785"/>
    </row>
    <row r="4" spans="1:22">
      <c r="A4" s="217" t="s">
        <v>22</v>
      </c>
      <c r="B4" s="217" t="s">
        <v>23</v>
      </c>
      <c r="C4" s="797" t="s">
        <v>3</v>
      </c>
      <c r="D4" s="797"/>
      <c r="E4" s="797" t="s">
        <v>4</v>
      </c>
      <c r="F4" s="797"/>
      <c r="G4" s="797" t="s">
        <v>5</v>
      </c>
      <c r="H4" s="797"/>
      <c r="I4" s="3"/>
      <c r="J4" s="797" t="s">
        <v>3</v>
      </c>
      <c r="K4" s="797"/>
      <c r="L4" s="797" t="s">
        <v>4</v>
      </c>
      <c r="M4" s="797"/>
      <c r="N4" s="797" t="s">
        <v>5</v>
      </c>
      <c r="O4" s="797"/>
      <c r="Q4" s="787"/>
      <c r="R4" s="787"/>
      <c r="T4" s="208" t="s">
        <v>198</v>
      </c>
      <c r="U4" s="213"/>
      <c r="V4" s="206"/>
    </row>
    <row r="5" spans="1:22" ht="15.75" customHeight="1">
      <c r="A5" s="798" t="s">
        <v>24</v>
      </c>
      <c r="B5" s="186" t="s">
        <v>25</v>
      </c>
      <c r="C5" s="225">
        <v>5.306</v>
      </c>
      <c r="D5" s="225" t="s">
        <v>173</v>
      </c>
      <c r="E5" s="673">
        <v>0.09</v>
      </c>
      <c r="F5" s="673" t="s">
        <v>176</v>
      </c>
      <c r="G5" s="673">
        <v>0.09</v>
      </c>
      <c r="H5" s="673" t="s">
        <v>176</v>
      </c>
      <c r="I5" s="674"/>
      <c r="J5" s="672">
        <v>53.02</v>
      </c>
      <c r="K5" s="672" t="s">
        <v>179</v>
      </c>
      <c r="L5" s="673">
        <v>0.9</v>
      </c>
      <c r="M5" s="673" t="s">
        <v>180</v>
      </c>
      <c r="N5" s="673">
        <v>0.9</v>
      </c>
      <c r="O5" s="221" t="s">
        <v>180</v>
      </c>
      <c r="Q5" s="788" t="s">
        <v>46</v>
      </c>
      <c r="R5" s="788"/>
      <c r="T5" s="208" t="s">
        <v>3</v>
      </c>
      <c r="U5" s="200">
        <v>1</v>
      </c>
      <c r="V5" s="206"/>
    </row>
    <row r="6" spans="1:22" ht="15.75" customHeight="1">
      <c r="A6" s="798"/>
      <c r="B6" s="186" t="s">
        <v>58</v>
      </c>
      <c r="C6" s="673">
        <v>10.210000000000001</v>
      </c>
      <c r="D6" s="673" t="s">
        <v>174</v>
      </c>
      <c r="E6" s="673">
        <v>0.19600000000000001</v>
      </c>
      <c r="F6" s="673" t="s">
        <v>177</v>
      </c>
      <c r="G6" s="673">
        <v>4.2000000000000003E-2</v>
      </c>
      <c r="H6" s="673" t="s">
        <v>177</v>
      </c>
      <c r="I6" s="674"/>
      <c r="J6" s="673">
        <v>72.930000000000007</v>
      </c>
      <c r="K6" s="673" t="s">
        <v>179</v>
      </c>
      <c r="L6" s="673">
        <v>1.4</v>
      </c>
      <c r="M6" s="673" t="s">
        <v>180</v>
      </c>
      <c r="N6" s="673">
        <v>0.3</v>
      </c>
      <c r="O6" s="221" t="s">
        <v>180</v>
      </c>
      <c r="Q6" s="788" t="s">
        <v>41</v>
      </c>
      <c r="R6" s="788"/>
      <c r="T6" s="208" t="s">
        <v>4</v>
      </c>
      <c r="U6" s="200">
        <v>25</v>
      </c>
      <c r="V6" s="206"/>
    </row>
    <row r="7" spans="1:22" ht="21" customHeight="1">
      <c r="A7" s="798"/>
      <c r="B7" s="186" t="s">
        <v>26</v>
      </c>
      <c r="C7" s="673">
        <v>10.210000000000001</v>
      </c>
      <c r="D7" s="673" t="s">
        <v>174</v>
      </c>
      <c r="E7" s="673">
        <v>9.6600000000000005E-2</v>
      </c>
      <c r="F7" s="673" t="s">
        <v>177</v>
      </c>
      <c r="G7" s="673">
        <v>5.5199999999999999E-2</v>
      </c>
      <c r="H7" s="673" t="s">
        <v>177</v>
      </c>
      <c r="I7" s="674"/>
      <c r="J7" s="673">
        <v>73.02</v>
      </c>
      <c r="K7" s="673" t="s">
        <v>179</v>
      </c>
      <c r="L7" s="673">
        <v>0.7</v>
      </c>
      <c r="M7" s="673" t="s">
        <v>180</v>
      </c>
      <c r="N7" s="673">
        <v>0.4</v>
      </c>
      <c r="O7" s="221" t="s">
        <v>180</v>
      </c>
      <c r="Q7" s="789" t="s">
        <v>359</v>
      </c>
      <c r="R7" s="789"/>
      <c r="T7" s="209" t="s">
        <v>5</v>
      </c>
      <c r="U7" s="200">
        <v>298</v>
      </c>
      <c r="V7" s="206"/>
    </row>
    <row r="8" spans="1:22" ht="21" customHeight="1">
      <c r="A8" s="798"/>
      <c r="B8" s="186" t="s">
        <v>314</v>
      </c>
      <c r="C8" s="673">
        <v>9.4499999999999993</v>
      </c>
      <c r="D8" s="673" t="s">
        <v>174</v>
      </c>
      <c r="E8" s="673">
        <v>8.9599999999999999E-2</v>
      </c>
      <c r="F8" s="673" t="s">
        <v>177</v>
      </c>
      <c r="G8" s="673">
        <v>5.1200000000000002E-2</v>
      </c>
      <c r="H8" s="673" t="s">
        <v>177</v>
      </c>
      <c r="I8" s="674"/>
      <c r="J8" s="673">
        <v>73.84</v>
      </c>
      <c r="K8" s="673" t="s">
        <v>179</v>
      </c>
      <c r="L8" s="673">
        <v>0.7</v>
      </c>
      <c r="M8" s="673" t="s">
        <v>180</v>
      </c>
      <c r="N8" s="673">
        <v>0.4</v>
      </c>
      <c r="O8" s="221" t="s">
        <v>180</v>
      </c>
      <c r="Q8" s="789" t="s">
        <v>316</v>
      </c>
      <c r="R8" s="789"/>
      <c r="T8" s="209" t="s">
        <v>193</v>
      </c>
      <c r="U8" s="200" t="s">
        <v>195</v>
      </c>
      <c r="V8" s="206"/>
    </row>
    <row r="9" spans="1:22" ht="18.75" customHeight="1">
      <c r="A9" s="798"/>
      <c r="B9" s="186" t="s">
        <v>37</v>
      </c>
      <c r="C9" s="673">
        <v>8.7799999999999994</v>
      </c>
      <c r="D9" s="673" t="s">
        <v>174</v>
      </c>
      <c r="E9" s="673">
        <v>8.7499999999999994E-2</v>
      </c>
      <c r="F9" s="673" t="s">
        <v>177</v>
      </c>
      <c r="G9" s="673">
        <v>0.05</v>
      </c>
      <c r="H9" s="673" t="s">
        <v>177</v>
      </c>
      <c r="I9" s="674"/>
      <c r="J9" s="673">
        <v>70.22</v>
      </c>
      <c r="K9" s="673" t="s">
        <v>179</v>
      </c>
      <c r="L9" s="673">
        <v>0.7</v>
      </c>
      <c r="M9" s="673" t="s">
        <v>180</v>
      </c>
      <c r="N9" s="673">
        <v>0.4</v>
      </c>
      <c r="O9" s="221" t="s">
        <v>180</v>
      </c>
      <c r="Q9" s="789" t="s">
        <v>44</v>
      </c>
      <c r="R9" s="789"/>
      <c r="T9" s="209" t="s">
        <v>194</v>
      </c>
      <c r="U9" s="200" t="s">
        <v>196</v>
      </c>
      <c r="V9" s="206"/>
    </row>
    <row r="10" spans="1:22" ht="18.75" customHeight="1">
      <c r="A10" s="798"/>
      <c r="B10" s="186" t="s">
        <v>315</v>
      </c>
      <c r="C10" s="673">
        <v>5.75</v>
      </c>
      <c r="D10" s="673" t="s">
        <v>174</v>
      </c>
      <c r="E10" s="673">
        <v>5.8799999999999998E-2</v>
      </c>
      <c r="F10" s="673" t="s">
        <v>177</v>
      </c>
      <c r="G10" s="673">
        <v>3.3599999999999998E-2</v>
      </c>
      <c r="H10" s="673" t="s">
        <v>177</v>
      </c>
      <c r="I10" s="674"/>
      <c r="J10" s="673">
        <v>68.44</v>
      </c>
      <c r="K10" s="673" t="s">
        <v>179</v>
      </c>
      <c r="L10" s="673">
        <v>0.7</v>
      </c>
      <c r="M10" s="673" t="s">
        <v>180</v>
      </c>
      <c r="N10" s="673">
        <v>0.4</v>
      </c>
      <c r="O10" s="221" t="s">
        <v>180</v>
      </c>
      <c r="Q10" s="789" t="s">
        <v>317</v>
      </c>
      <c r="R10" s="789"/>
      <c r="T10" s="209" t="s">
        <v>192</v>
      </c>
      <c r="U10" s="201">
        <v>22800</v>
      </c>
      <c r="V10" s="206"/>
    </row>
    <row r="11" spans="1:22" ht="22.5" customHeight="1">
      <c r="A11" s="798"/>
      <c r="B11" s="186" t="s">
        <v>27</v>
      </c>
      <c r="C11" s="673">
        <v>1639.62</v>
      </c>
      <c r="D11" s="673" t="s">
        <v>175</v>
      </c>
      <c r="E11" s="673">
        <v>143.03</v>
      </c>
      <c r="F11" s="673" t="s">
        <v>178</v>
      </c>
      <c r="G11" s="673">
        <v>90.74</v>
      </c>
      <c r="H11" s="673" t="s">
        <v>178</v>
      </c>
      <c r="I11" s="674"/>
      <c r="J11" s="673">
        <v>93.8</v>
      </c>
      <c r="K11" s="673" t="s">
        <v>179</v>
      </c>
      <c r="L11" s="673">
        <v>9.3000000000000007</v>
      </c>
      <c r="M11" s="673" t="s">
        <v>180</v>
      </c>
      <c r="N11" s="673">
        <v>5.9</v>
      </c>
      <c r="O11" s="221" t="s">
        <v>180</v>
      </c>
      <c r="Q11" s="788" t="s">
        <v>43</v>
      </c>
      <c r="R11" s="788"/>
      <c r="T11" s="200" t="s">
        <v>373</v>
      </c>
      <c r="U11" s="213"/>
      <c r="V11" s="206"/>
    </row>
    <row r="12" spans="1:22" ht="15.75" customHeight="1">
      <c r="A12" s="798"/>
      <c r="B12" s="186" t="s">
        <v>28</v>
      </c>
      <c r="C12" s="673">
        <v>5.72</v>
      </c>
      <c r="D12" s="673" t="s">
        <v>174</v>
      </c>
      <c r="E12" s="673">
        <v>1.0009999999999999</v>
      </c>
      <c r="F12" s="673" t="s">
        <v>177</v>
      </c>
      <c r="G12" s="673">
        <v>5.4600000000000003E-2</v>
      </c>
      <c r="H12" s="673" t="s">
        <v>177</v>
      </c>
      <c r="I12" s="674"/>
      <c r="J12" s="673">
        <v>61.46</v>
      </c>
      <c r="K12" s="673" t="s">
        <v>179</v>
      </c>
      <c r="L12" s="673">
        <v>11</v>
      </c>
      <c r="M12" s="673" t="s">
        <v>180</v>
      </c>
      <c r="N12" s="673">
        <v>0.6</v>
      </c>
      <c r="O12" s="221" t="s">
        <v>180</v>
      </c>
      <c r="Q12" s="788" t="s">
        <v>42</v>
      </c>
      <c r="R12" s="788"/>
      <c r="S12"/>
      <c r="T12" s="609" t="s">
        <v>463</v>
      </c>
      <c r="U12" s="608"/>
      <c r="V12" s="607"/>
    </row>
    <row r="13" spans="1:22" ht="15.75" customHeight="1">
      <c r="A13" s="798"/>
      <c r="B13" s="186" t="s">
        <v>54</v>
      </c>
      <c r="C13" s="673">
        <v>8.31</v>
      </c>
      <c r="D13" s="673" t="s">
        <v>174</v>
      </c>
      <c r="E13" s="673">
        <v>1.32</v>
      </c>
      <c r="F13" s="673" t="s">
        <v>177</v>
      </c>
      <c r="G13" s="673">
        <v>7.1999999999999995E-2</v>
      </c>
      <c r="H13" s="673" t="s">
        <v>177</v>
      </c>
      <c r="I13" s="674"/>
      <c r="J13" s="673">
        <v>69.25</v>
      </c>
      <c r="K13" s="673" t="s">
        <v>179</v>
      </c>
      <c r="L13" s="673">
        <v>11</v>
      </c>
      <c r="M13" s="673" t="s">
        <v>180</v>
      </c>
      <c r="N13" s="673">
        <v>0.6</v>
      </c>
      <c r="O13" s="221" t="s">
        <v>180</v>
      </c>
      <c r="Q13" s="790"/>
      <c r="R13" s="791"/>
      <c r="U13" s="207"/>
      <c r="V13" s="206"/>
    </row>
    <row r="14" spans="1:22" ht="15.75" customHeight="1">
      <c r="A14" s="798"/>
      <c r="B14" s="186" t="s">
        <v>339</v>
      </c>
      <c r="C14" s="673">
        <v>9.75</v>
      </c>
      <c r="D14" s="673" t="s">
        <v>174</v>
      </c>
      <c r="E14" s="673">
        <v>1.4850000000000001</v>
      </c>
      <c r="F14" s="673" t="s">
        <v>177</v>
      </c>
      <c r="G14" s="673">
        <v>8.1000000000000003E-2</v>
      </c>
      <c r="H14" s="673" t="s">
        <v>177</v>
      </c>
      <c r="I14" s="674"/>
      <c r="J14" s="673">
        <v>72.22</v>
      </c>
      <c r="K14" s="673" t="s">
        <v>179</v>
      </c>
      <c r="L14" s="673">
        <v>11</v>
      </c>
      <c r="M14" s="673" t="s">
        <v>180</v>
      </c>
      <c r="N14" s="673">
        <v>0.6</v>
      </c>
      <c r="O14" s="221" t="s">
        <v>180</v>
      </c>
      <c r="Q14" s="790"/>
      <c r="R14" s="791"/>
      <c r="U14" s="207"/>
      <c r="V14" s="206"/>
    </row>
    <row r="15" spans="1:22" ht="15.75" customHeight="1">
      <c r="A15" s="8" t="s">
        <v>319</v>
      </c>
      <c r="B15" s="803"/>
      <c r="C15" s="804"/>
      <c r="D15" s="804"/>
      <c r="E15" s="805"/>
      <c r="F15" s="801" t="s">
        <v>475</v>
      </c>
      <c r="G15" s="802"/>
      <c r="H15" s="802"/>
      <c r="I15" s="802"/>
      <c r="J15" s="802"/>
      <c r="K15" s="802"/>
      <c r="L15" s="84"/>
      <c r="M15" s="84"/>
      <c r="N15" s="84"/>
      <c r="O15" s="84"/>
      <c r="U15" s="207"/>
      <c r="V15" s="206"/>
    </row>
    <row r="16" spans="1:22" ht="15.75" customHeight="1">
      <c r="A16" s="8"/>
      <c r="B16" s="194"/>
      <c r="C16" s="84"/>
      <c r="D16" s="84"/>
      <c r="E16" s="84"/>
      <c r="F16" s="84"/>
      <c r="G16" s="84"/>
      <c r="H16" s="84"/>
      <c r="I16" s="4"/>
      <c r="J16" s="84"/>
      <c r="K16" s="84"/>
      <c r="L16" s="84"/>
      <c r="M16" s="84"/>
      <c r="N16" s="84"/>
      <c r="O16" s="84"/>
      <c r="U16" s="207"/>
      <c r="V16" s="206"/>
    </row>
    <row r="17" spans="1:26" ht="15.75" customHeight="1">
      <c r="A17" s="8"/>
      <c r="B17" s="194"/>
      <c r="C17" s="796" t="s">
        <v>57</v>
      </c>
      <c r="D17" s="796"/>
      <c r="E17" s="796"/>
      <c r="F17" s="796"/>
      <c r="G17" s="796"/>
      <c r="H17" s="796"/>
      <c r="I17" s="4"/>
      <c r="J17" s="796" t="s">
        <v>56</v>
      </c>
      <c r="K17" s="796"/>
      <c r="L17" s="796"/>
      <c r="M17" s="796"/>
      <c r="N17" s="796"/>
      <c r="O17" s="796"/>
      <c r="Q17" s="794" t="s">
        <v>375</v>
      </c>
      <c r="R17" s="795"/>
      <c r="U17" s="207"/>
      <c r="V17" s="206"/>
    </row>
    <row r="18" spans="1:26" ht="15.75" customHeight="1">
      <c r="A18" s="217" t="s">
        <v>22</v>
      </c>
      <c r="B18" s="217" t="s">
        <v>23</v>
      </c>
      <c r="C18" s="797" t="s">
        <v>3</v>
      </c>
      <c r="D18" s="797"/>
      <c r="E18" s="797" t="s">
        <v>4</v>
      </c>
      <c r="F18" s="797"/>
      <c r="G18" s="797" t="s">
        <v>5</v>
      </c>
      <c r="H18" s="797"/>
      <c r="I18" s="4"/>
      <c r="J18" s="797" t="s">
        <v>3</v>
      </c>
      <c r="K18" s="797"/>
      <c r="L18" s="797" t="s">
        <v>4</v>
      </c>
      <c r="M18" s="797"/>
      <c r="N18" s="797" t="s">
        <v>5</v>
      </c>
      <c r="O18" s="797"/>
      <c r="Q18" s="790"/>
      <c r="R18" s="791"/>
      <c r="U18" s="207"/>
      <c r="V18" s="206"/>
    </row>
    <row r="19" spans="1:26" ht="30.75" customHeight="1">
      <c r="A19" s="798" t="s">
        <v>38</v>
      </c>
      <c r="B19" s="800" t="s">
        <v>55</v>
      </c>
      <c r="C19" s="223">
        <f>C20/1000*0.454</f>
        <v>0.30225049999999998</v>
      </c>
      <c r="D19" s="221" t="s">
        <v>115</v>
      </c>
      <c r="E19" s="224">
        <f>E20/100000*453.6</f>
        <v>5.7153600000000006E-2</v>
      </c>
      <c r="F19" s="221" t="s">
        <v>117</v>
      </c>
      <c r="G19" s="224">
        <f>G20/1000000*453.5</f>
        <v>4.70733E-3</v>
      </c>
      <c r="H19" s="221" t="s">
        <v>117</v>
      </c>
      <c r="I19" s="4"/>
      <c r="J19" s="799">
        <f>C19*341.2</f>
        <v>103.12787059999999</v>
      </c>
      <c r="K19" s="799" t="s">
        <v>179</v>
      </c>
      <c r="L19" s="799">
        <v>1.94</v>
      </c>
      <c r="M19" s="799" t="s">
        <v>180</v>
      </c>
      <c r="N19" s="799">
        <v>1.6</v>
      </c>
      <c r="O19" s="799" t="s">
        <v>180</v>
      </c>
      <c r="Q19" s="792" t="s">
        <v>45</v>
      </c>
      <c r="R19" s="793"/>
      <c r="U19" s="207"/>
      <c r="V19" s="206"/>
    </row>
    <row r="20" spans="1:26" ht="31.5">
      <c r="A20" s="798"/>
      <c r="B20" s="800"/>
      <c r="C20" s="673">
        <v>665.75</v>
      </c>
      <c r="D20" s="673" t="s">
        <v>116</v>
      </c>
      <c r="E20" s="673">
        <v>12.6</v>
      </c>
      <c r="F20" s="673" t="s">
        <v>118</v>
      </c>
      <c r="G20" s="673">
        <v>10.38</v>
      </c>
      <c r="H20" s="221" t="s">
        <v>119</v>
      </c>
      <c r="I20" s="4"/>
      <c r="J20" s="799"/>
      <c r="K20" s="799"/>
      <c r="L20" s="799"/>
      <c r="M20" s="799"/>
      <c r="N20" s="799"/>
      <c r="O20" s="799"/>
      <c r="P20" s="206"/>
      <c r="Q20" s="790"/>
      <c r="R20" s="791"/>
      <c r="U20" s="207"/>
      <c r="V20" s="206"/>
      <c r="Z20" s="8"/>
    </row>
    <row r="21" spans="1:26" ht="33.75" customHeight="1">
      <c r="A21" s="798"/>
      <c r="B21" s="186" t="s">
        <v>39</v>
      </c>
      <c r="C21" s="225">
        <v>7.0699999999999999E-2</v>
      </c>
      <c r="D21" s="221" t="s">
        <v>374</v>
      </c>
      <c r="E21" s="221"/>
      <c r="F21" s="221"/>
      <c r="G21" s="221"/>
      <c r="H21" s="221"/>
      <c r="I21" s="4"/>
      <c r="J21" s="225">
        <v>7.6999999999999999E-2</v>
      </c>
      <c r="K21" s="221" t="s">
        <v>181</v>
      </c>
      <c r="L21" s="221"/>
      <c r="M21" s="221"/>
      <c r="N21" s="221"/>
      <c r="O21" s="221"/>
      <c r="P21" s="206"/>
      <c r="Q21" s="790"/>
      <c r="R21" s="791"/>
      <c r="U21" s="207"/>
      <c r="V21" s="206"/>
    </row>
    <row r="22" spans="1:26" ht="15" customHeight="1">
      <c r="A22" s="192" t="s">
        <v>319</v>
      </c>
      <c r="B22" s="611"/>
      <c r="C22" s="610"/>
      <c r="D22" t="s">
        <v>480</v>
      </c>
      <c r="E22"/>
      <c r="F22"/>
      <c r="G22" s="202"/>
      <c r="H22" s="202"/>
      <c r="I22" s="203"/>
      <c r="P22" s="206"/>
      <c r="U22" s="207"/>
      <c r="V22" s="206"/>
    </row>
    <row r="23" spans="1:26">
      <c r="A23" s="8"/>
      <c r="B23" s="193" t="s">
        <v>372</v>
      </c>
      <c r="P23" s="206"/>
      <c r="U23" s="207"/>
      <c r="V23" s="206"/>
    </row>
    <row r="24" spans="1:26">
      <c r="B24" s="609"/>
    </row>
    <row r="25" spans="1:26" s="191" customFormat="1">
      <c r="A25" s="148"/>
      <c r="B25" s="148"/>
      <c r="C25" s="797" t="s">
        <v>3</v>
      </c>
      <c r="D25" s="797"/>
      <c r="E25" s="797"/>
      <c r="F25" s="797"/>
      <c r="G25" s="797"/>
      <c r="H25" s="797"/>
      <c r="I25" s="211"/>
      <c r="J25" s="797" t="s">
        <v>4</v>
      </c>
      <c r="K25" s="797"/>
      <c r="L25" s="797"/>
      <c r="M25" s="797"/>
      <c r="N25" s="797"/>
      <c r="O25" s="797"/>
      <c r="P25" s="797"/>
      <c r="Q25" s="797"/>
      <c r="R25" s="797"/>
      <c r="S25" s="797"/>
      <c r="T25" s="797"/>
      <c r="U25" s="797"/>
      <c r="V25" s="797"/>
      <c r="W25" s="797"/>
      <c r="X25" s="212"/>
    </row>
    <row r="26" spans="1:26" s="191" customFormat="1" ht="63" customHeight="1">
      <c r="A26" s="217" t="s">
        <v>22</v>
      </c>
      <c r="B26" s="217" t="s">
        <v>23</v>
      </c>
      <c r="C26" s="787" t="s">
        <v>48</v>
      </c>
      <c r="D26" s="787"/>
      <c r="E26" s="787" t="s">
        <v>49</v>
      </c>
      <c r="F26" s="787"/>
      <c r="G26" s="787" t="s">
        <v>50</v>
      </c>
      <c r="H26" s="787"/>
      <c r="I26" s="211"/>
      <c r="J26" s="787" t="s">
        <v>88</v>
      </c>
      <c r="K26" s="787"/>
      <c r="L26" s="787" t="s">
        <v>89</v>
      </c>
      <c r="M26" s="787"/>
      <c r="N26" s="787" t="s">
        <v>90</v>
      </c>
      <c r="O26" s="787"/>
      <c r="P26" s="787" t="s">
        <v>92</v>
      </c>
      <c r="Q26" s="787"/>
      <c r="R26" s="787" t="s">
        <v>81</v>
      </c>
      <c r="S26" s="787"/>
      <c r="T26" s="787" t="s">
        <v>80</v>
      </c>
      <c r="U26" s="787"/>
      <c r="V26" s="787" t="s">
        <v>82</v>
      </c>
      <c r="W26" s="787"/>
      <c r="X26" s="212"/>
    </row>
    <row r="27" spans="1:26" s="191" customFormat="1" ht="33" customHeight="1">
      <c r="A27" s="798" t="s">
        <v>10</v>
      </c>
      <c r="B27" s="210" t="s">
        <v>30</v>
      </c>
      <c r="C27" s="672">
        <v>8.7799999999999994</v>
      </c>
      <c r="D27" s="222" t="s">
        <v>83</v>
      </c>
      <c r="E27" s="222">
        <v>70.22</v>
      </c>
      <c r="F27" s="222" t="s">
        <v>85</v>
      </c>
      <c r="G27" s="222"/>
      <c r="H27" s="222"/>
      <c r="I27" s="148"/>
      <c r="J27" s="672">
        <v>1.72E-2</v>
      </c>
      <c r="K27" s="672" t="s">
        <v>87</v>
      </c>
      <c r="L27" s="672">
        <v>3.2599999999999997E-2</v>
      </c>
      <c r="M27" s="222" t="s">
        <v>87</v>
      </c>
      <c r="N27" s="227">
        <v>3.9297116323681706E-4</v>
      </c>
      <c r="O27" s="222" t="s">
        <v>104</v>
      </c>
      <c r="P27" s="226">
        <v>0.5</v>
      </c>
      <c r="Q27" s="226" t="s">
        <v>91</v>
      </c>
      <c r="R27" s="226">
        <v>0.6</v>
      </c>
      <c r="S27" s="226" t="s">
        <v>91</v>
      </c>
      <c r="T27" s="226">
        <v>0.6</v>
      </c>
      <c r="U27" s="226" t="s">
        <v>91</v>
      </c>
      <c r="V27" s="222" t="s">
        <v>51</v>
      </c>
      <c r="W27" s="226"/>
    </row>
    <row r="28" spans="1:26" s="191" customFormat="1" ht="31.5">
      <c r="A28" s="798"/>
      <c r="B28" s="210" t="s">
        <v>32</v>
      </c>
      <c r="C28" s="672">
        <v>5.75</v>
      </c>
      <c r="D28" s="222" t="s">
        <v>83</v>
      </c>
      <c r="E28" s="222">
        <v>68.44</v>
      </c>
      <c r="F28" s="222" t="s">
        <v>85</v>
      </c>
      <c r="G28" s="222"/>
      <c r="H28" s="222"/>
      <c r="I28" s="148"/>
      <c r="J28" s="672">
        <v>5.5E-2</v>
      </c>
      <c r="K28" s="672" t="s">
        <v>87</v>
      </c>
      <c r="L28" s="672">
        <v>0.19700000000000001</v>
      </c>
      <c r="M28" s="222" t="s">
        <v>87</v>
      </c>
      <c r="N28" s="227">
        <v>2.6652452025586359E-4</v>
      </c>
      <c r="O28" s="222" t="s">
        <v>104</v>
      </c>
      <c r="P28" s="222" t="s">
        <v>51</v>
      </c>
      <c r="Q28" s="226"/>
      <c r="R28" s="222" t="s">
        <v>51</v>
      </c>
      <c r="S28" s="226"/>
      <c r="T28" s="226" t="str">
        <f t="shared" ref="T28:T37" si="0">R28</f>
        <v>NA</v>
      </c>
      <c r="U28" s="226"/>
      <c r="V28" s="222" t="s">
        <v>51</v>
      </c>
      <c r="W28" s="226"/>
    </row>
    <row r="29" spans="1:26" s="191" customFormat="1" ht="31.5">
      <c r="A29" s="798"/>
      <c r="B29" s="210" t="s">
        <v>29</v>
      </c>
      <c r="C29" s="672">
        <v>10.210000000000001</v>
      </c>
      <c r="D29" s="222" t="s">
        <v>83</v>
      </c>
      <c r="E29" s="222">
        <v>73.84</v>
      </c>
      <c r="F29" s="222" t="s">
        <v>85</v>
      </c>
      <c r="G29" s="222"/>
      <c r="H29" s="222"/>
      <c r="I29" s="148"/>
      <c r="J29" s="672">
        <v>1E-3</v>
      </c>
      <c r="K29" s="672" t="s">
        <v>87</v>
      </c>
      <c r="L29" s="672">
        <v>5.1000000000000004E-3</v>
      </c>
      <c r="M29" s="222" t="s">
        <v>87</v>
      </c>
      <c r="N29" s="227">
        <v>4.3868475006793024E-4</v>
      </c>
      <c r="O29" s="222" t="s">
        <v>104</v>
      </c>
      <c r="P29" s="226">
        <v>0.57999999999999996</v>
      </c>
      <c r="Q29" s="226" t="s">
        <v>91</v>
      </c>
      <c r="R29" s="226">
        <v>0.74</v>
      </c>
      <c r="S29" s="226" t="s">
        <v>91</v>
      </c>
      <c r="T29" s="226">
        <f t="shared" si="0"/>
        <v>0.74</v>
      </c>
      <c r="U29" s="226" t="s">
        <v>91</v>
      </c>
      <c r="V29" s="222" t="s">
        <v>51</v>
      </c>
      <c r="W29" s="226"/>
    </row>
    <row r="30" spans="1:26" s="191" customFormat="1" ht="31.5">
      <c r="A30" s="798"/>
      <c r="B30" s="210" t="s">
        <v>31</v>
      </c>
      <c r="C30" s="672">
        <v>9.4499999999999993</v>
      </c>
      <c r="D30" s="222" t="s">
        <v>83</v>
      </c>
      <c r="E30" s="222">
        <v>73.959999999999994</v>
      </c>
      <c r="F30" s="222" t="s">
        <v>85</v>
      </c>
      <c r="G30" s="222"/>
      <c r="H30" s="222"/>
      <c r="I30" s="148"/>
      <c r="J30" s="222">
        <v>5.0000000000000001E-4</v>
      </c>
      <c r="K30" s="222" t="s">
        <v>87</v>
      </c>
      <c r="L30" s="222">
        <v>5.0000000000000001E-3</v>
      </c>
      <c r="M30" s="222" t="s">
        <v>87</v>
      </c>
      <c r="N30" s="227">
        <v>4.0358997006249576E-4</v>
      </c>
      <c r="O30" s="222" t="s">
        <v>104</v>
      </c>
      <c r="P30" s="222" t="s">
        <v>51</v>
      </c>
      <c r="Q30" s="226"/>
      <c r="R30" s="222" t="s">
        <v>51</v>
      </c>
      <c r="S30" s="226"/>
      <c r="T30" s="226" t="str">
        <f t="shared" si="0"/>
        <v>NA</v>
      </c>
      <c r="U30" s="226"/>
      <c r="V30" s="222" t="s">
        <v>51</v>
      </c>
      <c r="W30" s="226"/>
    </row>
    <row r="31" spans="1:26" s="191" customFormat="1" ht="34.5" customHeight="1">
      <c r="A31" s="798"/>
      <c r="B31" s="210" t="s">
        <v>33</v>
      </c>
      <c r="C31" s="672">
        <v>6.84</v>
      </c>
      <c r="D31" s="222" t="s">
        <v>84</v>
      </c>
      <c r="E31" s="222">
        <v>53.06</v>
      </c>
      <c r="F31" s="222" t="s">
        <v>85</v>
      </c>
      <c r="G31" s="672">
        <v>5.3999999999999999E-2</v>
      </c>
      <c r="H31" s="222" t="s">
        <v>86</v>
      </c>
      <c r="I31" s="148"/>
      <c r="J31" s="222">
        <v>0.73699999999999999</v>
      </c>
      <c r="K31" s="222" t="s">
        <v>87</v>
      </c>
      <c r="L31" s="222">
        <v>1.966</v>
      </c>
      <c r="M31" s="222" t="s">
        <v>87</v>
      </c>
      <c r="N31" s="227">
        <v>1.2344439254701348E-4</v>
      </c>
      <c r="O31" s="222" t="s">
        <v>111</v>
      </c>
      <c r="P31" s="222" t="s">
        <v>51</v>
      </c>
      <c r="Q31" s="226"/>
      <c r="R31" s="222" t="s">
        <v>51</v>
      </c>
      <c r="S31" s="226"/>
      <c r="T31" s="226" t="str">
        <f t="shared" si="0"/>
        <v>NA</v>
      </c>
      <c r="U31" s="226"/>
      <c r="V31" s="222" t="s">
        <v>51</v>
      </c>
      <c r="W31" s="226"/>
    </row>
    <row r="32" spans="1:26" s="191" customFormat="1" ht="31.5">
      <c r="A32" s="798"/>
      <c r="B32" s="210" t="s">
        <v>34</v>
      </c>
      <c r="C32" s="672">
        <v>5.68</v>
      </c>
      <c r="D32" s="222" t="s">
        <v>83</v>
      </c>
      <c r="E32" s="222">
        <v>61.71</v>
      </c>
      <c r="F32" s="222" t="s">
        <v>85</v>
      </c>
      <c r="G32" s="222"/>
      <c r="H32" s="222"/>
      <c r="I32" s="148"/>
      <c r="J32" s="222">
        <v>3.6999999999999998E-2</v>
      </c>
      <c r="K32" s="222" t="s">
        <v>87</v>
      </c>
      <c r="L32" s="222">
        <v>6.6000000000000003E-2</v>
      </c>
      <c r="M32" s="222" t="s">
        <v>87</v>
      </c>
      <c r="N32" s="227">
        <v>9.6623611045005067E-5</v>
      </c>
      <c r="O32" s="222" t="s">
        <v>104</v>
      </c>
      <c r="P32" s="222" t="s">
        <v>51</v>
      </c>
      <c r="Q32" s="226"/>
      <c r="R32" s="222" t="s">
        <v>51</v>
      </c>
      <c r="S32" s="226"/>
      <c r="T32" s="226" t="str">
        <f t="shared" si="0"/>
        <v>NA</v>
      </c>
      <c r="U32" s="226"/>
      <c r="V32" s="222" t="s">
        <v>51</v>
      </c>
      <c r="W32" s="226"/>
    </row>
    <row r="33" spans="1:23" s="191" customFormat="1" ht="33" customHeight="1">
      <c r="A33" s="798"/>
      <c r="B33" s="210" t="s">
        <v>35</v>
      </c>
      <c r="C33" s="672">
        <v>5.72</v>
      </c>
      <c r="D33" s="222" t="s">
        <v>83</v>
      </c>
      <c r="E33" s="222">
        <v>62.87</v>
      </c>
      <c r="F33" s="222" t="s">
        <v>85</v>
      </c>
      <c r="G33" s="226"/>
      <c r="H33" s="222"/>
      <c r="I33" s="148"/>
      <c r="J33" s="222" t="s">
        <v>51</v>
      </c>
      <c r="K33" s="222"/>
      <c r="L33" s="222" t="s">
        <v>51</v>
      </c>
      <c r="M33" s="222"/>
      <c r="N33" s="227">
        <v>9.5996021989113879E-5</v>
      </c>
      <c r="O33" s="222" t="s">
        <v>104</v>
      </c>
      <c r="P33" s="222" t="s">
        <v>51</v>
      </c>
      <c r="Q33" s="226"/>
      <c r="R33" s="222" t="s">
        <v>51</v>
      </c>
      <c r="S33" s="226"/>
      <c r="T33" s="226" t="str">
        <f t="shared" si="0"/>
        <v>NA</v>
      </c>
      <c r="U33" s="226"/>
      <c r="V33" s="222" t="s">
        <v>51</v>
      </c>
      <c r="W33" s="226"/>
    </row>
    <row r="34" spans="1:23" s="191" customFormat="1" ht="31.5">
      <c r="A34" s="798"/>
      <c r="B34" s="210" t="s">
        <v>52</v>
      </c>
      <c r="C34" s="672">
        <v>6.58</v>
      </c>
      <c r="D34" s="222" t="s">
        <v>83</v>
      </c>
      <c r="E34" s="222">
        <v>64.97</v>
      </c>
      <c r="F34" s="222" t="s">
        <v>85</v>
      </c>
      <c r="G34" s="222"/>
      <c r="H34" s="222"/>
      <c r="I34" s="148"/>
      <c r="J34" s="222" t="s">
        <v>51</v>
      </c>
      <c r="K34" s="222"/>
      <c r="L34" s="222" t="s">
        <v>51</v>
      </c>
      <c r="M34" s="222"/>
      <c r="N34" s="227">
        <v>1.0864821735587995E-4</v>
      </c>
      <c r="O34" s="222" t="s">
        <v>104</v>
      </c>
      <c r="P34" s="222" t="s">
        <v>51</v>
      </c>
      <c r="Q34" s="226"/>
      <c r="R34" s="222" t="s">
        <v>51</v>
      </c>
      <c r="S34" s="226"/>
      <c r="T34" s="226" t="str">
        <f t="shared" si="0"/>
        <v>NA</v>
      </c>
      <c r="U34" s="226"/>
      <c r="V34" s="222" t="s">
        <v>51</v>
      </c>
      <c r="W34" s="226"/>
    </row>
    <row r="35" spans="1:23" s="191" customFormat="1" ht="31.5">
      <c r="A35" s="798"/>
      <c r="B35" s="210" t="s">
        <v>53</v>
      </c>
      <c r="C35" s="672">
        <v>11.27</v>
      </c>
      <c r="D35" s="222" t="s">
        <v>83</v>
      </c>
      <c r="E35" s="222">
        <v>75.099999999999994</v>
      </c>
      <c r="F35" s="222" t="s">
        <v>85</v>
      </c>
      <c r="G35" s="222"/>
      <c r="H35" s="222"/>
      <c r="I35" s="148"/>
      <c r="J35" s="222" t="s">
        <v>51</v>
      </c>
      <c r="K35" s="222"/>
      <c r="L35" s="222" t="s">
        <v>51</v>
      </c>
      <c r="M35" s="222"/>
      <c r="N35" s="222" t="s">
        <v>51</v>
      </c>
      <c r="O35" s="222"/>
      <c r="P35" s="222" t="s">
        <v>51</v>
      </c>
      <c r="Q35" s="226"/>
      <c r="R35" s="226">
        <v>0.11</v>
      </c>
      <c r="S35" s="226" t="s">
        <v>91</v>
      </c>
      <c r="T35" s="226">
        <v>0.11</v>
      </c>
      <c r="U35" s="226" t="s">
        <v>91</v>
      </c>
      <c r="V35" s="222" t="s">
        <v>51</v>
      </c>
      <c r="W35" s="226"/>
    </row>
    <row r="36" spans="1:23" s="191" customFormat="1" ht="31.5">
      <c r="A36" s="798"/>
      <c r="B36" s="210" t="s">
        <v>54</v>
      </c>
      <c r="C36" s="672">
        <v>8.31</v>
      </c>
      <c r="D36" s="222" t="s">
        <v>83</v>
      </c>
      <c r="E36" s="222">
        <v>69.260000000000005</v>
      </c>
      <c r="F36" s="222" t="s">
        <v>85</v>
      </c>
      <c r="G36" s="222"/>
      <c r="H36" s="222"/>
      <c r="I36" s="148"/>
      <c r="J36" s="222" t="s">
        <v>51</v>
      </c>
      <c r="K36" s="222"/>
      <c r="L36" s="222" t="s">
        <v>51</v>
      </c>
      <c r="M36" s="222"/>
      <c r="N36" s="222" t="s">
        <v>51</v>
      </c>
      <c r="O36" s="222"/>
      <c r="P36" s="222" t="s">
        <v>51</v>
      </c>
      <c r="Q36" s="226"/>
      <c r="R36" s="222" t="s">
        <v>51</v>
      </c>
      <c r="S36" s="226"/>
      <c r="T36" s="226" t="str">
        <f t="shared" si="0"/>
        <v>NA</v>
      </c>
      <c r="U36" s="226"/>
      <c r="V36" s="226">
        <v>7.05</v>
      </c>
      <c r="W36" s="226" t="s">
        <v>91</v>
      </c>
    </row>
    <row r="37" spans="1:23" s="191" customFormat="1" ht="31.5">
      <c r="A37" s="798"/>
      <c r="B37" s="210" t="s">
        <v>36</v>
      </c>
      <c r="C37" s="672">
        <v>9.75</v>
      </c>
      <c r="D37" s="222" t="s">
        <v>83</v>
      </c>
      <c r="E37" s="222">
        <v>72.23</v>
      </c>
      <c r="F37" s="222" t="s">
        <v>85</v>
      </c>
      <c r="G37" s="222"/>
      <c r="H37" s="222"/>
      <c r="I37" s="148"/>
      <c r="J37" s="222" t="s">
        <v>51</v>
      </c>
      <c r="K37" s="222"/>
      <c r="L37" s="222" t="s">
        <v>51</v>
      </c>
      <c r="M37" s="222"/>
      <c r="N37" s="222" t="s">
        <v>51</v>
      </c>
      <c r="O37" s="222"/>
      <c r="P37" s="222" t="s">
        <v>51</v>
      </c>
      <c r="Q37" s="226"/>
      <c r="R37" s="222" t="s">
        <v>51</v>
      </c>
      <c r="S37" s="226"/>
      <c r="T37" s="226" t="str">
        <f t="shared" si="0"/>
        <v>NA</v>
      </c>
      <c r="U37" s="226"/>
      <c r="V37" s="226">
        <v>0.27</v>
      </c>
      <c r="W37" s="226" t="s">
        <v>91</v>
      </c>
    </row>
    <row r="38" spans="1:23" ht="15.75" customHeight="1">
      <c r="A38" s="192" t="s">
        <v>373</v>
      </c>
      <c r="B38" s="613"/>
      <c r="C38" s="612"/>
      <c r="D38"/>
      <c r="E38"/>
      <c r="F38"/>
      <c r="G38"/>
      <c r="H38"/>
      <c r="I38"/>
      <c r="J38" t="s">
        <v>476</v>
      </c>
      <c r="K38" s="4"/>
      <c r="L38" s="84"/>
      <c r="M38" s="4"/>
      <c r="N38" s="84"/>
      <c r="O38" s="4"/>
    </row>
    <row r="39" spans="1:23" ht="15" customHeight="1">
      <c r="A39" s="8"/>
      <c r="B39" s="194"/>
      <c r="I39" s="203"/>
      <c r="J39" s="207" t="s">
        <v>477</v>
      </c>
    </row>
    <row r="40" spans="1:23">
      <c r="J40" s="212"/>
      <c r="K40" s="191"/>
      <c r="L40" s="212"/>
      <c r="M40" s="191"/>
      <c r="N40" s="212"/>
      <c r="O40" s="191"/>
      <c r="Q40" s="191"/>
    </row>
    <row r="41" spans="1:23" ht="15.75" customHeight="1">
      <c r="J41" s="797" t="s">
        <v>5</v>
      </c>
      <c r="K41" s="797"/>
      <c r="L41" s="797"/>
      <c r="M41" s="797"/>
      <c r="N41" s="797"/>
      <c r="O41" s="797"/>
      <c r="P41" s="797"/>
      <c r="Q41" s="797"/>
      <c r="R41" s="797"/>
      <c r="S41" s="797"/>
      <c r="T41" s="797"/>
      <c r="U41" s="797"/>
      <c r="V41" s="797"/>
      <c r="W41" s="797"/>
    </row>
    <row r="42" spans="1:23" ht="51" customHeight="1">
      <c r="D42" s="609"/>
      <c r="G42" s="217" t="s">
        <v>22</v>
      </c>
      <c r="H42" s="217" t="s">
        <v>23</v>
      </c>
      <c r="J42" s="787" t="s">
        <v>88</v>
      </c>
      <c r="K42" s="787"/>
      <c r="L42" s="787" t="s">
        <v>89</v>
      </c>
      <c r="M42" s="787"/>
      <c r="N42" s="787" t="s">
        <v>90</v>
      </c>
      <c r="O42" s="787"/>
      <c r="P42" s="787" t="s">
        <v>92</v>
      </c>
      <c r="Q42" s="787"/>
      <c r="R42" s="787" t="s">
        <v>81</v>
      </c>
      <c r="S42" s="787"/>
      <c r="T42" s="787" t="s">
        <v>80</v>
      </c>
      <c r="U42" s="787"/>
      <c r="V42" s="787" t="s">
        <v>82</v>
      </c>
      <c r="W42" s="787"/>
    </row>
    <row r="43" spans="1:23" ht="52.5" customHeight="1">
      <c r="G43" s="798" t="s">
        <v>10</v>
      </c>
      <c r="H43" s="210" t="s">
        <v>30</v>
      </c>
      <c r="J43" s="226">
        <v>3.8E-3</v>
      </c>
      <c r="K43" s="222" t="s">
        <v>87</v>
      </c>
      <c r="L43" s="226">
        <v>1.77E-2</v>
      </c>
      <c r="M43" s="222" t="s">
        <v>87</v>
      </c>
      <c r="N43" s="227">
        <v>7.859423264736341E-5</v>
      </c>
      <c r="O43" s="222" t="s">
        <v>109</v>
      </c>
      <c r="P43" s="226">
        <v>0.22</v>
      </c>
      <c r="Q43" s="226" t="s">
        <v>91</v>
      </c>
      <c r="R43" s="226">
        <v>0.224</v>
      </c>
      <c r="S43" s="226" t="s">
        <v>91</v>
      </c>
      <c r="T43" s="226">
        <f>R43</f>
        <v>0.224</v>
      </c>
      <c r="U43" s="226" t="s">
        <v>91</v>
      </c>
      <c r="V43" s="222" t="s">
        <v>51</v>
      </c>
      <c r="W43" s="226"/>
    </row>
    <row r="44" spans="1:23" ht="53.25" customHeight="1">
      <c r="G44" s="798"/>
      <c r="H44" s="210" t="s">
        <v>32</v>
      </c>
      <c r="J44" s="226">
        <v>6.7000000000000004E-2</v>
      </c>
      <c r="K44" s="222" t="s">
        <v>87</v>
      </c>
      <c r="L44" s="226">
        <v>0.17499999999999999</v>
      </c>
      <c r="M44" s="222" t="s">
        <v>87</v>
      </c>
      <c r="N44" s="227">
        <v>5.3304904051172719E-5</v>
      </c>
      <c r="O44" s="222" t="s">
        <v>109</v>
      </c>
      <c r="P44" s="222" t="s">
        <v>51</v>
      </c>
      <c r="Q44" s="222"/>
      <c r="R44" s="222" t="s">
        <v>51</v>
      </c>
      <c r="S44" s="222"/>
      <c r="T44" s="226" t="str">
        <f t="shared" ref="T44:T53" si="1">R44</f>
        <v>NA</v>
      </c>
      <c r="U44" s="226"/>
      <c r="V44" s="222" t="s">
        <v>51</v>
      </c>
      <c r="W44" s="226"/>
    </row>
    <row r="45" spans="1:23" ht="31.5">
      <c r="G45" s="798"/>
      <c r="H45" s="210" t="s">
        <v>29</v>
      </c>
      <c r="J45" s="226">
        <v>1.5E-3</v>
      </c>
      <c r="K45" s="222" t="s">
        <v>87</v>
      </c>
      <c r="L45" s="226">
        <v>4.7999999999999996E-3</v>
      </c>
      <c r="M45" s="222" t="s">
        <v>87</v>
      </c>
      <c r="N45" s="227">
        <v>8.7736950013586056E-5</v>
      </c>
      <c r="O45" s="222" t="s">
        <v>109</v>
      </c>
      <c r="P45" s="226">
        <v>0.26</v>
      </c>
      <c r="Q45" s="226" t="s">
        <v>91</v>
      </c>
      <c r="R45" s="226">
        <v>0.44800000000000001</v>
      </c>
      <c r="S45" s="226" t="s">
        <v>91</v>
      </c>
      <c r="T45" s="226">
        <f t="shared" si="1"/>
        <v>0.44800000000000001</v>
      </c>
      <c r="U45" s="226" t="s">
        <v>91</v>
      </c>
      <c r="V45" s="222" t="s">
        <v>51</v>
      </c>
      <c r="W45" s="226"/>
    </row>
    <row r="46" spans="1:23" ht="34.5">
      <c r="G46" s="798"/>
      <c r="H46" s="210" t="s">
        <v>31</v>
      </c>
      <c r="J46" s="226">
        <v>1E-3</v>
      </c>
      <c r="K46" s="222" t="s">
        <v>87</v>
      </c>
      <c r="L46" s="226">
        <v>5.0000000000000001E-3</v>
      </c>
      <c r="M46" s="222" t="s">
        <v>87</v>
      </c>
      <c r="N46" s="227">
        <v>8.0717994012499163E-5</v>
      </c>
      <c r="O46" s="222" t="s">
        <v>109</v>
      </c>
      <c r="P46" s="222" t="s">
        <v>51</v>
      </c>
      <c r="Q46" s="222"/>
      <c r="R46" s="222" t="s">
        <v>51</v>
      </c>
      <c r="S46" s="222"/>
      <c r="T46" s="226" t="str">
        <f t="shared" si="1"/>
        <v>NA</v>
      </c>
      <c r="U46" s="226"/>
      <c r="V46" s="222" t="s">
        <v>51</v>
      </c>
      <c r="W46" s="226"/>
    </row>
    <row r="47" spans="1:23" ht="31.5">
      <c r="G47" s="798"/>
      <c r="H47" s="210" t="s">
        <v>33</v>
      </c>
      <c r="J47" s="226">
        <v>0.05</v>
      </c>
      <c r="K47" s="222" t="s">
        <v>87</v>
      </c>
      <c r="L47" s="226">
        <v>0.17499999999999999</v>
      </c>
      <c r="M47" s="222" t="s">
        <v>87</v>
      </c>
      <c r="N47" s="227">
        <v>1.3716043616334832E-5</v>
      </c>
      <c r="O47" s="222" t="s">
        <v>110</v>
      </c>
      <c r="P47" s="222" t="s">
        <v>51</v>
      </c>
      <c r="Q47" s="222"/>
      <c r="R47" s="222" t="s">
        <v>51</v>
      </c>
      <c r="S47" s="222"/>
      <c r="T47" s="226" t="str">
        <f t="shared" si="1"/>
        <v>NA</v>
      </c>
      <c r="U47" s="226"/>
      <c r="V47" s="222" t="s">
        <v>51</v>
      </c>
      <c r="W47" s="226"/>
    </row>
    <row r="48" spans="1:23" ht="31.5">
      <c r="G48" s="798"/>
      <c r="H48" s="210" t="s">
        <v>34</v>
      </c>
      <c r="J48" s="226">
        <v>6.7000000000000004E-2</v>
      </c>
      <c r="K48" s="222" t="s">
        <v>87</v>
      </c>
      <c r="L48" s="226">
        <v>0.17499999999999999</v>
      </c>
      <c r="M48" s="222" t="s">
        <v>87</v>
      </c>
      <c r="N48" s="227">
        <v>9.6623611045005088E-6</v>
      </c>
      <c r="O48" s="222" t="s">
        <v>109</v>
      </c>
      <c r="P48" s="222" t="s">
        <v>51</v>
      </c>
      <c r="Q48" s="222"/>
      <c r="R48" s="222" t="s">
        <v>51</v>
      </c>
      <c r="S48" s="222"/>
      <c r="T48" s="226" t="str">
        <f t="shared" si="1"/>
        <v>NA</v>
      </c>
      <c r="U48" s="226"/>
      <c r="V48" s="222" t="s">
        <v>51</v>
      </c>
      <c r="W48" s="226"/>
    </row>
    <row r="49" spans="1:23" ht="31.5">
      <c r="A49" s="214"/>
      <c r="G49" s="798"/>
      <c r="H49" s="210" t="s">
        <v>35</v>
      </c>
      <c r="J49" s="222" t="s">
        <v>51</v>
      </c>
      <c r="K49" s="222"/>
      <c r="L49" s="222" t="s">
        <v>51</v>
      </c>
      <c r="M49" s="222"/>
      <c r="N49" s="227">
        <v>9.5996021989113889E-6</v>
      </c>
      <c r="O49" s="222" t="s">
        <v>109</v>
      </c>
      <c r="P49" s="222" t="s">
        <v>51</v>
      </c>
      <c r="Q49" s="222"/>
      <c r="R49" s="222" t="s">
        <v>51</v>
      </c>
      <c r="S49" s="222"/>
      <c r="T49" s="226" t="str">
        <f t="shared" si="1"/>
        <v>NA</v>
      </c>
      <c r="U49" s="226"/>
      <c r="V49" s="222" t="s">
        <v>51</v>
      </c>
      <c r="W49" s="226"/>
    </row>
    <row r="50" spans="1:23" ht="31.5">
      <c r="G50" s="798"/>
      <c r="H50" s="210" t="s">
        <v>52</v>
      </c>
      <c r="J50" s="222" t="s">
        <v>51</v>
      </c>
      <c r="K50" s="222"/>
      <c r="L50" s="222" t="s">
        <v>51</v>
      </c>
      <c r="M50" s="222"/>
      <c r="N50" s="227">
        <v>1.0864821735587996E-5</v>
      </c>
      <c r="O50" s="222" t="s">
        <v>109</v>
      </c>
      <c r="P50" s="222" t="s">
        <v>51</v>
      </c>
      <c r="Q50" s="222"/>
      <c r="R50" s="222" t="s">
        <v>51</v>
      </c>
      <c r="S50" s="222"/>
      <c r="T50" s="226" t="str">
        <f t="shared" si="1"/>
        <v>NA</v>
      </c>
      <c r="U50" s="226"/>
      <c r="V50" s="222" t="s">
        <v>51</v>
      </c>
      <c r="W50" s="226"/>
    </row>
    <row r="51" spans="1:23" ht="47.25">
      <c r="G51" s="798"/>
      <c r="H51" s="210" t="s">
        <v>53</v>
      </c>
      <c r="J51" s="222" t="s">
        <v>51</v>
      </c>
      <c r="K51" s="222"/>
      <c r="L51" s="222" t="s">
        <v>51</v>
      </c>
      <c r="M51" s="222"/>
      <c r="N51" s="222" t="s">
        <v>51</v>
      </c>
      <c r="O51" s="222"/>
      <c r="P51" s="222" t="s">
        <v>51</v>
      </c>
      <c r="Q51" s="222"/>
      <c r="R51" s="226">
        <v>0.6</v>
      </c>
      <c r="S51" s="226" t="s">
        <v>91</v>
      </c>
      <c r="T51" s="226">
        <v>0.6</v>
      </c>
      <c r="U51" s="226" t="s">
        <v>91</v>
      </c>
      <c r="V51" s="222" t="s">
        <v>51</v>
      </c>
      <c r="W51" s="226"/>
    </row>
    <row r="52" spans="1:23" ht="31.5">
      <c r="G52" s="798"/>
      <c r="H52" s="210" t="s">
        <v>54</v>
      </c>
      <c r="J52" s="222" t="s">
        <v>51</v>
      </c>
      <c r="K52" s="222"/>
      <c r="L52" s="222" t="s">
        <v>51</v>
      </c>
      <c r="M52" s="222"/>
      <c r="N52" s="222" t="s">
        <v>51</v>
      </c>
      <c r="O52" s="222"/>
      <c r="P52" s="222" t="s">
        <v>51</v>
      </c>
      <c r="Q52" s="222"/>
      <c r="R52" s="222" t="s">
        <v>51</v>
      </c>
      <c r="S52" s="222"/>
      <c r="T52" s="226" t="str">
        <f t="shared" si="1"/>
        <v>NA</v>
      </c>
      <c r="U52" s="226"/>
      <c r="V52" s="226">
        <v>0.11</v>
      </c>
      <c r="W52" s="226" t="s">
        <v>91</v>
      </c>
    </row>
    <row r="53" spans="1:23">
      <c r="G53" s="798"/>
      <c r="H53" s="210" t="s">
        <v>36</v>
      </c>
      <c r="J53" s="222" t="s">
        <v>51</v>
      </c>
      <c r="K53" s="222"/>
      <c r="L53" s="222" t="s">
        <v>51</v>
      </c>
      <c r="M53" s="222"/>
      <c r="N53" s="222" t="s">
        <v>51</v>
      </c>
      <c r="O53" s="222"/>
      <c r="P53" s="222" t="s">
        <v>51</v>
      </c>
      <c r="Q53" s="222"/>
      <c r="R53" s="222" t="s">
        <v>51</v>
      </c>
      <c r="S53" s="222"/>
      <c r="T53" s="226" t="str">
        <f t="shared" si="1"/>
        <v>NA</v>
      </c>
      <c r="U53" s="226"/>
      <c r="V53" s="226">
        <v>0.31</v>
      </c>
      <c r="W53" s="226" t="s">
        <v>91</v>
      </c>
    </row>
    <row r="55" spans="1:23">
      <c r="A55" s="218" t="s">
        <v>376</v>
      </c>
      <c r="B55" s="218" t="s">
        <v>377</v>
      </c>
      <c r="C55" s="219" t="s">
        <v>378</v>
      </c>
      <c r="D55" s="220"/>
      <c r="E55" s="783" t="s">
        <v>379</v>
      </c>
      <c r="F55" s="784"/>
      <c r="G55" s="783" t="s">
        <v>380</v>
      </c>
      <c r="H55" s="784"/>
    </row>
    <row r="56" spans="1:23" ht="47.25">
      <c r="A56" s="786" t="s">
        <v>203</v>
      </c>
      <c r="B56" s="217" t="s">
        <v>204</v>
      </c>
      <c r="C56" s="200">
        <v>0.28599999999999998</v>
      </c>
      <c r="D56" s="221" t="s">
        <v>207</v>
      </c>
      <c r="E56" s="200">
        <v>9.1000000000000004E-3</v>
      </c>
      <c r="F56" s="221" t="s">
        <v>209</v>
      </c>
      <c r="G56" s="200">
        <v>8.5000000000000006E-3</v>
      </c>
      <c r="H56" s="221" t="s">
        <v>209</v>
      </c>
    </row>
    <row r="57" spans="1:23" ht="47.25">
      <c r="A57" s="786"/>
      <c r="B57" s="217" t="s">
        <v>205</v>
      </c>
      <c r="C57" s="200">
        <v>0.16800000000000001</v>
      </c>
      <c r="D57" s="221" t="s">
        <v>208</v>
      </c>
      <c r="E57" s="200">
        <v>8.9999999999999998E-4</v>
      </c>
      <c r="F57" s="221" t="s">
        <v>209</v>
      </c>
      <c r="G57" s="200">
        <v>5.3E-3</v>
      </c>
      <c r="H57" s="221" t="s">
        <v>209</v>
      </c>
    </row>
    <row r="58" spans="1:23" ht="47.25">
      <c r="A58" s="786"/>
      <c r="B58" s="217" t="s">
        <v>206</v>
      </c>
      <c r="C58" s="200">
        <v>0.19400000000000001</v>
      </c>
      <c r="D58" s="221" t="s">
        <v>208</v>
      </c>
      <c r="E58" s="200">
        <v>8.9999999999999998E-4</v>
      </c>
      <c r="F58" s="221" t="s">
        <v>209</v>
      </c>
      <c r="G58" s="200">
        <v>6.1000000000000004E-3</v>
      </c>
      <c r="H58" s="221" t="s">
        <v>209</v>
      </c>
    </row>
    <row r="59" spans="1:23">
      <c r="A59" s="8" t="s">
        <v>319</v>
      </c>
      <c r="B59" s="194" t="s">
        <v>478</v>
      </c>
    </row>
    <row r="60" spans="1:23">
      <c r="A60" s="206" t="s">
        <v>461</v>
      </c>
      <c r="B60" s="206" t="s">
        <v>479</v>
      </c>
    </row>
  </sheetData>
  <mergeCells count="69">
    <mergeCell ref="G43:G53"/>
    <mergeCell ref="L42:M42"/>
    <mergeCell ref="J42:K42"/>
    <mergeCell ref="V42:W42"/>
    <mergeCell ref="T42:U42"/>
    <mergeCell ref="R42:S42"/>
    <mergeCell ref="P42:Q42"/>
    <mergeCell ref="N42:O42"/>
    <mergeCell ref="A27:A37"/>
    <mergeCell ref="C26:D26"/>
    <mergeCell ref="E26:F26"/>
    <mergeCell ref="G26:H26"/>
    <mergeCell ref="J41:W41"/>
    <mergeCell ref="N19:N20"/>
    <mergeCell ref="J19:J20"/>
    <mergeCell ref="M19:M20"/>
    <mergeCell ref="K19:K20"/>
    <mergeCell ref="C3:H3"/>
    <mergeCell ref="C4:D4"/>
    <mergeCell ref="E4:F4"/>
    <mergeCell ref="G4:H4"/>
    <mergeCell ref="J4:K4"/>
    <mergeCell ref="L4:M4"/>
    <mergeCell ref="N4:O4"/>
    <mergeCell ref="J3:O3"/>
    <mergeCell ref="F15:K15"/>
    <mergeCell ref="B15:E15"/>
    <mergeCell ref="Q13:R13"/>
    <mergeCell ref="Q14:R14"/>
    <mergeCell ref="A5:A14"/>
    <mergeCell ref="L26:M26"/>
    <mergeCell ref="J25:W25"/>
    <mergeCell ref="T26:U26"/>
    <mergeCell ref="V26:W26"/>
    <mergeCell ref="N26:O26"/>
    <mergeCell ref="P26:Q26"/>
    <mergeCell ref="R26:S26"/>
    <mergeCell ref="O19:O20"/>
    <mergeCell ref="B19:B20"/>
    <mergeCell ref="J26:K26"/>
    <mergeCell ref="C25:H25"/>
    <mergeCell ref="A19:A21"/>
    <mergeCell ref="L19:L20"/>
    <mergeCell ref="Q18:R18"/>
    <mergeCell ref="Q17:R17"/>
    <mergeCell ref="C17:H17"/>
    <mergeCell ref="C18:D18"/>
    <mergeCell ref="E18:F18"/>
    <mergeCell ref="G18:H18"/>
    <mergeCell ref="J17:O17"/>
    <mergeCell ref="J18:K18"/>
    <mergeCell ref="L18:M18"/>
    <mergeCell ref="N18:O18"/>
    <mergeCell ref="G55:H55"/>
    <mergeCell ref="E55:F55"/>
    <mergeCell ref="T3:U3"/>
    <mergeCell ref="A56:A58"/>
    <mergeCell ref="Q3:R4"/>
    <mergeCell ref="Q5:R5"/>
    <mergeCell ref="Q6:R6"/>
    <mergeCell ref="Q7:R7"/>
    <mergeCell ref="Q8:R8"/>
    <mergeCell ref="Q9:R9"/>
    <mergeCell ref="Q10:R10"/>
    <mergeCell ref="Q11:R11"/>
    <mergeCell ref="Q12:R12"/>
    <mergeCell ref="Q21:R21"/>
    <mergeCell ref="Q20:R20"/>
    <mergeCell ref="Q19:R19"/>
  </mergeCells>
  <dataValidations disablePrompts="1" count="6">
    <dataValidation allowBlank="1" showInputMessage="1" showErrorMessage="1" prompt="Light duty onroad and heavy duty onroad from TCR GRP Table 13.4 assuming model year 2005." sqref="J42:M42 J26:M26"/>
    <dataValidation allowBlank="1" showInputMessage="1" showErrorMessage="1" prompt="Ecy fleet calculator - adapted from 2006 IPCC Guidelines for National Greenhouse Gas Inventories Vol.2 Table 2.2." sqref="N42:O42 N26:O26"/>
    <dataValidation allowBlank="1" showInputMessage="1" showErrorMessage="1" prompt="TCR GRP Table 13.6." sqref="P42:R42 P26:R26"/>
    <dataValidation allowBlank="1" showInputMessage="1" showErrorMessage="1" prompt="TCR GRP Table 13.6. " sqref="T42:W42 T26:W26"/>
    <dataValidation allowBlank="1" showInputMessage="1" showErrorMessage="1" prompt="126.67 scf = 1 GGE" sqref="D31"/>
    <dataValidation allowBlank="1" showInputMessage="1" showErrorMessage="1" prompt="5.306 kg CO2 / term" sqref="F31"/>
  </dataValidations>
  <hyperlinks>
    <hyperlink ref="B23" r:id="rId1"/>
    <hyperlink ref="T12" r:id="rId2" display="IPCC 2007 Fourth Assessment Report,Table 2.14l"/>
  </hyperlinks>
  <pageMargins left="0.25" right="0.25" top="0.75" bottom="0.75" header="0.3" footer="0.3"/>
  <pageSetup scale="54" fitToHeight="2" orientation="landscape" r:id="rId3"/>
  <headerFooter scaleWithDoc="0">
    <oddFooter>&amp;C&amp;"Times New Roman,Regular"&amp;12&amp;A</oddFooter>
  </headerFooter>
  <rowBreaks count="1" manualBreakCount="1">
    <brk id="40" max="16383" man="1"/>
  </rowBreaks>
  <legacyDrawing r:id="rId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6"/>
  <sheetViews>
    <sheetView topLeftCell="A2" zoomScaleNormal="100" workbookViewId="0">
      <selection activeCell="A2" sqref="A2"/>
    </sheetView>
  </sheetViews>
  <sheetFormatPr defaultRowHeight="15"/>
  <cols>
    <col min="1" max="1" width="27" customWidth="1"/>
    <col min="2" max="2" width="32.140625" customWidth="1"/>
    <col min="3" max="3" width="23.42578125" customWidth="1"/>
    <col min="4" max="4" width="28.5703125" customWidth="1"/>
  </cols>
  <sheetData>
    <row r="1" spans="1:4" s="15" customFormat="1" ht="18.75">
      <c r="A1" s="25" t="s">
        <v>59</v>
      </c>
    </row>
    <row r="2" spans="1:4" s="15" customFormat="1" ht="15.75">
      <c r="A2" s="16" t="s">
        <v>351</v>
      </c>
    </row>
    <row r="3" spans="1:4" ht="15.75" thickBot="1"/>
    <row r="4" spans="1:4" ht="15.75" thickBot="1">
      <c r="A4" s="107" t="s">
        <v>210</v>
      </c>
      <c r="B4" s="108"/>
      <c r="C4" s="108"/>
      <c r="D4" s="109"/>
    </row>
    <row r="5" spans="1:4">
      <c r="A5" s="110" t="s">
        <v>211</v>
      </c>
      <c r="B5" s="111" t="s">
        <v>212</v>
      </c>
      <c r="C5" s="111" t="s">
        <v>213</v>
      </c>
      <c r="D5" s="112" t="s">
        <v>214</v>
      </c>
    </row>
    <row r="6" spans="1:4">
      <c r="A6" s="113" t="s">
        <v>215</v>
      </c>
      <c r="B6" s="114" t="s">
        <v>216</v>
      </c>
      <c r="C6" s="114"/>
      <c r="D6" s="115"/>
    </row>
    <row r="7" spans="1:4">
      <c r="A7" s="113" t="s">
        <v>217</v>
      </c>
      <c r="B7" s="114" t="s">
        <v>218</v>
      </c>
      <c r="C7" s="114" t="s">
        <v>219</v>
      </c>
      <c r="D7" s="115"/>
    </row>
    <row r="8" spans="1:4" ht="15.75" thickBot="1">
      <c r="A8" s="116" t="s">
        <v>220</v>
      </c>
      <c r="B8" s="117" t="s">
        <v>221</v>
      </c>
      <c r="C8" s="117" t="s">
        <v>222</v>
      </c>
      <c r="D8" s="118" t="s">
        <v>223</v>
      </c>
    </row>
    <row r="9" spans="1:4" ht="15.75" thickBot="1">
      <c r="A9" s="119"/>
      <c r="B9" s="120"/>
      <c r="C9" s="120"/>
      <c r="D9" s="120"/>
    </row>
    <row r="10" spans="1:4" ht="15.75" thickBot="1">
      <c r="A10" s="107" t="s">
        <v>224</v>
      </c>
      <c r="B10" s="121"/>
      <c r="C10" s="121"/>
      <c r="D10" s="122"/>
    </row>
    <row r="11" spans="1:4">
      <c r="A11" s="110" t="s">
        <v>225</v>
      </c>
      <c r="B11" s="111" t="s">
        <v>226</v>
      </c>
      <c r="C11" s="111" t="s">
        <v>227</v>
      </c>
      <c r="D11" s="112"/>
    </row>
    <row r="12" spans="1:4">
      <c r="A12" s="113" t="s">
        <v>225</v>
      </c>
      <c r="B12" s="114" t="s">
        <v>228</v>
      </c>
      <c r="C12" s="114" t="s">
        <v>229</v>
      </c>
      <c r="D12" s="115"/>
    </row>
    <row r="13" spans="1:4">
      <c r="A13" s="113" t="s">
        <v>230</v>
      </c>
      <c r="B13" s="114" t="s">
        <v>231</v>
      </c>
      <c r="C13" s="114" t="s">
        <v>232</v>
      </c>
      <c r="D13" s="115" t="s">
        <v>233</v>
      </c>
    </row>
    <row r="14" spans="1:4">
      <c r="A14" s="113" t="s">
        <v>234</v>
      </c>
      <c r="B14" s="114" t="s">
        <v>235</v>
      </c>
      <c r="C14" s="114" t="s">
        <v>236</v>
      </c>
      <c r="D14" s="115" t="s">
        <v>237</v>
      </c>
    </row>
    <row r="15" spans="1:4">
      <c r="A15" s="113" t="s">
        <v>238</v>
      </c>
      <c r="B15" s="114" t="s">
        <v>239</v>
      </c>
      <c r="C15" s="114" t="s">
        <v>240</v>
      </c>
      <c r="D15" s="115"/>
    </row>
    <row r="16" spans="1:4" ht="15.75" thickBot="1">
      <c r="A16" s="116" t="s">
        <v>241</v>
      </c>
      <c r="B16" s="117" t="s">
        <v>242</v>
      </c>
      <c r="C16" s="117" t="s">
        <v>243</v>
      </c>
      <c r="D16" s="118" t="s">
        <v>244</v>
      </c>
    </row>
    <row r="17" spans="1:4" ht="15.75" thickBot="1">
      <c r="A17" s="119"/>
      <c r="B17" s="120"/>
      <c r="C17" s="120"/>
      <c r="D17" s="120"/>
    </row>
    <row r="18" spans="1:4" ht="15.75" thickBot="1">
      <c r="A18" s="107" t="s">
        <v>245</v>
      </c>
      <c r="B18" s="121"/>
      <c r="C18" s="121"/>
      <c r="D18" s="122"/>
    </row>
    <row r="19" spans="1:4">
      <c r="A19" s="110" t="s">
        <v>246</v>
      </c>
      <c r="B19" s="111" t="s">
        <v>247</v>
      </c>
      <c r="C19" s="111" t="s">
        <v>248</v>
      </c>
      <c r="D19" s="112"/>
    </row>
    <row r="20" spans="1:4">
      <c r="A20" s="113" t="s">
        <v>249</v>
      </c>
      <c r="B20" s="114" t="s">
        <v>250</v>
      </c>
      <c r="C20" s="114"/>
      <c r="D20" s="115"/>
    </row>
    <row r="21" spans="1:4">
      <c r="A21" s="113" t="s">
        <v>251</v>
      </c>
      <c r="B21" s="114" t="s">
        <v>252</v>
      </c>
      <c r="C21" s="114" t="s">
        <v>253</v>
      </c>
      <c r="D21" s="115"/>
    </row>
    <row r="22" spans="1:4">
      <c r="A22" s="113" t="s">
        <v>254</v>
      </c>
      <c r="B22" s="114" t="s">
        <v>255</v>
      </c>
      <c r="C22" s="114"/>
      <c r="D22" s="115"/>
    </row>
    <row r="23" spans="1:4">
      <c r="A23" s="113" t="s">
        <v>256</v>
      </c>
      <c r="B23" s="114" t="s">
        <v>257</v>
      </c>
      <c r="C23" s="114" t="s">
        <v>258</v>
      </c>
      <c r="D23" s="115"/>
    </row>
    <row r="24" spans="1:4">
      <c r="A24" s="113" t="s">
        <v>259</v>
      </c>
      <c r="B24" s="114" t="s">
        <v>260</v>
      </c>
      <c r="C24" s="114" t="s">
        <v>261</v>
      </c>
      <c r="D24" s="115" t="s">
        <v>262</v>
      </c>
    </row>
    <row r="25" spans="1:4" ht="15.75" thickBot="1">
      <c r="A25" s="116" t="s">
        <v>263</v>
      </c>
      <c r="B25" s="117" t="s">
        <v>264</v>
      </c>
      <c r="C25" s="117" t="s">
        <v>265</v>
      </c>
      <c r="D25" s="118"/>
    </row>
    <row r="26" spans="1:4" ht="15.75" thickBot="1">
      <c r="A26" s="119"/>
      <c r="B26" s="120"/>
      <c r="C26" s="137"/>
      <c r="D26" s="137"/>
    </row>
    <row r="27" spans="1:4" ht="15.75" thickBot="1">
      <c r="A27" s="107" t="s">
        <v>50</v>
      </c>
      <c r="B27" s="122"/>
      <c r="C27" s="137"/>
      <c r="D27" s="137"/>
    </row>
    <row r="28" spans="1:4">
      <c r="A28" s="110" t="s">
        <v>266</v>
      </c>
      <c r="B28" s="123">
        <v>1000</v>
      </c>
      <c r="C28" s="137"/>
      <c r="D28" s="137"/>
    </row>
    <row r="29" spans="1:4">
      <c r="A29" s="113" t="s">
        <v>267</v>
      </c>
      <c r="B29" s="124">
        <v>1000000</v>
      </c>
      <c r="C29" s="137"/>
      <c r="D29" s="137"/>
    </row>
    <row r="30" spans="1:4">
      <c r="A30" s="113" t="s">
        <v>268</v>
      </c>
      <c r="B30" s="124">
        <v>1000000000</v>
      </c>
      <c r="C30" s="137"/>
      <c r="D30" s="137"/>
    </row>
    <row r="31" spans="1:4">
      <c r="A31" s="125" t="s">
        <v>269</v>
      </c>
      <c r="B31" s="126">
        <v>1000000000000</v>
      </c>
      <c r="C31" s="137"/>
      <c r="D31" s="137"/>
    </row>
    <row r="32" spans="1:4">
      <c r="A32" s="127" t="s">
        <v>270</v>
      </c>
      <c r="B32" s="127">
        <v>12</v>
      </c>
      <c r="C32" s="137"/>
      <c r="D32" s="137"/>
    </row>
    <row r="33" spans="1:4" ht="15.75">
      <c r="A33" s="128" t="s">
        <v>271</v>
      </c>
      <c r="B33" s="128">
        <v>44</v>
      </c>
      <c r="C33" s="137"/>
      <c r="D33" s="137"/>
    </row>
    <row r="34" spans="1:4">
      <c r="A34" s="127" t="s">
        <v>295</v>
      </c>
      <c r="B34" s="134" t="s">
        <v>294</v>
      </c>
      <c r="C34" s="27"/>
      <c r="D34" s="27"/>
    </row>
    <row r="36" spans="1:4">
      <c r="A36" s="158" t="s">
        <v>341</v>
      </c>
      <c r="C36" s="157" t="s">
        <v>340</v>
      </c>
    </row>
  </sheetData>
  <sheetProtection password="E212" sheet="1" objects="1" scenarios="1"/>
  <hyperlinks>
    <hyperlink ref="C36" r:id="rId1"/>
  </hyperlinks>
  <pageMargins left="0.7" right="0.7" top="0.75" bottom="0.75" header="0.3" footer="0.3"/>
  <pageSetup scale="81" orientation="portrait" r:id="rId2"/>
  <headerFooter scaleWithDoc="0">
    <oddFooter>&amp;C&amp;"Times New Roman,Regular"&amp;12&amp;A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A5F5EEA5C2740447AFAD037EEB8256C2" ma:contentTypeVersion="0" ma:contentTypeDescription="Create a new document." ma:contentTypeScope="" ma:versionID="64a0d1958b44c91d34d23e0e56cb0819">
  <xsd:schema xmlns:xsd="http://www.w3.org/2001/XMLSchema" xmlns:p="http://schemas.microsoft.com/office/2006/metadata/properties" targetNamespace="http://schemas.microsoft.com/office/2006/metadata/properties" ma:root="true" ma:fieldsID="4aeb20c0e3442673af7ee10786458764">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52D5F44-729F-4D08-B916-60B08E10D5CC}">
  <ds:schemaRefs>
    <ds:schemaRef ds:uri="http://purl.org/dc/terms/"/>
    <ds:schemaRef ds:uri="http://schemas.microsoft.com/office/2006/documentManagement/types"/>
    <ds:schemaRef ds:uri="http://purl.org/dc/elements/1.1/"/>
    <ds:schemaRef ds:uri="http://schemas.openxmlformats.org/package/2006/metadata/core-properties"/>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A3F910E2-1C61-4FCA-A91E-EC230E3077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510598B4-C5EC-4D94-BF6A-0B42F3F6576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4</vt:i4>
      </vt:variant>
    </vt:vector>
  </HeadingPairs>
  <TitlesOfParts>
    <vt:vector size="14" baseType="lpstr">
      <vt:lpstr>Contents &amp; Notes</vt:lpstr>
      <vt:lpstr>1-General Agency Info</vt:lpstr>
      <vt:lpstr>2-Building Energy Use</vt:lpstr>
      <vt:lpstr>3-Fleet Energy</vt:lpstr>
      <vt:lpstr>4-Travel &amp; CTR</vt:lpstr>
      <vt:lpstr>5-GHG Emissions Summary</vt:lpstr>
      <vt:lpstr>6-Energy Use by Facility</vt:lpstr>
      <vt:lpstr>7-Emissions Factors</vt:lpstr>
      <vt:lpstr>8-Conversion Factors</vt:lpstr>
      <vt:lpstr>Sheet1</vt:lpstr>
      <vt:lpstr>Agency</vt:lpstr>
      <vt:lpstr>'1-General Agency Info'!Print_Area</vt:lpstr>
      <vt:lpstr>'3-Fleet Energy'!Print_Area</vt:lpstr>
      <vt:lpstr>Year</vt:lpstr>
    </vt:vector>
  </TitlesOfParts>
  <Company>WA Department of Ecology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Ekrem, Joanna (ECY)</dc:creator>
  <cp:lastModifiedBy>Windows User</cp:lastModifiedBy>
  <cp:lastPrinted>2016-05-24T20:27:14Z</cp:lastPrinted>
  <dcterms:created xsi:type="dcterms:W3CDTF">2010-01-13T17:57:23Z</dcterms:created>
  <dcterms:modified xsi:type="dcterms:W3CDTF">2017-08-24T15:59:44Z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0x010100A5F5EEA5C2740447AFAD037EEB8256C2</vt:lpwstr>
  </property>
</Properties>
</file>