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ables/table3.xml" ContentType="application/vnd.openxmlformats-officedocument.spreadsheetml.table+xml"/>
  <Override PartName="/xl/tables/table4.xml" ContentType="application/vnd.openxmlformats-officedocument.spreadsheetml.table+xml"/>
  <Override PartName="/xl/comments2.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6795" tabRatio="707" activeTab="3"/>
  </bookViews>
  <sheets>
    <sheet name="Instructions" sheetId="46" r:id="rId1"/>
    <sheet name="Space Inentory" sheetId="43" r:id="rId2"/>
    <sheet name="Space Charts for Analysis" sheetId="45" r:id="rId3"/>
    <sheet name="Comparison Table" sheetId="47" r:id="rId4"/>
  </sheets>
  <calcPr calcId="145621" iterate="1" iterateCount="10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47" l="1"/>
  <c r="C2" i="47"/>
  <c r="D2" i="47"/>
  <c r="E2" i="47"/>
  <c r="F2" i="47"/>
  <c r="G2" i="47"/>
  <c r="H2" i="47"/>
  <c r="B3" i="47"/>
  <c r="C3" i="47"/>
  <c r="D3" i="47"/>
  <c r="E3" i="47"/>
  <c r="F3" i="47"/>
  <c r="G3" i="47"/>
  <c r="H3" i="47"/>
  <c r="U58" i="43" l="1"/>
  <c r="G8" i="43"/>
  <c r="V8" i="43" s="1"/>
  <c r="G7" i="43"/>
  <c r="V7" i="43" s="1"/>
  <c r="G6" i="43"/>
  <c r="V6" i="43" s="1"/>
  <c r="G5" i="43"/>
  <c r="V5" i="43" s="1"/>
  <c r="G4" i="43"/>
  <c r="V4" i="43" s="1"/>
  <c r="G3" i="43"/>
  <c r="G9" i="43"/>
  <c r="V9" i="43" s="1"/>
  <c r="G10" i="43"/>
  <c r="V10" i="43" s="1"/>
  <c r="G2" i="43"/>
  <c r="V2" i="43" s="1"/>
  <c r="G11" i="43"/>
  <c r="V11" i="43" s="1"/>
  <c r="G12" i="43"/>
  <c r="G13" i="43"/>
  <c r="G14" i="43"/>
  <c r="V14" i="43" s="1"/>
  <c r="G15" i="43"/>
  <c r="G16" i="43"/>
  <c r="G17" i="43"/>
  <c r="G18" i="43"/>
  <c r="G19" i="43"/>
  <c r="G20" i="43"/>
  <c r="V20" i="43" s="1"/>
  <c r="G21" i="43"/>
  <c r="V21" i="43" s="1"/>
  <c r="G22" i="43"/>
  <c r="V22" i="43" s="1"/>
  <c r="G23" i="43"/>
  <c r="V23" i="43" s="1"/>
  <c r="G24" i="43"/>
  <c r="V24" i="43" s="1"/>
  <c r="G25" i="43"/>
  <c r="V25" i="43" s="1"/>
  <c r="G26" i="43"/>
  <c r="V26" i="43" s="1"/>
  <c r="G27" i="43"/>
  <c r="V27" i="43" s="1"/>
  <c r="G28" i="43"/>
  <c r="V28" i="43" s="1"/>
  <c r="G29" i="43"/>
  <c r="G30" i="43"/>
  <c r="G31" i="43"/>
  <c r="V31" i="43" s="1"/>
  <c r="G32" i="43"/>
  <c r="G33" i="43"/>
  <c r="G34" i="43"/>
  <c r="G35" i="43"/>
  <c r="G36" i="43"/>
  <c r="G37" i="43"/>
  <c r="V37" i="43" s="1"/>
  <c r="G38" i="43"/>
  <c r="V38" i="43" s="1"/>
  <c r="G39" i="43"/>
  <c r="G40" i="43"/>
  <c r="V40" i="43" s="1"/>
  <c r="G41" i="43"/>
  <c r="V41" i="43" s="1"/>
  <c r="G42" i="43"/>
  <c r="V42" i="43" s="1"/>
  <c r="G43" i="43"/>
  <c r="V43" i="43" s="1"/>
  <c r="G44" i="43"/>
  <c r="G45" i="43"/>
  <c r="V45" i="43" s="1"/>
  <c r="G46" i="43"/>
  <c r="V46" i="43" s="1"/>
  <c r="G47" i="43"/>
  <c r="V47" i="43" s="1"/>
  <c r="G48" i="43"/>
  <c r="V48" i="43" s="1"/>
  <c r="G49" i="43"/>
  <c r="V49" i="43" s="1"/>
  <c r="G50" i="43"/>
  <c r="V50" i="43" s="1"/>
  <c r="G51" i="43"/>
  <c r="V51" i="43" s="1"/>
  <c r="G52" i="43"/>
  <c r="G53" i="43"/>
  <c r="G54" i="43"/>
  <c r="G55" i="43"/>
  <c r="G56" i="43"/>
  <c r="G57" i="43"/>
  <c r="V57" i="43" s="1"/>
  <c r="G58" i="43"/>
  <c r="V58" i="43" s="1"/>
  <c r="G59" i="43"/>
  <c r="V59" i="43" s="1"/>
  <c r="G60" i="43"/>
  <c r="V3" i="43" l="1"/>
  <c r="U3" i="43"/>
  <c r="R60" i="43"/>
  <c r="T59" i="43"/>
  <c r="Q57" i="43"/>
  <c r="Q56" i="43"/>
  <c r="N55" i="43"/>
  <c r="M54" i="43"/>
  <c r="N53" i="43"/>
  <c r="K52" i="43"/>
  <c r="S51" i="43"/>
  <c r="U50" i="43"/>
  <c r="R49" i="43"/>
  <c r="S48" i="43"/>
  <c r="U47" i="43"/>
  <c r="U46" i="43"/>
  <c r="R45" i="43"/>
  <c r="L44" i="43"/>
  <c r="S43" i="43"/>
  <c r="U42" i="43"/>
  <c r="S41" i="43"/>
  <c r="S40" i="43"/>
  <c r="T39" i="43"/>
  <c r="R38" i="43"/>
  <c r="T37" i="43"/>
  <c r="M36" i="43"/>
  <c r="N35" i="43"/>
  <c r="N34" i="43"/>
  <c r="Q33" i="43"/>
  <c r="J32" i="43"/>
  <c r="S31" i="43"/>
  <c r="O30" i="43"/>
  <c r="M29" i="43"/>
  <c r="R28" i="43"/>
  <c r="S27" i="43"/>
  <c r="T26" i="43"/>
  <c r="I25" i="43"/>
  <c r="R25" i="43"/>
  <c r="U24" i="43"/>
  <c r="R22" i="43"/>
  <c r="T21" i="43"/>
  <c r="U20" i="43"/>
  <c r="N19" i="43"/>
  <c r="Q18" i="43"/>
  <c r="L16" i="43"/>
  <c r="Q15" i="43"/>
  <c r="S14" i="43"/>
  <c r="S13" i="43"/>
  <c r="Q12" i="43"/>
  <c r="L11" i="43"/>
  <c r="K11" i="43"/>
  <c r="J11" i="43"/>
  <c r="I11" i="43"/>
  <c r="S11" i="43"/>
  <c r="S10" i="43"/>
  <c r="S9" i="43"/>
  <c r="Q7" i="43"/>
  <c r="T6" i="43"/>
  <c r="K4" i="43"/>
  <c r="Q3" i="43"/>
  <c r="L2" i="43"/>
  <c r="O26" i="43" l="1"/>
  <c r="Q41" i="43"/>
  <c r="S60" i="43"/>
  <c r="O50" i="43"/>
  <c r="L3" i="43"/>
  <c r="K29" i="43"/>
  <c r="N44" i="43"/>
  <c r="R21" i="43"/>
  <c r="L4" i="43"/>
  <c r="K33" i="43"/>
  <c r="K16" i="43"/>
  <c r="L28" i="43"/>
  <c r="R33" i="43"/>
  <c r="Q43" i="43"/>
  <c r="L52" i="43"/>
  <c r="P4" i="43"/>
  <c r="S26" i="43"/>
  <c r="L33" i="43"/>
  <c r="J36" i="43"/>
  <c r="N37" i="43"/>
  <c r="U41" i="43"/>
  <c r="J46" i="43"/>
  <c r="L47" i="43"/>
  <c r="T50" i="43"/>
  <c r="K56" i="43"/>
  <c r="T25" i="43"/>
  <c r="O33" i="43"/>
  <c r="K36" i="43"/>
  <c r="O37" i="43"/>
  <c r="O46" i="43"/>
  <c r="O47" i="43"/>
  <c r="L56" i="43"/>
  <c r="M13" i="43"/>
  <c r="J16" i="43"/>
  <c r="O21" i="43"/>
  <c r="J33" i="43"/>
  <c r="P33" i="43"/>
  <c r="M35" i="43"/>
  <c r="L36" i="43"/>
  <c r="R37" i="43"/>
  <c r="T46" i="43"/>
  <c r="T47" i="43"/>
  <c r="J50" i="43"/>
  <c r="P56" i="43"/>
  <c r="R40" i="43"/>
  <c r="P49" i="43"/>
  <c r="P55" i="43"/>
  <c r="T3" i="43"/>
  <c r="O12" i="43"/>
  <c r="T24" i="43"/>
  <c r="U26" i="43"/>
  <c r="P28" i="43"/>
  <c r="L29" i="43"/>
  <c r="L32" i="43"/>
  <c r="Q39" i="43"/>
  <c r="M40" i="43"/>
  <c r="U40" i="43"/>
  <c r="R43" i="43"/>
  <c r="K46" i="43"/>
  <c r="P46" i="43"/>
  <c r="P47" i="43"/>
  <c r="L48" i="43"/>
  <c r="K49" i="43"/>
  <c r="S49" i="43"/>
  <c r="K50" i="43"/>
  <c r="P50" i="43"/>
  <c r="K53" i="43"/>
  <c r="K55" i="43"/>
  <c r="N56" i="43"/>
  <c r="R2" i="43"/>
  <c r="N26" i="43"/>
  <c r="T28" i="43"/>
  <c r="N33" i="43"/>
  <c r="S37" i="43"/>
  <c r="R39" i="43"/>
  <c r="N40" i="43"/>
  <c r="S42" i="43"/>
  <c r="U43" i="43"/>
  <c r="T45" i="43"/>
  <c r="L46" i="43"/>
  <c r="R46" i="43"/>
  <c r="K47" i="43"/>
  <c r="S47" i="43"/>
  <c r="P48" i="43"/>
  <c r="L49" i="43"/>
  <c r="T49" i="43"/>
  <c r="L50" i="43"/>
  <c r="R50" i="43"/>
  <c r="L53" i="43"/>
  <c r="L55" i="43"/>
  <c r="J56" i="43"/>
  <c r="O56" i="43"/>
  <c r="S39" i="43"/>
  <c r="Q40" i="43"/>
  <c r="N46" i="43"/>
  <c r="S46" i="43"/>
  <c r="T48" i="43"/>
  <c r="O49" i="43"/>
  <c r="N50" i="43"/>
  <c r="S50" i="43"/>
  <c r="O55" i="43"/>
  <c r="J59" i="43"/>
  <c r="N59" i="43"/>
  <c r="R59" i="43"/>
  <c r="M59" i="43"/>
  <c r="U59" i="43"/>
  <c r="K59" i="43"/>
  <c r="O59" i="43"/>
  <c r="S59" i="43"/>
  <c r="Q60" i="43"/>
  <c r="Q59" i="43"/>
  <c r="L59" i="43"/>
  <c r="P59" i="43"/>
  <c r="Q51" i="43"/>
  <c r="U57" i="43"/>
  <c r="M48" i="43"/>
  <c r="Q48" i="43"/>
  <c r="U48" i="43"/>
  <c r="J51" i="43"/>
  <c r="N51" i="43"/>
  <c r="R51" i="43"/>
  <c r="M52" i="43"/>
  <c r="J54" i="43"/>
  <c r="N54" i="43"/>
  <c r="N57" i="43"/>
  <c r="R57" i="43"/>
  <c r="J48" i="43"/>
  <c r="N48" i="43"/>
  <c r="R48" i="43"/>
  <c r="M49" i="43"/>
  <c r="Q49" i="43"/>
  <c r="U49" i="43"/>
  <c r="K51" i="43"/>
  <c r="O51" i="43"/>
  <c r="J52" i="43"/>
  <c r="M53" i="43"/>
  <c r="K54" i="43"/>
  <c r="M55" i="43"/>
  <c r="Q55" i="43"/>
  <c r="O57" i="43"/>
  <c r="S57" i="43"/>
  <c r="K48" i="43"/>
  <c r="O48" i="43"/>
  <c r="J49" i="43"/>
  <c r="N49" i="43"/>
  <c r="M50" i="43"/>
  <c r="Q50" i="43"/>
  <c r="L51" i="43"/>
  <c r="P51" i="43"/>
  <c r="T51" i="43"/>
  <c r="J53" i="43"/>
  <c r="L54" i="43"/>
  <c r="J55" i="43"/>
  <c r="M56" i="43"/>
  <c r="P57" i="43"/>
  <c r="T57" i="43"/>
  <c r="M51" i="43"/>
  <c r="U51" i="43"/>
  <c r="M30" i="43"/>
  <c r="M31" i="43"/>
  <c r="Q31" i="43"/>
  <c r="T38" i="43"/>
  <c r="Q28" i="43"/>
  <c r="N30" i="43"/>
  <c r="N31" i="43"/>
  <c r="M34" i="43"/>
  <c r="U38" i="43"/>
  <c r="R41" i="43"/>
  <c r="T42" i="43"/>
  <c r="K28" i="43"/>
  <c r="O28" i="43"/>
  <c r="S28" i="43"/>
  <c r="J29" i="43"/>
  <c r="N29" i="43"/>
  <c r="L30" i="43"/>
  <c r="P30" i="43"/>
  <c r="L31" i="43"/>
  <c r="P31" i="43"/>
  <c r="T31" i="43"/>
  <c r="K32" i="43"/>
  <c r="Q37" i="43"/>
  <c r="U37" i="43"/>
  <c r="S38" i="43"/>
  <c r="P40" i="43"/>
  <c r="T40" i="43"/>
  <c r="P41" i="43"/>
  <c r="T41" i="43"/>
  <c r="R42" i="43"/>
  <c r="T43" i="43"/>
  <c r="M44" i="43"/>
  <c r="S45" i="43"/>
  <c r="N47" i="43"/>
  <c r="R47" i="43"/>
  <c r="U31" i="43"/>
  <c r="M28" i="43"/>
  <c r="U28" i="43"/>
  <c r="J30" i="43"/>
  <c r="J31" i="43"/>
  <c r="R31" i="43"/>
  <c r="M32" i="43"/>
  <c r="Q38" i="43"/>
  <c r="U45" i="43"/>
  <c r="J28" i="43"/>
  <c r="N28" i="43"/>
  <c r="K30" i="43"/>
  <c r="K31" i="43"/>
  <c r="O31" i="43"/>
  <c r="M33" i="43"/>
  <c r="P37" i="43"/>
  <c r="O40" i="43"/>
  <c r="O41" i="43"/>
  <c r="Q42" i="43"/>
  <c r="M46" i="43"/>
  <c r="Q46" i="43"/>
  <c r="M47" i="43"/>
  <c r="Q47" i="43"/>
  <c r="O6" i="43"/>
  <c r="N9" i="43"/>
  <c r="N14" i="43"/>
  <c r="S20" i="43"/>
  <c r="J6" i="43"/>
  <c r="L7" i="43"/>
  <c r="Q9" i="43"/>
  <c r="K10" i="43"/>
  <c r="M11" i="43"/>
  <c r="U11" i="43"/>
  <c r="N13" i="43"/>
  <c r="Q14" i="43"/>
  <c r="J20" i="43"/>
  <c r="T20" i="43"/>
  <c r="P3" i="43"/>
  <c r="R14" i="43"/>
  <c r="P20" i="43"/>
  <c r="Q26" i="43"/>
  <c r="R11" i="43"/>
  <c r="N20" i="43"/>
  <c r="N3" i="43"/>
  <c r="P6" i="43"/>
  <c r="I9" i="43"/>
  <c r="I14" i="43"/>
  <c r="K15" i="43"/>
  <c r="O20" i="43"/>
  <c r="U25" i="43"/>
  <c r="I3" i="43"/>
  <c r="R4" i="43"/>
  <c r="K6" i="43"/>
  <c r="R6" i="43"/>
  <c r="J9" i="43"/>
  <c r="R9" i="43"/>
  <c r="O10" i="43"/>
  <c r="N11" i="43"/>
  <c r="I13" i="43"/>
  <c r="Q13" i="43"/>
  <c r="J14" i="43"/>
  <c r="O15" i="43"/>
  <c r="L19" i="43"/>
  <c r="K20" i="43"/>
  <c r="S21" i="43"/>
  <c r="J3" i="43"/>
  <c r="L6" i="43"/>
  <c r="M9" i="43"/>
  <c r="U9" i="43"/>
  <c r="Q11" i="43"/>
  <c r="K12" i="43"/>
  <c r="J13" i="43"/>
  <c r="R13" i="43"/>
  <c r="M14" i="43"/>
  <c r="U14" i="43"/>
  <c r="P19" i="43"/>
  <c r="L20" i="43"/>
  <c r="R20" i="43"/>
  <c r="N21" i="43"/>
  <c r="S24" i="43"/>
  <c r="Q25" i="43"/>
  <c r="M26" i="43"/>
  <c r="R26" i="43"/>
  <c r="S5" i="43"/>
  <c r="O5" i="43"/>
  <c r="K5" i="43"/>
  <c r="R5" i="43"/>
  <c r="U8" i="43"/>
  <c r="Q8" i="43"/>
  <c r="M8" i="43"/>
  <c r="I8" i="43"/>
  <c r="R8" i="43"/>
  <c r="N8" i="43"/>
  <c r="J8" i="43"/>
  <c r="U2" i="43"/>
  <c r="Q2" i="43"/>
  <c r="M2" i="43"/>
  <c r="I2" i="43"/>
  <c r="N2" i="43"/>
  <c r="S2" i="43"/>
  <c r="I5" i="43"/>
  <c r="N5" i="43"/>
  <c r="T5" i="43"/>
  <c r="S7" i="43"/>
  <c r="O7" i="43"/>
  <c r="K7" i="43"/>
  <c r="M7" i="43"/>
  <c r="R7" i="43"/>
  <c r="K8" i="43"/>
  <c r="S8" i="43"/>
  <c r="K17" i="43"/>
  <c r="J17" i="43"/>
  <c r="L17" i="43"/>
  <c r="U23" i="43"/>
  <c r="Q23" i="43"/>
  <c r="T23" i="43"/>
  <c r="P23" i="43"/>
  <c r="R23" i="43"/>
  <c r="J2" i="43"/>
  <c r="O2" i="43"/>
  <c r="T2" i="43"/>
  <c r="U4" i="43"/>
  <c r="Q4" i="43"/>
  <c r="M4" i="43"/>
  <c r="I4" i="43"/>
  <c r="N4" i="43"/>
  <c r="S4" i="43"/>
  <c r="J5" i="43"/>
  <c r="P5" i="43"/>
  <c r="U5" i="43"/>
  <c r="I7" i="43"/>
  <c r="N7" i="43"/>
  <c r="T7" i="43"/>
  <c r="L8" i="43"/>
  <c r="T8" i="43"/>
  <c r="O18" i="43"/>
  <c r="K18" i="43"/>
  <c r="N18" i="43"/>
  <c r="J18" i="43"/>
  <c r="P18" i="43"/>
  <c r="L18" i="43"/>
  <c r="S23" i="43"/>
  <c r="K2" i="43"/>
  <c r="P2" i="43"/>
  <c r="S3" i="43"/>
  <c r="O3" i="43"/>
  <c r="H5" i="45" s="1"/>
  <c r="K3" i="43"/>
  <c r="M3" i="43"/>
  <c r="R3" i="43"/>
  <c r="J4" i="43"/>
  <c r="O4" i="43"/>
  <c r="T4" i="43"/>
  <c r="L5" i="43"/>
  <c r="Q5" i="43"/>
  <c r="U6" i="43"/>
  <c r="Q6" i="43"/>
  <c r="M6" i="43"/>
  <c r="I6" i="43"/>
  <c r="N6" i="43"/>
  <c r="S6" i="43"/>
  <c r="J7" i="43"/>
  <c r="P7" i="43"/>
  <c r="U7" i="43"/>
  <c r="O8" i="43"/>
  <c r="U10" i="43"/>
  <c r="Q10" i="43"/>
  <c r="M10" i="43"/>
  <c r="I10" i="43"/>
  <c r="T10" i="43"/>
  <c r="P10" i="43"/>
  <c r="L10" i="43"/>
  <c r="R10" i="43"/>
  <c r="N10" i="43"/>
  <c r="J10" i="43"/>
  <c r="M18" i="43"/>
  <c r="T22" i="43"/>
  <c r="P22" i="43"/>
  <c r="S22" i="43"/>
  <c r="O22" i="43"/>
  <c r="U22" i="43"/>
  <c r="Q22" i="43"/>
  <c r="U27" i="43"/>
  <c r="Q27" i="43"/>
  <c r="T27" i="43"/>
  <c r="P27" i="43"/>
  <c r="R27" i="43"/>
  <c r="M5" i="43"/>
  <c r="P8" i="43"/>
  <c r="L9" i="43"/>
  <c r="P9" i="43"/>
  <c r="T9" i="43"/>
  <c r="P11" i="43"/>
  <c r="T11" i="43"/>
  <c r="J12" i="43"/>
  <c r="N12" i="43"/>
  <c r="L13" i="43"/>
  <c r="P13" i="43"/>
  <c r="L14" i="43"/>
  <c r="P14" i="43"/>
  <c r="T14" i="43"/>
  <c r="J15" i="43"/>
  <c r="N15" i="43"/>
  <c r="M16" i="43"/>
  <c r="K19" i="43"/>
  <c r="O19" i="43"/>
  <c r="Q21" i="43"/>
  <c r="U21" i="43"/>
  <c r="S25" i="43"/>
  <c r="L12" i="43"/>
  <c r="P12" i="43"/>
  <c r="L15" i="43"/>
  <c r="P15" i="43"/>
  <c r="M19" i="43"/>
  <c r="Q19" i="43"/>
  <c r="K9" i="43"/>
  <c r="O9" i="43"/>
  <c r="O11" i="43"/>
  <c r="I12" i="43"/>
  <c r="M12" i="43"/>
  <c r="K13" i="43"/>
  <c r="O13" i="43"/>
  <c r="K14" i="43"/>
  <c r="O14" i="43"/>
  <c r="I15" i="43"/>
  <c r="M15" i="43"/>
  <c r="J19" i="43"/>
  <c r="M20" i="43"/>
  <c r="Q20" i="43"/>
  <c r="P21" i="43"/>
  <c r="P26" i="43"/>
  <c r="B15" i="45" l="1"/>
  <c r="F15" i="45"/>
  <c r="H15" i="45"/>
  <c r="C15" i="45"/>
  <c r="D15" i="45"/>
  <c r="E15" i="45"/>
  <c r="G15" i="45"/>
  <c r="E12" i="45"/>
  <c r="G11" i="45"/>
  <c r="C5" i="45"/>
  <c r="H8" i="45"/>
  <c r="B14" i="45"/>
  <c r="C2" i="45"/>
  <c r="C7" i="45"/>
  <c r="D4" i="45"/>
  <c r="D10" i="45"/>
  <c r="F14" i="45"/>
  <c r="B5" i="45"/>
  <c r="B6" i="45"/>
  <c r="C3" i="45"/>
  <c r="E13" i="45"/>
  <c r="F10" i="45"/>
  <c r="G7" i="45"/>
  <c r="H4" i="45"/>
  <c r="B10" i="45"/>
  <c r="C14" i="45"/>
  <c r="D11" i="45"/>
  <c r="E8" i="45"/>
  <c r="F5" i="45"/>
  <c r="G2" i="45"/>
  <c r="C9" i="45"/>
  <c r="E3" i="45"/>
  <c r="G13" i="45"/>
  <c r="H10" i="45"/>
  <c r="D14" i="45"/>
  <c r="B3" i="45"/>
  <c r="D13" i="45"/>
  <c r="E10" i="45"/>
  <c r="F7" i="45"/>
  <c r="G4" i="45"/>
  <c r="B8" i="45"/>
  <c r="B2" i="45"/>
  <c r="D12" i="45"/>
  <c r="E9" i="45"/>
  <c r="F6" i="45"/>
  <c r="G3" i="45"/>
  <c r="B12" i="45"/>
  <c r="B13" i="45"/>
  <c r="C10" i="45"/>
  <c r="D7" i="45"/>
  <c r="E4" i="45"/>
  <c r="G14" i="45"/>
  <c r="H11" i="45"/>
  <c r="D2" i="45"/>
  <c r="F12" i="45"/>
  <c r="G9" i="45"/>
  <c r="H6" i="45"/>
  <c r="D6" i="45"/>
  <c r="C12" i="45"/>
  <c r="D9" i="45"/>
  <c r="E6" i="45"/>
  <c r="F3" i="45"/>
  <c r="H13" i="45"/>
  <c r="C11" i="45"/>
  <c r="D8" i="45"/>
  <c r="E5" i="45"/>
  <c r="F2" i="45"/>
  <c r="H12" i="45"/>
  <c r="C13" i="45"/>
  <c r="B9" i="45"/>
  <c r="C6" i="45"/>
  <c r="D3" i="45"/>
  <c r="F13" i="45"/>
  <c r="G10" i="45"/>
  <c r="H7" i="45"/>
  <c r="E11" i="45"/>
  <c r="F8" i="45"/>
  <c r="G5" i="45"/>
  <c r="H2" i="45"/>
  <c r="B11" i="45"/>
  <c r="C8" i="45"/>
  <c r="D5" i="45"/>
  <c r="E2" i="45"/>
  <c r="G12" i="45"/>
  <c r="H9" i="45"/>
  <c r="F9" i="45"/>
  <c r="G6" i="45"/>
  <c r="H3" i="45"/>
  <c r="E7" i="45"/>
  <c r="F4" i="45"/>
  <c r="H14" i="45"/>
  <c r="B4" i="45"/>
  <c r="B7" i="45"/>
  <c r="C4" i="45"/>
  <c r="E14" i="45"/>
  <c r="F11" i="45"/>
  <c r="G8" i="45"/>
  <c r="E4" i="47" l="1"/>
  <c r="G4" i="47"/>
  <c r="C4" i="47"/>
  <c r="H4" i="47"/>
  <c r="D4" i="47"/>
  <c r="F4" i="47"/>
  <c r="B4" i="47"/>
</calcChain>
</file>

<file path=xl/comments1.xml><?xml version="1.0" encoding="utf-8"?>
<comments xmlns="http://schemas.openxmlformats.org/spreadsheetml/2006/main">
  <authors>
    <author>Cory</author>
  </authors>
  <commentList>
    <comment ref="A1" authorId="0">
      <text>
        <r>
          <rPr>
            <b/>
            <sz val="9"/>
            <color indexed="81"/>
            <rFont val="Tahoma"/>
            <family val="2"/>
          </rPr>
          <t>Cory:</t>
        </r>
        <r>
          <rPr>
            <sz val="9"/>
            <color indexed="81"/>
            <rFont val="Tahoma"/>
            <family val="2"/>
          </rPr>
          <t xml:space="preserve">
All information on building names, dates and sizes from Physical Plant Master List unless otherwise noted</t>
        </r>
      </text>
    </comment>
    <comment ref="I11" authorId="0">
      <text>
        <r>
          <rPr>
            <b/>
            <sz val="9"/>
            <color indexed="81"/>
            <rFont val="Tahoma"/>
            <family val="2"/>
          </rPr>
          <t>Cory:</t>
        </r>
        <r>
          <rPr>
            <sz val="9"/>
            <color indexed="81"/>
            <rFont val="Tahoma"/>
            <family val="2"/>
          </rPr>
          <t xml:space="preserve">
125373 square feet before the addition of the Soma Café in 2008</t>
        </r>
      </text>
    </comment>
    <comment ref="L11" authorId="0">
      <text>
        <r>
          <rPr>
            <b/>
            <sz val="9"/>
            <color indexed="81"/>
            <rFont val="Tahoma"/>
            <family val="2"/>
          </rPr>
          <t>Cory:</t>
        </r>
        <r>
          <rPr>
            <sz val="9"/>
            <color indexed="81"/>
            <rFont val="Tahoma"/>
            <family val="2"/>
          </rPr>
          <t xml:space="preserve">
completion of Soma Café was "in 2007-08" according to http://uwinnipeg.ca/campus-development/duckworth-centre.html, so assume 6 months of FY for each square footage</t>
        </r>
      </text>
    </comment>
    <comment ref="Q12" authorId="0">
      <text>
        <r>
          <rPr>
            <b/>
            <sz val="9"/>
            <color indexed="81"/>
            <rFont val="Tahoma"/>
            <family val="2"/>
          </rPr>
          <t>Cory:</t>
        </r>
        <r>
          <rPr>
            <sz val="9"/>
            <color indexed="81"/>
            <rFont val="Tahoma"/>
            <family val="2"/>
          </rPr>
          <t xml:space="preserve">
Demolished; last energy bill through August 2012 (5 months of FY)</t>
        </r>
      </text>
    </comment>
    <comment ref="S13" authorId="0">
      <text>
        <r>
          <rPr>
            <b/>
            <sz val="9"/>
            <color indexed="81"/>
            <rFont val="Tahoma"/>
            <family val="2"/>
          </rPr>
          <t>Cory:</t>
        </r>
        <r>
          <rPr>
            <sz val="9"/>
            <color indexed="81"/>
            <rFont val="Tahoma"/>
            <family val="2"/>
          </rPr>
          <t xml:space="preserve">
Sold on June 2, 2014 (2 months of FY)</t>
        </r>
      </text>
    </comment>
    <comment ref="Q15" authorId="0">
      <text>
        <r>
          <rPr>
            <b/>
            <sz val="9"/>
            <color indexed="81"/>
            <rFont val="Tahoma"/>
            <family val="2"/>
          </rPr>
          <t>Cory:</t>
        </r>
        <r>
          <rPr>
            <sz val="9"/>
            <color indexed="81"/>
            <rFont val="Tahoma"/>
            <family val="2"/>
          </rPr>
          <t xml:space="preserve">
Demolished; last energy bill through August 2012 (5 months of FY)</t>
        </r>
      </text>
    </comment>
    <comment ref="M16" authorId="0">
      <text>
        <r>
          <rPr>
            <b/>
            <sz val="9"/>
            <color indexed="81"/>
            <rFont val="Tahoma"/>
            <family val="2"/>
          </rPr>
          <t>Cory:</t>
        </r>
        <r>
          <rPr>
            <sz val="9"/>
            <color indexed="81"/>
            <rFont val="Tahoma"/>
            <family val="2"/>
          </rPr>
          <t xml:space="preserve">
Included through 2008 in June 2012 Space Inventory (assume December; 8 months of FY)</t>
        </r>
      </text>
    </comment>
    <comment ref="L17" authorId="0">
      <text>
        <r>
          <rPr>
            <b/>
            <sz val="9"/>
            <color indexed="81"/>
            <rFont val="Tahoma"/>
            <family val="2"/>
          </rPr>
          <t>Cory:</t>
        </r>
        <r>
          <rPr>
            <sz val="9"/>
            <color indexed="81"/>
            <rFont val="Tahoma"/>
            <family val="2"/>
          </rPr>
          <t xml:space="preserve">
June 2012 Space Inventory has it ending at the end of 2007 (assume December; 8 months of FY)</t>
        </r>
      </text>
    </comment>
    <comment ref="Q18" authorId="0">
      <text>
        <r>
          <rPr>
            <b/>
            <sz val="9"/>
            <color indexed="81"/>
            <rFont val="Tahoma"/>
            <family val="2"/>
          </rPr>
          <t>Cory:</t>
        </r>
        <r>
          <rPr>
            <sz val="9"/>
            <color indexed="81"/>
            <rFont val="Tahoma"/>
            <family val="2"/>
          </rPr>
          <t xml:space="preserve">
Demolished; last energy bill through August 2012 (5 months of FY)</t>
        </r>
      </text>
    </comment>
    <comment ref="Q19" authorId="0">
      <text>
        <r>
          <rPr>
            <b/>
            <sz val="9"/>
            <color indexed="81"/>
            <rFont val="Tahoma"/>
            <family val="2"/>
          </rPr>
          <t>Cory:</t>
        </r>
        <r>
          <rPr>
            <sz val="9"/>
            <color indexed="81"/>
            <rFont val="Tahoma"/>
            <family val="2"/>
          </rPr>
          <t xml:space="preserve">
June 2012 Space Inventory has it demolished at the same time as 359 Young (assume August; 5 months of FY)</t>
        </r>
      </text>
    </comment>
    <comment ref="N21" authorId="0">
      <text>
        <r>
          <rPr>
            <b/>
            <sz val="9"/>
            <color indexed="81"/>
            <rFont val="Tahoma"/>
            <family val="2"/>
          </rPr>
          <t>Cory:</t>
        </r>
        <r>
          <rPr>
            <sz val="9"/>
            <color indexed="81"/>
            <rFont val="Tahoma"/>
            <family val="2"/>
          </rPr>
          <t xml:space="preserve">
Opened mid-September 2009 (6.5 months of FY)</t>
        </r>
      </text>
    </comment>
    <comment ref="A22" authorId="0">
      <text>
        <r>
          <rPr>
            <b/>
            <sz val="9"/>
            <color indexed="81"/>
            <rFont val="Tahoma"/>
            <family val="2"/>
          </rPr>
          <t>Cory:</t>
        </r>
        <r>
          <rPr>
            <sz val="9"/>
            <color indexed="81"/>
            <rFont val="Tahoma"/>
            <family val="2"/>
          </rPr>
          <t xml:space="preserve">
Buhler building leased from Joint Venture owned by UW and CRC &amp; Plugin ICA</t>
        </r>
      </text>
    </comment>
    <comment ref="F22" authorId="0">
      <text>
        <r>
          <rPr>
            <b/>
            <sz val="9"/>
            <color indexed="81"/>
            <rFont val="Tahoma"/>
            <family val="2"/>
          </rPr>
          <t>Cory:</t>
        </r>
        <r>
          <rPr>
            <sz val="9"/>
            <color indexed="81"/>
            <rFont val="Tahoma"/>
            <family val="2"/>
          </rPr>
          <t xml:space="preserve">
Total space of Buhler is 55000 square feet; space used by UW is 33488</t>
        </r>
      </text>
    </comment>
    <comment ref="O22" authorId="0">
      <text>
        <r>
          <rPr>
            <b/>
            <sz val="9"/>
            <color indexed="81"/>
            <rFont val="Tahoma"/>
            <family val="2"/>
          </rPr>
          <t>Cory:</t>
        </r>
        <r>
          <rPr>
            <sz val="9"/>
            <color indexed="81"/>
            <rFont val="Tahoma"/>
            <family val="2"/>
          </rPr>
          <t xml:space="preserve">
Opened September 2010 (7 months of FY)</t>
        </r>
      </text>
    </comment>
    <comment ref="F23" authorId="0">
      <text>
        <r>
          <rPr>
            <b/>
            <sz val="9"/>
            <color indexed="81"/>
            <rFont val="Tahoma"/>
            <family val="2"/>
          </rPr>
          <t>Cory:</t>
        </r>
        <r>
          <rPr>
            <sz val="9"/>
            <color indexed="81"/>
            <rFont val="Tahoma"/>
            <family val="2"/>
          </rPr>
          <t xml:space="preserve">
Total space of RCFE is 193760 square feet; some is leased by the UW so 149315 is square footage of space used by UW</t>
        </r>
      </text>
    </comment>
    <comment ref="P23" authorId="0">
      <text>
        <r>
          <rPr>
            <b/>
            <sz val="9"/>
            <color indexed="81"/>
            <rFont val="Tahoma"/>
            <family val="2"/>
          </rPr>
          <t>Cory:</t>
        </r>
        <r>
          <rPr>
            <sz val="9"/>
            <color indexed="81"/>
            <rFont val="Tahoma"/>
            <family val="2"/>
          </rPr>
          <t xml:space="preserve">
Opened April 2011 (whole FY)</t>
        </r>
      </text>
    </comment>
    <comment ref="S24" authorId="0">
      <text>
        <r>
          <rPr>
            <b/>
            <sz val="9"/>
            <color indexed="81"/>
            <rFont val="Tahoma"/>
            <family val="2"/>
          </rPr>
          <t>Cory:</t>
        </r>
        <r>
          <rPr>
            <sz val="9"/>
            <color indexed="81"/>
            <rFont val="Tahoma"/>
            <family val="2"/>
          </rPr>
          <t xml:space="preserve">
Opened mid-June 2014 (9.5 months of FY)</t>
        </r>
      </text>
    </comment>
    <comment ref="D25" authorId="0">
      <text>
        <r>
          <rPr>
            <b/>
            <sz val="9"/>
            <color indexed="81"/>
            <rFont val="Tahoma"/>
            <family val="2"/>
          </rPr>
          <t>Cory:</t>
        </r>
        <r>
          <rPr>
            <sz val="9"/>
            <color indexed="81"/>
            <rFont val="Tahoma"/>
            <family val="2"/>
          </rPr>
          <t xml:space="preserve">
listed as 'active' in Master Property list April 2017, but some info says demolished</t>
        </r>
      </text>
    </comment>
    <comment ref="F25" authorId="0">
      <text>
        <r>
          <rPr>
            <b/>
            <sz val="9"/>
            <color indexed="81"/>
            <rFont val="Tahoma"/>
            <family val="2"/>
          </rPr>
          <t>Cory:</t>
        </r>
        <r>
          <rPr>
            <sz val="9"/>
            <color indexed="81"/>
            <rFont val="Tahoma"/>
            <family val="2"/>
          </rPr>
          <t xml:space="preserve">
square footage from City of Winnipeg tax roll info</t>
        </r>
      </text>
    </comment>
    <comment ref="Q25" authorId="0">
      <text>
        <r>
          <rPr>
            <b/>
            <sz val="9"/>
            <color indexed="81"/>
            <rFont val="Tahoma"/>
            <family val="2"/>
          </rPr>
          <t>Cory:</t>
        </r>
        <r>
          <rPr>
            <sz val="9"/>
            <color indexed="81"/>
            <rFont val="Tahoma"/>
            <family val="2"/>
          </rPr>
          <t xml:space="preserve">
see Notes; assume purchased in July (9 months of FY)</t>
        </r>
      </text>
    </comment>
    <comment ref="C26" authorId="0">
      <text>
        <r>
          <rPr>
            <b/>
            <sz val="9"/>
            <color indexed="81"/>
            <rFont val="Tahoma"/>
            <family val="2"/>
          </rPr>
          <t>Cory:</t>
        </r>
        <r>
          <rPr>
            <sz val="9"/>
            <color indexed="81"/>
            <rFont val="Tahoma"/>
            <family val="2"/>
          </rPr>
          <t xml:space="preserve">
Noted on '2008-09 Asses' tab of Physical Plant's 2016 Master List as student residence, so has been owned since at least since then. But not on 2012 Space Inventory</t>
        </r>
      </text>
    </comment>
    <comment ref="F26" authorId="0">
      <text>
        <r>
          <rPr>
            <b/>
            <sz val="9"/>
            <color indexed="81"/>
            <rFont val="Tahoma"/>
            <family val="2"/>
          </rPr>
          <t>Cory:</t>
        </r>
        <r>
          <rPr>
            <sz val="9"/>
            <color indexed="81"/>
            <rFont val="Tahoma"/>
            <family val="2"/>
          </rPr>
          <t xml:space="preserve">
square footage from City of Winnipeg tax roll info</t>
        </r>
      </text>
    </comment>
    <comment ref="M26" authorId="0">
      <text>
        <r>
          <rPr>
            <b/>
            <sz val="9"/>
            <color indexed="81"/>
            <rFont val="Tahoma"/>
            <family val="2"/>
          </rPr>
          <t>Cory:</t>
        </r>
        <r>
          <rPr>
            <sz val="9"/>
            <color indexed="81"/>
            <rFont val="Tahoma"/>
            <family val="2"/>
          </rPr>
          <t xml:space="preserve">
see Notes; assume purchased at beginning of FY</t>
        </r>
      </text>
    </comment>
    <comment ref="P27" authorId="0">
      <text>
        <r>
          <rPr>
            <b/>
            <sz val="9"/>
            <color indexed="81"/>
            <rFont val="Tahoma"/>
            <family val="2"/>
          </rPr>
          <t>Cory:</t>
        </r>
        <r>
          <rPr>
            <sz val="9"/>
            <color indexed="81"/>
            <rFont val="Tahoma"/>
            <family val="2"/>
          </rPr>
          <t xml:space="preserve">
Opened October 21st (6.5 months of FY)</t>
        </r>
      </text>
    </comment>
    <comment ref="U28" authorId="0">
      <text>
        <r>
          <rPr>
            <b/>
            <sz val="9"/>
            <color indexed="81"/>
            <rFont val="Tahoma"/>
            <family val="2"/>
          </rPr>
          <t>Cory:</t>
        </r>
        <r>
          <rPr>
            <sz val="9"/>
            <color indexed="81"/>
            <rFont val="Tahoma"/>
            <family val="2"/>
          </rPr>
          <t xml:space="preserve">
with info that lease stopped in late 2016, presume December (8 months of FY)</t>
        </r>
      </text>
    </comment>
    <comment ref="N29" authorId="0">
      <text>
        <r>
          <rPr>
            <b/>
            <sz val="9"/>
            <color indexed="81"/>
            <rFont val="Tahoma"/>
            <family val="2"/>
          </rPr>
          <t>Cory:</t>
        </r>
        <r>
          <rPr>
            <sz val="9"/>
            <color indexed="81"/>
            <rFont val="Tahoma"/>
            <family val="2"/>
          </rPr>
          <t xml:space="preserve">
End date January 2010 (8 months of FY)</t>
        </r>
      </text>
    </comment>
    <comment ref="P30" authorId="0">
      <text>
        <r>
          <rPr>
            <b/>
            <sz val="9"/>
            <color indexed="81"/>
            <rFont val="Tahoma"/>
            <family val="2"/>
          </rPr>
          <t>Cory:</t>
        </r>
        <r>
          <rPr>
            <sz val="9"/>
            <color indexed="81"/>
            <rFont val="Tahoma"/>
            <family val="2"/>
          </rPr>
          <t xml:space="preserve">
Assume it was vacated at the beginning of 2012 (8 months of FY)</t>
        </r>
      </text>
    </comment>
    <comment ref="D31" authorId="0">
      <text>
        <r>
          <rPr>
            <b/>
            <sz val="9"/>
            <color indexed="81"/>
            <rFont val="Tahoma"/>
            <family val="2"/>
          </rPr>
          <t>Cory:</t>
        </r>
        <r>
          <rPr>
            <sz val="9"/>
            <color indexed="81"/>
            <rFont val="Tahoma"/>
            <family val="2"/>
          </rPr>
          <t xml:space="preserve">
Mike Thul from Physical Plant has confirmed in correspondence that this is current as of May 2017</t>
        </r>
      </text>
    </comment>
    <comment ref="F31" authorId="0">
      <text>
        <r>
          <rPr>
            <b/>
            <sz val="9"/>
            <color indexed="81"/>
            <rFont val="Tahoma"/>
            <family val="2"/>
          </rPr>
          <t>Cory:</t>
        </r>
        <r>
          <rPr>
            <sz val="9"/>
            <color indexed="81"/>
            <rFont val="Tahoma"/>
            <family val="2"/>
          </rPr>
          <t xml:space="preserve">
Physical Plant Master List has square footage as 3500; Portfolio Manager has it as 5000; June 2012 Space Inventory has it at 1367</t>
        </r>
      </text>
    </comment>
    <comment ref="M32" authorId="0">
      <text>
        <r>
          <rPr>
            <b/>
            <sz val="9"/>
            <color indexed="81"/>
            <rFont val="Tahoma"/>
            <family val="2"/>
          </rPr>
          <t>Cory:</t>
        </r>
        <r>
          <rPr>
            <sz val="9"/>
            <color indexed="81"/>
            <rFont val="Tahoma"/>
            <family val="2"/>
          </rPr>
          <t xml:space="preserve">
June 2012 Space inventory has it vacated after 2008; assume December 2008 (8 months of FY)</t>
        </r>
      </text>
    </comment>
    <comment ref="R33" authorId="0">
      <text>
        <r>
          <rPr>
            <b/>
            <sz val="9"/>
            <color indexed="81"/>
            <rFont val="Tahoma"/>
            <family val="2"/>
          </rPr>
          <t>Cory:</t>
        </r>
        <r>
          <rPr>
            <sz val="9"/>
            <color indexed="81"/>
            <rFont val="Tahoma"/>
            <family val="2"/>
          </rPr>
          <t xml:space="preserve">
Vacated at end of May (2 months of FY)</t>
        </r>
      </text>
    </comment>
    <comment ref="M34" authorId="0">
      <text>
        <r>
          <rPr>
            <b/>
            <sz val="9"/>
            <color indexed="81"/>
            <rFont val="Tahoma"/>
            <family val="2"/>
          </rPr>
          <t>Cory:</t>
        </r>
        <r>
          <rPr>
            <sz val="9"/>
            <color indexed="81"/>
            <rFont val="Tahoma"/>
            <family val="2"/>
          </rPr>
          <t xml:space="preserve">
assume building was occupied for 2009 (4 months of FY)</t>
        </r>
      </text>
    </comment>
    <comment ref="N34" authorId="0">
      <text>
        <r>
          <rPr>
            <b/>
            <sz val="9"/>
            <color indexed="81"/>
            <rFont val="Tahoma"/>
            <family val="2"/>
          </rPr>
          <t>Cory:</t>
        </r>
        <r>
          <rPr>
            <sz val="9"/>
            <color indexed="81"/>
            <rFont val="Tahoma"/>
            <family val="2"/>
          </rPr>
          <t xml:space="preserve">
assume building was occupied for 2009 (8 months of FY)</t>
        </r>
      </text>
    </comment>
    <comment ref="M35" authorId="0">
      <text>
        <r>
          <rPr>
            <b/>
            <sz val="9"/>
            <color indexed="81"/>
            <rFont val="Tahoma"/>
            <family val="2"/>
          </rPr>
          <t>Cory:</t>
        </r>
        <r>
          <rPr>
            <sz val="9"/>
            <color indexed="81"/>
            <rFont val="Tahoma"/>
            <family val="2"/>
          </rPr>
          <t xml:space="preserve">
assume building was occupied for 2009 (4 months of FY)</t>
        </r>
      </text>
    </comment>
    <comment ref="N35" authorId="0">
      <text>
        <r>
          <rPr>
            <b/>
            <sz val="9"/>
            <color indexed="81"/>
            <rFont val="Tahoma"/>
            <family val="2"/>
          </rPr>
          <t>Cory:</t>
        </r>
        <r>
          <rPr>
            <sz val="9"/>
            <color indexed="81"/>
            <rFont val="Tahoma"/>
            <family val="2"/>
          </rPr>
          <t xml:space="preserve">
assume building was occupied for 2009 (8 months of FY)</t>
        </r>
      </text>
    </comment>
    <comment ref="M36" authorId="0">
      <text>
        <r>
          <rPr>
            <b/>
            <sz val="9"/>
            <color indexed="81"/>
            <rFont val="Tahoma"/>
            <family val="2"/>
          </rPr>
          <t>Cory:</t>
        </r>
        <r>
          <rPr>
            <sz val="9"/>
            <color indexed="81"/>
            <rFont val="Tahoma"/>
            <family val="2"/>
          </rPr>
          <t xml:space="preserve">
assume vacated at beginning of 2009 (8 months of FY)</t>
        </r>
      </text>
    </comment>
    <comment ref="N37" authorId="0">
      <text>
        <r>
          <rPr>
            <b/>
            <sz val="9"/>
            <color indexed="81"/>
            <rFont val="Tahoma"/>
            <family val="2"/>
          </rPr>
          <t>Cory:</t>
        </r>
        <r>
          <rPr>
            <sz val="9"/>
            <color indexed="81"/>
            <rFont val="Tahoma"/>
            <family val="2"/>
          </rPr>
          <t xml:space="preserve">
lease began September 1st (7 months of FY)</t>
        </r>
      </text>
    </comment>
    <comment ref="Q38" authorId="0">
      <text>
        <r>
          <rPr>
            <b/>
            <sz val="9"/>
            <color indexed="81"/>
            <rFont val="Tahoma"/>
            <family val="2"/>
          </rPr>
          <t>Cory:</t>
        </r>
        <r>
          <rPr>
            <sz val="9"/>
            <color indexed="81"/>
            <rFont val="Tahoma"/>
            <family val="2"/>
          </rPr>
          <t xml:space="preserve">
No info on beginning of lease except that it wasn't on the June 2012 Space Inventory; assume January 2013 (4 months of FY)</t>
        </r>
      </text>
    </comment>
    <comment ref="Q39" authorId="0">
      <text>
        <r>
          <rPr>
            <b/>
            <sz val="9"/>
            <color indexed="81"/>
            <rFont val="Tahoma"/>
            <family val="2"/>
          </rPr>
          <t>Cory:</t>
        </r>
        <r>
          <rPr>
            <sz val="9"/>
            <color indexed="81"/>
            <rFont val="Tahoma"/>
            <family val="2"/>
          </rPr>
          <t xml:space="preserve">
Lease began May 2012 (11 months of FY)</t>
        </r>
      </text>
    </comment>
    <comment ref="M40" authorId="0">
      <text>
        <r>
          <rPr>
            <b/>
            <sz val="9"/>
            <color indexed="81"/>
            <rFont val="Tahoma"/>
            <family val="2"/>
          </rPr>
          <t>Cory:</t>
        </r>
        <r>
          <rPr>
            <sz val="9"/>
            <color indexed="81"/>
            <rFont val="Tahoma"/>
            <family val="2"/>
          </rPr>
          <t xml:space="preserve">
began use in 2009; assume January (4 months of FY)</t>
        </r>
      </text>
    </comment>
    <comment ref="O41" authorId="0">
      <text>
        <r>
          <rPr>
            <b/>
            <sz val="9"/>
            <color indexed="81"/>
            <rFont val="Tahoma"/>
            <family val="2"/>
          </rPr>
          <t xml:space="preserve">Cory:
</t>
        </r>
        <r>
          <rPr>
            <sz val="9"/>
            <color indexed="81"/>
            <rFont val="Tahoma"/>
            <family val="2"/>
          </rPr>
          <t>assume began in January 2011 (4 months of FY)</t>
        </r>
      </text>
    </comment>
    <comment ref="F42" authorId="0">
      <text>
        <r>
          <rPr>
            <b/>
            <sz val="9"/>
            <color indexed="81"/>
            <rFont val="Tahoma"/>
            <family val="2"/>
          </rPr>
          <t>Cory:</t>
        </r>
        <r>
          <rPr>
            <sz val="9"/>
            <color indexed="81"/>
            <rFont val="Tahoma"/>
            <family val="2"/>
          </rPr>
          <t xml:space="preserve">
Physical Plant's April 2017 Master Property List has the total non-AnX Rice Building square footage as 46115, which is the sum of the office space on the main, 2nd, 3rd, 5th, 7th and 9th floors detailed on this sheet.</t>
        </r>
      </text>
    </comment>
    <comment ref="Q42" authorId="0">
      <text>
        <r>
          <rPr>
            <b/>
            <sz val="9"/>
            <color indexed="81"/>
            <rFont val="Tahoma"/>
            <family val="2"/>
          </rPr>
          <t>Cory:</t>
        </r>
        <r>
          <rPr>
            <sz val="9"/>
            <color indexed="81"/>
            <rFont val="Tahoma"/>
            <family val="2"/>
          </rPr>
          <t xml:space="preserve">
No info on beginning of lease except that it wasn't on the June 2012 Space Inventory; assume January 2013 (4 months of FY)</t>
        </r>
      </text>
    </comment>
    <comment ref="Q43" authorId="0">
      <text>
        <r>
          <rPr>
            <b/>
            <sz val="9"/>
            <color indexed="81"/>
            <rFont val="Tahoma"/>
            <family val="2"/>
          </rPr>
          <t>Cory:</t>
        </r>
        <r>
          <rPr>
            <sz val="9"/>
            <color indexed="81"/>
            <rFont val="Tahoma"/>
            <family val="2"/>
          </rPr>
          <t xml:space="preserve">
started May 15th (10.5 months of FY)</t>
        </r>
      </text>
    </comment>
    <comment ref="L44" authorId="0">
      <text>
        <r>
          <rPr>
            <b/>
            <sz val="9"/>
            <color indexed="81"/>
            <rFont val="Tahoma"/>
            <family val="2"/>
          </rPr>
          <t>Cory:</t>
        </r>
        <r>
          <rPr>
            <sz val="9"/>
            <color indexed="81"/>
            <rFont val="Tahoma"/>
            <family val="2"/>
          </rPr>
          <t xml:space="preserve">
assume begins Jan 2009 (4 months of FY)</t>
        </r>
      </text>
    </comment>
    <comment ref="N44" authorId="0">
      <text>
        <r>
          <rPr>
            <b/>
            <sz val="9"/>
            <color indexed="81"/>
            <rFont val="Tahoma"/>
            <family val="2"/>
          </rPr>
          <t>Cory:</t>
        </r>
        <r>
          <rPr>
            <sz val="9"/>
            <color indexed="81"/>
            <rFont val="Tahoma"/>
            <family val="2"/>
          </rPr>
          <t xml:space="preserve">
assume ends December 2009 (8 months of FY)</t>
        </r>
      </text>
    </comment>
    <comment ref="R45" authorId="0">
      <text>
        <r>
          <rPr>
            <b/>
            <sz val="9"/>
            <color indexed="81"/>
            <rFont val="Tahoma"/>
            <family val="2"/>
          </rPr>
          <t>Cory:</t>
        </r>
        <r>
          <rPr>
            <sz val="9"/>
            <color indexed="81"/>
            <rFont val="Tahoma"/>
            <family val="2"/>
          </rPr>
          <t xml:space="preserve">
lease started September 1st (7 months of FY)</t>
        </r>
      </text>
    </comment>
    <comment ref="J46" authorId="0">
      <text>
        <r>
          <rPr>
            <b/>
            <sz val="9"/>
            <color indexed="81"/>
            <rFont val="Tahoma"/>
            <family val="2"/>
          </rPr>
          <t xml:space="preserve">Cory:
</t>
        </r>
        <r>
          <rPr>
            <sz val="9"/>
            <color indexed="81"/>
            <rFont val="Tahoma"/>
            <family val="2"/>
          </rPr>
          <t>assume began in January 2006 (4 months of FY)</t>
        </r>
      </text>
    </comment>
    <comment ref="K47" authorId="0">
      <text>
        <r>
          <rPr>
            <b/>
            <sz val="9"/>
            <color indexed="81"/>
            <rFont val="Tahoma"/>
            <family val="2"/>
          </rPr>
          <t>Cory:</t>
        </r>
        <r>
          <rPr>
            <sz val="9"/>
            <color indexed="81"/>
            <rFont val="Tahoma"/>
            <family val="2"/>
          </rPr>
          <t xml:space="preserve">
assume began in January 2007 (4 months of FY)</t>
        </r>
      </text>
    </comment>
    <comment ref="M52" authorId="0">
      <text>
        <r>
          <rPr>
            <b/>
            <sz val="9"/>
            <color indexed="81"/>
            <rFont val="Tahoma"/>
            <family val="2"/>
          </rPr>
          <t>Cory:</t>
        </r>
        <r>
          <rPr>
            <sz val="9"/>
            <color indexed="81"/>
            <rFont val="Tahoma"/>
            <family val="2"/>
          </rPr>
          <t xml:space="preserve">
June 2012 Space Inventory notes that it was vacated in 2009; assume January (8 months of FY)</t>
        </r>
      </text>
    </comment>
    <comment ref="N53" authorId="0">
      <text>
        <r>
          <rPr>
            <b/>
            <sz val="9"/>
            <color indexed="81"/>
            <rFont val="Tahoma"/>
            <family val="2"/>
          </rPr>
          <t>Cory:</t>
        </r>
        <r>
          <rPr>
            <sz val="9"/>
            <color indexed="81"/>
            <rFont val="Tahoma"/>
            <family val="2"/>
          </rPr>
          <t xml:space="preserve">
June 2012 Space Inventory notes that it was vacated in 2010; assume January (8 months of FY)</t>
        </r>
      </text>
    </comment>
    <comment ref="N54" authorId="0">
      <text>
        <r>
          <rPr>
            <b/>
            <sz val="9"/>
            <color indexed="81"/>
            <rFont val="Tahoma"/>
            <family val="2"/>
          </rPr>
          <t>Cory:</t>
        </r>
        <r>
          <rPr>
            <sz val="9"/>
            <color indexed="81"/>
            <rFont val="Tahoma"/>
            <family val="2"/>
          </rPr>
          <t xml:space="preserve">
June 2012 Space Inventory notes that it was vacated in 2010; assume January (8 months of FY)</t>
        </r>
      </text>
    </comment>
    <comment ref="F55" authorId="0">
      <text>
        <r>
          <rPr>
            <b/>
            <sz val="9"/>
            <color indexed="81"/>
            <rFont val="Tahoma"/>
            <family val="2"/>
          </rPr>
          <t>Cory:</t>
        </r>
        <r>
          <rPr>
            <sz val="9"/>
            <color indexed="81"/>
            <rFont val="Tahoma"/>
            <family val="2"/>
          </rPr>
          <t xml:space="preserve">
No information available from City of Winnipeg; estimate from June 2012 Space Inventory</t>
        </r>
      </text>
    </comment>
    <comment ref="Q55" authorId="0">
      <text>
        <r>
          <rPr>
            <b/>
            <sz val="9"/>
            <color indexed="81"/>
            <rFont val="Tahoma"/>
            <family val="2"/>
          </rPr>
          <t>Cory:</t>
        </r>
        <r>
          <rPr>
            <sz val="9"/>
            <color indexed="81"/>
            <rFont val="Tahoma"/>
            <family val="2"/>
          </rPr>
          <t xml:space="preserve">
no information available on when this was sold, so assume it was sold at the same time as 449 Spence St (3 months of FY)</t>
        </r>
      </text>
    </comment>
    <comment ref="Q56" authorId="0">
      <text>
        <r>
          <rPr>
            <b/>
            <sz val="9"/>
            <color indexed="81"/>
            <rFont val="Tahoma"/>
            <family val="2"/>
          </rPr>
          <t>Cory:</t>
        </r>
        <r>
          <rPr>
            <sz val="9"/>
            <color indexed="81"/>
            <rFont val="Tahoma"/>
            <family val="2"/>
          </rPr>
          <t xml:space="preserve">
June 2012 Space Inventory has it as sold in 2012, but stated as 'occupied' in the notes; best guess is that it was sold mid-2012 (3 months of FY)</t>
        </r>
      </text>
    </comment>
    <comment ref="N57" authorId="0">
      <text>
        <r>
          <rPr>
            <b/>
            <sz val="9"/>
            <color indexed="81"/>
            <rFont val="Tahoma"/>
            <family val="2"/>
          </rPr>
          <t>Cory:</t>
        </r>
        <r>
          <rPr>
            <sz val="9"/>
            <color indexed="81"/>
            <rFont val="Tahoma"/>
            <family val="2"/>
          </rPr>
          <t xml:space="preserve">
opened September 2009 (7 months of FY)</t>
        </r>
      </text>
    </comment>
    <comment ref="H58" authorId="0">
      <text>
        <r>
          <rPr>
            <b/>
            <sz val="9"/>
            <color indexed="81"/>
            <rFont val="Tahoma"/>
            <family val="2"/>
          </rPr>
          <t>Cory:</t>
        </r>
        <r>
          <rPr>
            <sz val="9"/>
            <color indexed="81"/>
            <rFont val="Tahoma"/>
            <family val="2"/>
          </rPr>
          <t xml:space="preserve">
info on completion from http://www.winnipegfreepress.com/our-communities/metro/Downtown-Commons-Open-395700861.html</t>
        </r>
      </text>
    </comment>
    <comment ref="U58" authorId="0">
      <text>
        <r>
          <rPr>
            <b/>
            <sz val="9"/>
            <color indexed="81"/>
            <rFont val="Tahoma"/>
            <family val="2"/>
          </rPr>
          <t>Cory:</t>
        </r>
        <r>
          <rPr>
            <sz val="9"/>
            <color indexed="81"/>
            <rFont val="Tahoma"/>
            <family val="2"/>
          </rPr>
          <t xml:space="preserve">
Completed at end of September 2016 (6 months of FY)</t>
        </r>
      </text>
    </comment>
    <comment ref="C60" authorId="0">
      <text>
        <r>
          <rPr>
            <b/>
            <sz val="9"/>
            <color indexed="81"/>
            <rFont val="Tahoma"/>
            <family val="2"/>
          </rPr>
          <t>Cory:</t>
        </r>
        <r>
          <rPr>
            <sz val="9"/>
            <color indexed="81"/>
            <rFont val="Tahoma"/>
            <family val="2"/>
          </rPr>
          <t xml:space="preserve">
No specific occupancy date stated other than '2012'; not included on June 2012 Space Inventory, so best guess is that occupancy began September 1 assuming annual lease</t>
        </r>
      </text>
    </comment>
    <comment ref="Q60" authorId="0">
      <text>
        <r>
          <rPr>
            <b/>
            <sz val="9"/>
            <color indexed="81"/>
            <rFont val="Tahoma"/>
            <family val="2"/>
          </rPr>
          <t>Cory:</t>
        </r>
        <r>
          <rPr>
            <sz val="9"/>
            <color indexed="81"/>
            <rFont val="Tahoma"/>
            <family val="2"/>
          </rPr>
          <t xml:space="preserve">
Assume lease began September 2012 (7 months of FY)</t>
        </r>
      </text>
    </comment>
    <comment ref="S60" authorId="0">
      <text>
        <r>
          <rPr>
            <b/>
            <sz val="9"/>
            <color indexed="81"/>
            <rFont val="Tahoma"/>
            <family val="2"/>
          </rPr>
          <t>Cory:</t>
        </r>
        <r>
          <rPr>
            <sz val="9"/>
            <color indexed="81"/>
            <rFont val="Tahoma"/>
            <family val="2"/>
          </rPr>
          <t xml:space="preserve">
Lease ended August 31st (5 months of FY)</t>
        </r>
      </text>
    </comment>
  </commentList>
</comments>
</file>

<file path=xl/comments2.xml><?xml version="1.0" encoding="utf-8"?>
<comments xmlns="http://schemas.openxmlformats.org/spreadsheetml/2006/main">
  <authors>
    <author>Cory</author>
  </authors>
  <commentList>
    <comment ref="A1" authorId="0">
      <text>
        <r>
          <rPr>
            <b/>
            <sz val="9"/>
            <color indexed="81"/>
            <rFont val="Tahoma"/>
            <family val="2"/>
          </rPr>
          <t>Cory:</t>
        </r>
        <r>
          <rPr>
            <sz val="9"/>
            <color indexed="81"/>
            <rFont val="Tahoma"/>
            <family val="2"/>
          </rPr>
          <t xml:space="preserve">
'Year' is Fiscal Year, from April-March</t>
        </r>
      </text>
    </comment>
    <comment ref="B1" authorId="0">
      <text>
        <r>
          <rPr>
            <b/>
            <sz val="9"/>
            <color indexed="81"/>
            <rFont val="Tahoma"/>
            <family val="2"/>
          </rPr>
          <t>Cory:</t>
        </r>
        <r>
          <rPr>
            <sz val="9"/>
            <color indexed="81"/>
            <rFont val="Tahoma"/>
            <family val="2"/>
          </rPr>
          <t xml:space="preserve">
All measurements in square meters</t>
        </r>
      </text>
    </comment>
  </commentList>
</comments>
</file>

<file path=xl/sharedStrings.xml><?xml version="1.0" encoding="utf-8"?>
<sst xmlns="http://schemas.openxmlformats.org/spreadsheetml/2006/main" count="418" uniqueCount="195">
  <si>
    <t>Address</t>
  </si>
  <si>
    <t>Buhler Building</t>
  </si>
  <si>
    <t>Duckworth Centre</t>
  </si>
  <si>
    <t>Education Building</t>
  </si>
  <si>
    <t>Helen Betty Osborne</t>
  </si>
  <si>
    <t>MacNamara Hall</t>
  </si>
  <si>
    <t>Ashdown Hall</t>
  </si>
  <si>
    <t>Manitoba Hall</t>
  </si>
  <si>
    <t>Riddell Hall</t>
  </si>
  <si>
    <t>Centennial Hall</t>
  </si>
  <si>
    <t>Graham Hall</t>
  </si>
  <si>
    <t>Lockhart Hall</t>
  </si>
  <si>
    <t>President's Residence</t>
  </si>
  <si>
    <t>Sparling Hall</t>
  </si>
  <si>
    <t>Wesley Hall</t>
  </si>
  <si>
    <t>McFeetors Hall</t>
  </si>
  <si>
    <t>Student Housing Office</t>
  </si>
  <si>
    <t>UWSA Daycare</t>
  </si>
  <si>
    <t>George Bryce Hall</t>
  </si>
  <si>
    <t>Gladstone Apartments</t>
  </si>
  <si>
    <t>355 Young St</t>
  </si>
  <si>
    <t>359 Young St</t>
  </si>
  <si>
    <t>Massey Building</t>
  </si>
  <si>
    <t>Colony Square</t>
  </si>
  <si>
    <t>485 Selkirk</t>
  </si>
  <si>
    <t>515 Portage Ave</t>
  </si>
  <si>
    <t>511 Portage Ave</t>
  </si>
  <si>
    <t>385 Spence St</t>
  </si>
  <si>
    <t>480 Ellice Ave</t>
  </si>
  <si>
    <t>411 Spence St</t>
  </si>
  <si>
    <t>400 Spence St</t>
  </si>
  <si>
    <t>Spence St</t>
  </si>
  <si>
    <t>49 Oak St</t>
  </si>
  <si>
    <t>400 Colony St</t>
  </si>
  <si>
    <t>509/511 Ellice Ave</t>
  </si>
  <si>
    <t>548 Furby Pl</t>
  </si>
  <si>
    <t>460 Portage Ave</t>
  </si>
  <si>
    <t>436 Balmoral St</t>
  </si>
  <si>
    <t>480 Portage Ave</t>
  </si>
  <si>
    <t>491 Portage Ave</t>
  </si>
  <si>
    <t>275 Portage Ave</t>
  </si>
  <si>
    <t>485 Selkirk Ave</t>
  </si>
  <si>
    <t>109-500 Portage Ave</t>
  </si>
  <si>
    <t>Portage Place</t>
  </si>
  <si>
    <t>200/201-393 Portage Ave</t>
  </si>
  <si>
    <t>266 Balmoral St</t>
  </si>
  <si>
    <t>270 Balmoral St</t>
  </si>
  <si>
    <t>284 Balmoral St</t>
  </si>
  <si>
    <t>288 Furby St</t>
  </si>
  <si>
    <t>434 Spence St</t>
  </si>
  <si>
    <t>440 Spence St</t>
  </si>
  <si>
    <t>443 Spence St</t>
  </si>
  <si>
    <t>449 Spence St</t>
  </si>
  <si>
    <t>432 Furby St</t>
  </si>
  <si>
    <t>???</t>
  </si>
  <si>
    <t>320 Sherbrook St</t>
  </si>
  <si>
    <t>RecPlex</t>
  </si>
  <si>
    <t>350 Spence St</t>
  </si>
  <si>
    <t>Green House</t>
  </si>
  <si>
    <t>373 Langside St</t>
  </si>
  <si>
    <t>AnX Basement</t>
  </si>
  <si>
    <t>473/475/491 Portage Ave</t>
  </si>
  <si>
    <t>276/278 Balmoral St</t>
  </si>
  <si>
    <t>370 Langside St</t>
  </si>
  <si>
    <t>Urban Aboriginal Circle</t>
  </si>
  <si>
    <t>527 Selkirk Ave</t>
  </si>
  <si>
    <t>Bike Lab</t>
  </si>
  <si>
    <t>Campus Centre</t>
  </si>
  <si>
    <t>current</t>
  </si>
  <si>
    <t>Name</t>
  </si>
  <si>
    <t>Asper Centre for Theatre and Film</t>
  </si>
  <si>
    <t>Furby Apartment</t>
  </si>
  <si>
    <t>Notes</t>
  </si>
  <si>
    <t>Menno Simons College</t>
  </si>
  <si>
    <t>2013-14</t>
  </si>
  <si>
    <t>Year</t>
  </si>
  <si>
    <t>Construction House</t>
  </si>
  <si>
    <t>359 Young</t>
  </si>
  <si>
    <t>2006-07</t>
  </si>
  <si>
    <t>2007-08</t>
  </si>
  <si>
    <t>2008-09</t>
  </si>
  <si>
    <t>2009-10</t>
  </si>
  <si>
    <t>2010-11</t>
  </si>
  <si>
    <t>2011-12</t>
  </si>
  <si>
    <t>2012-13</t>
  </si>
  <si>
    <t>2014-15</t>
  </si>
  <si>
    <t>2015-16</t>
  </si>
  <si>
    <t>Housing Owned</t>
  </si>
  <si>
    <t>Housing Leased</t>
  </si>
  <si>
    <t>Total Area Occupied</t>
  </si>
  <si>
    <t>Total Owned Space</t>
  </si>
  <si>
    <t>Total Leased Space</t>
  </si>
  <si>
    <t>Purchase Date</t>
  </si>
  <si>
    <t>Demolition/ Sale Date</t>
  </si>
  <si>
    <t>Young Street Church</t>
  </si>
  <si>
    <t>Young Street Garage</t>
  </si>
  <si>
    <t>Richardson College For the Environment</t>
  </si>
  <si>
    <t>103-520 Portage Avenue</t>
  </si>
  <si>
    <t>102-520 Portage Avenue</t>
  </si>
  <si>
    <t>14th Floor Kensington Building</t>
  </si>
  <si>
    <t>18th Floor Kensington Building</t>
  </si>
  <si>
    <t>AnX Main Floor</t>
  </si>
  <si>
    <t>Rice Main (not AnX)</t>
  </si>
  <si>
    <t>2nd Floor Rice Building</t>
  </si>
  <si>
    <t>3rd Floor Rice Building</t>
  </si>
  <si>
    <t>5th Floor Rice Building</t>
  </si>
  <si>
    <t>7th Floor Rice Building</t>
  </si>
  <si>
    <t>9th Floor Rice Building</t>
  </si>
  <si>
    <t>400 Balmoral St</t>
  </si>
  <si>
    <t>499 Portage Ave</t>
  </si>
  <si>
    <t>377 Langside</t>
  </si>
  <si>
    <t>2008?</t>
  </si>
  <si>
    <t>294 William Ave</t>
  </si>
  <si>
    <t>510 Portage Ave</t>
  </si>
  <si>
    <t>Demolished in 2012</t>
  </si>
  <si>
    <t>Sold on June 2, 2014</t>
  </si>
  <si>
    <t>No specific info on sale/demolition or use, but included until end of 2008 in June 2012 Space Inventory</t>
  </si>
  <si>
    <t>June 2012 Space Inventory has it demolished in 2012</t>
  </si>
  <si>
    <t>June 2012 Space Inventory has it until the end of 2007</t>
  </si>
  <si>
    <t>Grand Opening September 12, 2009</t>
  </si>
  <si>
    <t>current?</t>
  </si>
  <si>
    <t>Acquired in 2012 after June inventory; without more data, will assume half a year of ownership in 2012</t>
  </si>
  <si>
    <t>See note under purchase date; will assume purchased at beginning of 2008-09 FY</t>
  </si>
  <si>
    <t>Late 2016</t>
  </si>
  <si>
    <t>No info on lease in any files, but mention of late 2016 as end date</t>
  </si>
  <si>
    <t>Institute of Urban Studies; June 2012 Space Inventory has end date as January 2010</t>
  </si>
  <si>
    <t>103-520 Portage Ave</t>
  </si>
  <si>
    <t>102-520 Portage Ave</t>
  </si>
  <si>
    <t>June 2012 Space Inventory has it vacated in 2012</t>
  </si>
  <si>
    <t>2nd floor-520 Portage Ave</t>
  </si>
  <si>
    <t>June 2012 Space Inventory has end date of lease as May 31 2013; Physical Plant Master List says vacated in 2013</t>
  </si>
  <si>
    <t>June 2012 Space Inventory has it for 2009 but not for 2010 and note saying 'vacated 2010'</t>
  </si>
  <si>
    <t>June 2012 Space Inventory says vacated 2009</t>
  </si>
  <si>
    <t>June 2012 Space Inventory does not include it; lease began after, but no info from Physical Plant</t>
  </si>
  <si>
    <t>First energy bill May 2012; lease ended April 2016</t>
  </si>
  <si>
    <t>June 2012 Space Inventory begins tracking in 2009</t>
  </si>
  <si>
    <t>June 2012 Space Inventory begins tracking in 2011</t>
  </si>
  <si>
    <t>June 2012 Space Inventory includes it for 2008 and 2009</t>
  </si>
  <si>
    <t>Physical Plant Master List has start date as May 15, 2012</t>
  </si>
  <si>
    <t>Physical Plant Master List has start date as September 1st, 2013</t>
  </si>
  <si>
    <t>June 2012 Space Inventory begins tracking in 2006</t>
  </si>
  <si>
    <t>June 2012 Space Inventory begins tracking in 2007</t>
  </si>
  <si>
    <t>Very confusing info on square footage and lease ending; June 2012 Space Inventory says 201 moved out Jan 2012, 202 moved out Jan 2013, 205 moved out Jan 2014, to 7th floor Rice Building - but Physical Plant Master List has it as 'active' in April 2017</t>
  </si>
  <si>
    <t>Square footage from City of Winnipeg Property Tax Roll</t>
  </si>
  <si>
    <t>Square footage estimated</t>
  </si>
  <si>
    <t>Lion's Manor</t>
  </si>
  <si>
    <t>Downtown Commons</t>
  </si>
  <si>
    <t>320 Colony St</t>
  </si>
  <si>
    <t>June 2012 Space Inventory has it vacated after 2008; UofW still holds the lease but sublets to Red River CC since 2008</t>
  </si>
  <si>
    <t>1990-91</t>
  </si>
  <si>
    <t>2005-06</t>
  </si>
  <si>
    <t>2016-17</t>
  </si>
  <si>
    <t>Opened October 21, 2011</t>
  </si>
  <si>
    <t>June 2012 Space Inventory does not include it; assume lease began after, but no info from Physical Plant</t>
  </si>
  <si>
    <t>Grand Opening September 2009</t>
  </si>
  <si>
    <t>Completed September 23rd, 2016</t>
  </si>
  <si>
    <t>Square footage increased with opening of Soma Café in 2007-2008</t>
  </si>
  <si>
    <t>Opened June 17, 2014</t>
  </si>
  <si>
    <t>Opened September 2010</t>
  </si>
  <si>
    <t>Opened April 2011</t>
  </si>
  <si>
    <t>2013?</t>
  </si>
  <si>
    <t>Building or Housing, Leased or Owned</t>
  </si>
  <si>
    <t>Building Owned</t>
  </si>
  <si>
    <t>Building Leased</t>
  </si>
  <si>
    <t>Current Size (ft²)</t>
  </si>
  <si>
    <t>Current Size ( m²)</t>
  </si>
  <si>
    <t>2017-18</t>
  </si>
  <si>
    <t>2018-19</t>
  </si>
  <si>
    <t>2019-20</t>
  </si>
  <si>
    <t>2020-21</t>
  </si>
  <si>
    <t>2021-22</t>
  </si>
  <si>
    <t>2022-23</t>
  </si>
  <si>
    <t>2023-24</t>
  </si>
  <si>
    <t>2024-25</t>
  </si>
  <si>
    <t>2025-26</t>
  </si>
  <si>
    <t>2026-27</t>
  </si>
  <si>
    <t>2027-28</t>
  </si>
  <si>
    <t>2029-30</t>
  </si>
  <si>
    <t>2030-31</t>
  </si>
  <si>
    <t>2031-32</t>
  </si>
  <si>
    <t>2032-33</t>
  </si>
  <si>
    <t>2033-34</t>
  </si>
  <si>
    <t>2034-35</t>
  </si>
  <si>
    <t>2035-36</t>
  </si>
  <si>
    <t>2036-37</t>
  </si>
  <si>
    <t>2037-38</t>
  </si>
  <si>
    <t>2038-39</t>
  </si>
  <si>
    <t>2039-40</t>
  </si>
  <si>
    <t>Fiscal Year</t>
  </si>
  <si>
    <t>% of Change</t>
  </si>
  <si>
    <t>Buildings Characteristics</t>
  </si>
  <si>
    <t>McNamara Garage</t>
  </si>
  <si>
    <t>Physical Plant Master List says lease began September 1, 2009</t>
  </si>
  <si>
    <t>Before you start, I will provide some instructions to use this spreadsheet. First, this is a Space Inventory spreadsheet. Second, the data to build this sheet could be found at _____________. If the data is outdated or are missing please contact _______________, through email ______________, or phone __________________.</t>
  </si>
  <si>
    <r>
      <t xml:space="preserve">
First step: Go to the "Space Inventory" sheet, find the fiscal year column and below it write the area of the correspondent building.</t>
    </r>
    <r>
      <rPr>
        <sz val="11"/>
        <color rgb="FFFF0000"/>
        <rFont val="Calibri"/>
        <family val="2"/>
        <scheme val="minor"/>
      </rPr>
      <t xml:space="preserve"> </t>
    </r>
    <r>
      <rPr>
        <sz val="11"/>
        <rFont val="Calibri"/>
        <family val="2"/>
        <scheme val="minor"/>
      </rPr>
      <t xml:space="preserve">If the building still belongs to the University just copy and paste the value. </t>
    </r>
    <r>
      <rPr>
        <sz val="11"/>
        <color theme="1"/>
        <rFont val="Calibri"/>
        <family val="2"/>
        <scheme val="minor"/>
      </rPr>
      <t xml:space="preserve">
On the other hand, if the building is not a part of the University assets, or the University bought/built a new building you must write the reason under the Demolition/Sale Date column for the situation that the University no longer has that asset, to the other case for purchasing/building a new building you must write the purchase date.     
This is because, the area calculation for this situation will be made by multiplying the area by the fraction of the months which the building remained with the University. 
For instance, The University sold a building with 24,500 m² in March, 2018. So, the area that will be considered on this spreadsheet will be (24,500 x 3/12). The math behind this calculation is easy. Each month has a correspondent number for example January is 1, February is 2, March is 3, and it continues until December that will be 12. So, you get the correspondent month number and divide by 12 and you have the fraction that you will multiply by the building area. 
Second step: Go to the "Space Charts for Analysis" sheet. On the first table and at the first column click on the drop down menu to select the year that you just filled in on the previous step. Excel will automatically calculate for you the informations which comes on the columns subsequent.
Third step: Is the comparison table, the only action which you will take is to choose the years of comparison. Usually, the comparison made by the CSO is from the last couple of years.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</si>
</sst>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0"/>
      <name val="Arial"/>
      <family val="2"/>
    </font>
    <font>
      <u/>
      <sz val="11"/>
      <color theme="10"/>
      <name val="Calibri"/>
      <family val="2"/>
      <scheme val="minor"/>
    </font>
    <font>
      <sz val="11"/>
      <color rgb="FFFF0000"/>
      <name val="Calibri"/>
      <family val="2"/>
      <scheme val="minor"/>
    </font>
    <font>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s>
  <cellStyleXfs count="6">
    <xf numFmtId="0" fontId="0" fillId="0" borderId="0"/>
    <xf numFmtId="0" fontId="5" fillId="0" borderId="0"/>
    <xf numFmtId="0" fontId="2" fillId="0" borderId="0"/>
    <xf numFmtId="0" fontId="6" fillId="0" borderId="0" applyNumberFormat="0" applyFill="0" applyBorder="0" applyAlignment="0" applyProtection="0"/>
    <xf numFmtId="43" fontId="2" fillId="0" borderId="0" applyFont="0" applyFill="0" applyBorder="0" applyAlignment="0" applyProtection="0"/>
    <xf numFmtId="9" fontId="2" fillId="0" borderId="0" applyFont="0" applyFill="0" applyBorder="0" applyAlignment="0" applyProtection="0"/>
  </cellStyleXfs>
  <cellXfs count="29">
    <xf numFmtId="0" fontId="0" fillId="0" borderId="0" xfId="0"/>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2" xfId="0" applyBorder="1" applyAlignment="1">
      <alignment vertical="center" wrapText="1"/>
    </xf>
    <xf numFmtId="0" fontId="0" fillId="0" borderId="2" xfId="0" applyBorder="1" applyAlignment="1">
      <alignment horizontal="center" vertical="center" wrapText="1"/>
    </xf>
    <xf numFmtId="1" fontId="0" fillId="0" borderId="2" xfId="0" applyNumberFormat="1" applyBorder="1" applyAlignment="1">
      <alignment horizontal="center" vertical="center" wrapText="1"/>
    </xf>
    <xf numFmtId="0" fontId="6" fillId="0" borderId="2" xfId="3" applyBorder="1" applyAlignment="1">
      <alignment horizontal="center" vertical="center" wrapText="1"/>
    </xf>
    <xf numFmtId="17" fontId="0" fillId="0" borderId="2" xfId="0" applyNumberFormat="1" applyBorder="1" applyAlignment="1">
      <alignment horizontal="center" vertical="center" wrapText="1"/>
    </xf>
    <xf numFmtId="15" fontId="0" fillId="0" borderId="2" xfId="0" applyNumberFormat="1" applyBorder="1" applyAlignment="1">
      <alignment horizontal="center" vertical="center" wrapText="1"/>
    </xf>
    <xf numFmtId="0" fontId="0" fillId="2" borderId="2" xfId="0" applyFill="1" applyBorder="1" applyAlignment="1">
      <alignment vertical="center" wrapText="1"/>
    </xf>
    <xf numFmtId="0" fontId="0" fillId="2" borderId="2" xfId="0" applyFill="1" applyBorder="1" applyAlignment="1">
      <alignment horizontal="center" vertical="center" wrapText="1"/>
    </xf>
    <xf numFmtId="1" fontId="0" fillId="2" borderId="2" xfId="0" applyNumberFormat="1" applyFill="1" applyBorder="1" applyAlignment="1">
      <alignment horizontal="center" vertical="center" wrapText="1"/>
    </xf>
    <xf numFmtId="0" fontId="6" fillId="2" borderId="2" xfId="3" applyFill="1" applyBorder="1" applyAlignment="1">
      <alignment horizontal="center" vertical="center" wrapText="1"/>
    </xf>
    <xf numFmtId="0" fontId="0" fillId="0" borderId="0" xfId="0" applyAlignment="1">
      <alignment horizontal="left" vertical="center"/>
    </xf>
    <xf numFmtId="1" fontId="0" fillId="0" borderId="1" xfId="0" applyNumberFormat="1" applyBorder="1" applyAlignment="1">
      <alignment horizontal="center" vertical="center" wrapText="1"/>
    </xf>
    <xf numFmtId="1" fontId="0" fillId="0" borderId="3" xfId="0" applyNumberFormat="1" applyBorder="1" applyAlignment="1">
      <alignment horizontal="center" vertical="center" wrapText="1"/>
    </xf>
    <xf numFmtId="43" fontId="0" fillId="0" borderId="0" xfId="4" applyFont="1"/>
    <xf numFmtId="10" fontId="0" fillId="0" borderId="0" xfId="5" applyNumberFormat="1" applyFont="1"/>
    <xf numFmtId="43" fontId="0" fillId="0" borderId="0" xfId="4" applyFont="1" applyAlignment="1">
      <alignment wrapText="1"/>
    </xf>
    <xf numFmtId="0" fontId="0" fillId="0" borderId="0" xfId="0" applyAlignment="1">
      <alignment vertical="top" wrapText="1"/>
    </xf>
    <xf numFmtId="0" fontId="0" fillId="3" borderId="0" xfId="0" applyFill="1"/>
    <xf numFmtId="0" fontId="0" fillId="3" borderId="4" xfId="0" applyFill="1" applyBorder="1" applyAlignment="1"/>
    <xf numFmtId="0" fontId="0" fillId="3" borderId="0" xfId="0" applyFill="1" applyAlignment="1"/>
    <xf numFmtId="0" fontId="0" fillId="3" borderId="5" xfId="0" applyFill="1" applyBorder="1" applyAlignment="1"/>
    <xf numFmtId="0" fontId="0" fillId="3" borderId="6" xfId="0" applyFill="1" applyBorder="1" applyAlignment="1"/>
    <xf numFmtId="0" fontId="0" fillId="3" borderId="4" xfId="0" applyFill="1" applyBorder="1" applyAlignment="1">
      <alignment wrapText="1"/>
    </xf>
    <xf numFmtId="43" fontId="0" fillId="0" borderId="0" xfId="4" applyNumberFormat="1" applyFont="1"/>
    <xf numFmtId="0" fontId="0" fillId="3" borderId="5" xfId="0" applyFill="1" applyBorder="1" applyAlignment="1">
      <alignment horizontal="left" vertical="top" wrapText="1"/>
    </xf>
    <xf numFmtId="0" fontId="0" fillId="3" borderId="6" xfId="0" applyFill="1" applyBorder="1" applyAlignment="1">
      <alignment horizontal="left" vertical="top" wrapText="1"/>
    </xf>
  </cellXfs>
  <cellStyles count="6">
    <cellStyle name="Comma" xfId="4" builtinId="3"/>
    <cellStyle name="Hyperlink" xfId="3" builtinId="8"/>
    <cellStyle name="Normal" xfId="0" builtinId="0"/>
    <cellStyle name="Normal 2" xfId="1"/>
    <cellStyle name="Normal 3" xfId="2"/>
    <cellStyle name="Percent" xfId="5" builtinId="5"/>
  </cellStyles>
  <dxfs count="61">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35" formatCode="_(* #,##0.00_);_(* \(#,##0.00\);_(* &quot;-&quot;??_);_(@_)"/>
    </dxf>
    <dxf>
      <font>
        <b val="0"/>
        <i val="0"/>
        <strike val="0"/>
        <condense val="0"/>
        <extend val="0"/>
        <outline val="0"/>
        <shadow val="0"/>
        <u val="none"/>
        <vertAlign val="baseline"/>
        <sz val="11"/>
        <color theme="1"/>
        <name val="Calibri"/>
        <scheme val="minor"/>
      </font>
      <numFmt numFmtId="35" formatCode="_(* #,##0.00_);_(* \(#,##0.00\);_(* &quot;-&quot;??_);_(@_)"/>
    </dxf>
    <dxf>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53340</xdr:colOff>
      <xdr:row>1</xdr:row>
      <xdr:rowOff>38100</xdr:rowOff>
    </xdr:from>
    <xdr:to>
      <xdr:col>1</xdr:col>
      <xdr:colOff>952500</xdr:colOff>
      <xdr:row>6</xdr:row>
      <xdr:rowOff>53340</xdr:rowOff>
    </xdr:to>
    <xdr:pic>
      <xdr:nvPicPr>
        <xdr:cNvPr id="2" name="Picture 1" descr="Leaf in hand">
          <a:extLst>
            <a:ext uri="{FF2B5EF4-FFF2-40B4-BE49-F238E27FC236}">
              <a16:creationId xmlns:a16="http://schemas.microsoft.com/office/drawing/2014/main" xmlns="" id="{C923A3BA-06A7-4847-AE63-FA3EB3CB6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1615" y="238125"/>
          <a:ext cx="918210" cy="977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998220</xdr:colOff>
      <xdr:row>1</xdr:row>
      <xdr:rowOff>110490</xdr:rowOff>
    </xdr:from>
    <xdr:to>
      <xdr:col>1</xdr:col>
      <xdr:colOff>5814060</xdr:colOff>
      <xdr:row>6</xdr:row>
      <xdr:rowOff>152400</xdr:rowOff>
    </xdr:to>
    <xdr:sp macro="" textlink="">
      <xdr:nvSpPr>
        <xdr:cNvPr id="3" name="TextBox 2">
          <a:extLst>
            <a:ext uri="{FF2B5EF4-FFF2-40B4-BE49-F238E27FC236}">
              <a16:creationId xmlns:a16="http://schemas.microsoft.com/office/drawing/2014/main" xmlns="" id="{3F5FAD9B-0549-458C-82AE-DBA98FE77716}"/>
            </a:ext>
          </a:extLst>
        </xdr:cNvPr>
        <xdr:cNvSpPr txBox="1"/>
      </xdr:nvSpPr>
      <xdr:spPr>
        <a:xfrm>
          <a:off x="6246495" y="310515"/>
          <a:ext cx="4815840" cy="100393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700">
              <a:latin typeface="Bell MT" panose="02020503060305020303" pitchFamily="18" charset="0"/>
            </a:rPr>
            <a:t>Campus</a:t>
          </a:r>
          <a:r>
            <a:rPr lang="en-CA" sz="1700" baseline="0">
              <a:latin typeface="Bell MT" panose="02020503060305020303" pitchFamily="18" charset="0"/>
            </a:rPr>
            <a:t> Sustainability Office</a:t>
          </a:r>
        </a:p>
        <a:p>
          <a:r>
            <a:rPr lang="en-CA" sz="1700" baseline="0">
              <a:latin typeface="Bell MT" panose="02020503060305020303" pitchFamily="18" charset="0"/>
            </a:rPr>
            <a:t>Space Inventory</a:t>
          </a:r>
        </a:p>
        <a:p>
          <a:r>
            <a:rPr lang="en-CA" sz="1700" baseline="0">
              <a:latin typeface="Bell MT" panose="02020503060305020303" pitchFamily="18" charset="0"/>
            </a:rPr>
            <a:t>University of Winnipeg</a:t>
          </a:r>
          <a:endParaRPr lang="en-CA" sz="1700">
            <a:latin typeface="Bell MT" panose="02020503060305020303" pitchFamily="18" charset="0"/>
          </a:endParaRPr>
        </a:p>
      </xdr:txBody>
    </xdr:sp>
    <xdr:clientData/>
  </xdr:twoCellAnchor>
</xdr:wsDr>
</file>

<file path=xl/tables/table1.xml><?xml version="1.0" encoding="utf-8"?>
<table xmlns="http://schemas.openxmlformats.org/spreadsheetml/2006/main" id="5" name="SpaceInventory" displayName="SpaceInventory" ref="A1:AQ60" totalsRowShown="0" headerRowDxfId="60" dataDxfId="59">
  <autoFilter ref="A1:AQ60"/>
  <tableColumns count="43">
    <tableColumn id="1" name="Name" dataDxfId="58"/>
    <tableColumn id="2" name="Address" dataDxfId="57"/>
    <tableColumn id="3" name="Purchase Date" dataDxfId="56"/>
    <tableColumn id="4" name="Demolition/ Sale Date" dataDxfId="55"/>
    <tableColumn id="21" name="Building or Housing, Leased or Owned" dataDxfId="54"/>
    <tableColumn id="5" name="Current Size (ft²)" dataDxfId="53"/>
    <tableColumn id="6" name="Current Size ( m²)" dataDxfId="52">
      <calculatedColumnFormula>F2*0.092903</calculatedColumnFormula>
    </tableColumn>
    <tableColumn id="7" name="Notes" dataDxfId="51"/>
    <tableColumn id="8" name="1990-91" dataDxfId="50"/>
    <tableColumn id="9" name="2005-06" dataDxfId="49"/>
    <tableColumn id="10" name="2006-07" dataDxfId="48"/>
    <tableColumn id="11" name="2007-08" dataDxfId="47"/>
    <tableColumn id="12" name="2008-09" dataDxfId="46"/>
    <tableColumn id="13" name="2009-10" dataDxfId="45"/>
    <tableColumn id="14" name="2010-11" dataDxfId="44"/>
    <tableColumn id="15" name="2011-12" dataDxfId="43"/>
    <tableColumn id="16" name="2012-13" dataDxfId="42"/>
    <tableColumn id="17" name="2013-14" dataDxfId="41">
      <calculatedColumnFormula>$G2</calculatedColumnFormula>
    </tableColumn>
    <tableColumn id="18" name="2014-15" dataDxfId="40">
      <calculatedColumnFormula>$G2</calculatedColumnFormula>
    </tableColumn>
    <tableColumn id="19" name="2015-16" dataDxfId="39">
      <calculatedColumnFormula>$G2</calculatedColumnFormula>
    </tableColumn>
    <tableColumn id="20" name="2016-17" dataDxfId="38">
      <calculatedColumnFormula>$G2</calculatedColumnFormula>
    </tableColumn>
    <tableColumn id="24" name="2017-18" dataDxfId="37">
      <calculatedColumnFormula>$G2</calculatedColumnFormula>
    </tableColumn>
    <tableColumn id="25" name="2018-19" dataDxfId="36"/>
    <tableColumn id="26" name="2019-20" dataDxfId="35"/>
    <tableColumn id="27" name="2020-21" dataDxfId="34"/>
    <tableColumn id="28" name="2021-22" dataDxfId="33"/>
    <tableColumn id="29" name="2022-23" dataDxfId="32"/>
    <tableColumn id="30" name="2023-24" dataDxfId="31"/>
    <tableColumn id="31" name="2024-25" dataDxfId="30"/>
    <tableColumn id="32" name="2025-26" dataDxfId="29"/>
    <tableColumn id="33" name="2026-27" dataDxfId="28"/>
    <tableColumn id="34" name="2027-28" dataDxfId="27"/>
    <tableColumn id="35" name="2029-30" dataDxfId="26"/>
    <tableColumn id="36" name="2030-31" dataDxfId="25"/>
    <tableColumn id="37" name="2031-32" dataDxfId="24"/>
    <tableColumn id="38" name="2032-33" dataDxfId="23"/>
    <tableColumn id="39" name="2033-34" dataDxfId="22"/>
    <tableColumn id="40" name="2034-35" dataDxfId="21"/>
    <tableColumn id="41" name="2035-36" dataDxfId="20"/>
    <tableColumn id="42" name="2036-37" dataDxfId="19"/>
    <tableColumn id="43" name="2037-38" dataDxfId="18"/>
    <tableColumn id="44" name="2038-39" dataDxfId="17"/>
    <tableColumn id="45" name="2039-40" dataDxfId="16"/>
  </tableColumns>
  <tableStyleInfo name="TableStyleLight13" showFirstColumn="0" showLastColumn="0" showRowStripes="1" showColumnStripes="0"/>
</table>
</file>

<file path=xl/tables/table2.xml><?xml version="1.0" encoding="utf-8"?>
<table xmlns="http://schemas.openxmlformats.org/spreadsheetml/2006/main" id="2" name="Table2" displayName="Table2" ref="XFD1:XFD5" totalsRowShown="0" headerRowDxfId="15" dataDxfId="14">
  <autoFilter ref="XFD1:XFD5"/>
  <tableColumns count="1">
    <tableColumn id="1" name="Buildings Characteristics" dataDxfId="13"/>
  </tableColumns>
  <tableStyleInfo name="TableStyleLight13" showFirstColumn="0" showLastColumn="0" showRowStripes="1" showColumnStripes="0"/>
</table>
</file>

<file path=xl/tables/table3.xml><?xml version="1.0" encoding="utf-8"?>
<table xmlns="http://schemas.openxmlformats.org/spreadsheetml/2006/main" id="7" name="Table7" displayName="Table7" ref="A1:H15" totalsRowShown="0" headerRowDxfId="12" dataDxfId="11" dataCellStyle="Comma">
  <autoFilter ref="A1:H15"/>
  <tableColumns count="8">
    <tableColumn id="1" name="Year" dataDxfId="10"/>
    <tableColumn id="2" name="Building Owned" dataDxfId="9" dataCellStyle="Comma">
      <calculatedColumnFormula>SUMPRODUCT((SpaceInventory[Building or Housing, Leased or Owned]=Table7[[#Headers],[Building Owned]])*(SpaceInventory[[#Headers],[1990-91]:[2039-40]]=Table7[[#This Row],[Year]])*(SpaceInventory[[1990-91]:[2039-40]]))</calculatedColumnFormula>
    </tableColumn>
    <tableColumn id="3" name="Building Leased" dataDxfId="8" dataCellStyle="Comma">
      <calculatedColumnFormula>SUMPRODUCT((SpaceInventory[Building or Housing, Leased or Owned]=Table7[[#Headers],[Building Leased]])*(SpaceInventory[[#Headers],[1990-91]:[2039-40]]=Table7[[#This Row],[Year]])*(SpaceInventory[[1990-91]:[2039-40]]))</calculatedColumnFormula>
    </tableColumn>
    <tableColumn id="4" name="Housing Owned" dataDxfId="7" dataCellStyle="Comma">
      <calculatedColumnFormula>SUMPRODUCT((SpaceInventory[Building or Housing, Leased or Owned]=Table7[[#Headers],[Housing Owned]])*(SpaceInventory[[#Headers],[1990-91]:[2039-40]]=Table7[[#This Row],[Year]])*(SpaceInventory[[1990-91]:[2039-40]]))</calculatedColumnFormula>
    </tableColumn>
    <tableColumn id="5" name="Housing Leased" dataDxfId="6" dataCellStyle="Comma">
      <calculatedColumnFormula>SUMPRODUCT((SpaceInventory[Building or Housing, Leased or Owned]=Table7[[#Headers],[Housing Leased]])*(SpaceInventory[[#Headers],[1990-91]:[2039-40]]=Table7[[#This Row],[Year]])*(SpaceInventory[[1990-91]:[2039-40]]))</calculatedColumnFormula>
    </tableColumn>
    <tableColumn id="6" name="Total Area Occupied" dataDxfId="5" dataCellStyle="Comma">
      <calculatedColumnFormula>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calculatedColumnFormula>
    </tableColumn>
    <tableColumn id="7" name="Total Owned Space" dataDxfId="4" dataCellStyle="Comma">
      <calculatedColumnFormula>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calculatedColumnFormula>
    </tableColumn>
    <tableColumn id="8" name="Total Leased Space" dataDxfId="3" dataCellStyle="Comma">
      <calculatedColumnFormula>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calculatedColumnFormula>
    </tableColumn>
  </tableColumns>
  <tableStyleInfo name="TableStyleLight9" showFirstColumn="0" showLastColumn="0" showRowStripes="1" showColumnStripes="0"/>
</table>
</file>

<file path=xl/tables/table4.xml><?xml version="1.0" encoding="utf-8"?>
<table xmlns="http://schemas.openxmlformats.org/spreadsheetml/2006/main" id="3" name="Table3" displayName="Table3" ref="XEV1048539:XEV1048574" totalsRowShown="0">
  <autoFilter ref="XEV1048539:XEV1048574"/>
  <tableColumns count="1">
    <tableColumn id="1" name="Fiscal Year"/>
  </tableColumns>
  <tableStyleInfo name="TableStyleLight13" showFirstColumn="0" showLastColumn="0" showRowStripes="1" showColumnStripes="0"/>
</table>
</file>

<file path=xl/tables/table5.xml><?xml version="1.0" encoding="utf-8"?>
<table xmlns="http://schemas.openxmlformats.org/spreadsheetml/2006/main" id="4" name="Table85" displayName="Table85" ref="A1:H4" totalsRowShown="0" headerRowDxfId="2" headerRowCellStyle="Comma">
  <autoFilter ref="A1:H4"/>
  <tableColumns count="8">
    <tableColumn id="1" name="Fiscal Year" dataDxfId="1" dataCellStyle="Comma"/>
    <tableColumn id="2" name="Building Owned" dataDxfId="0" dataCellStyle="Comma">
      <calculatedColumnFormula>(VLOOKUP(#REF!,Table7[#All],2,FALSE))</calculatedColumnFormula>
    </tableColumn>
    <tableColumn id="3" name="Building Leased"/>
    <tableColumn id="4" name="Housing Owned"/>
    <tableColumn id="5" name="Housing Leased"/>
    <tableColumn id="6" name="Total Area Occupied"/>
    <tableColumn id="7" name="Total Owned Space"/>
    <tableColumn id="8" name="Total Leased Space">
      <calculatedColumnFormula>VLOOKUP(Table85[[#This Row],[Fiscal Year]],Table7[#All],7,0)</calculatedColumnFormula>
    </tableColumn>
  </tableColumns>
  <tableStyleInfo name="TableStyleLight9" showFirstColumn="0" showLastColumn="0" showRowStripes="1" showColumnStripes="0"/>
</table>
</file>

<file path=xl/tables/table6.xml><?xml version="1.0" encoding="utf-8"?>
<table xmlns="http://schemas.openxmlformats.org/spreadsheetml/2006/main" id="6" name="Table37" displayName="Table37" ref="XFD1:XFD36" totalsRowShown="0">
  <autoFilter ref="XFD1:XFD36"/>
  <tableColumns count="1">
    <tableColumn id="1" name="Fiscal Year"/>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winnipegassessment.com/AsmtPub/english/propertydetails/details.aspx?pgLang=EN&amp;isRealtySearch=true&amp;StreetNumber=440&amp;StreetName=spence" TargetMode="External"/><Relationship Id="rId13" Type="http://schemas.openxmlformats.org/officeDocument/2006/relationships/vmlDrawing" Target="../drawings/vmlDrawing1.vml"/><Relationship Id="rId3" Type="http://schemas.openxmlformats.org/officeDocument/2006/relationships/hyperlink" Target="http://uwinnipeg.ca/campus-development/buhler-centre.html" TargetMode="External"/><Relationship Id="rId7" Type="http://schemas.openxmlformats.org/officeDocument/2006/relationships/hyperlink" Target="http://www.winnipegassessment.com/AsmtPub/english/propertydetails/details.aspx?pgLang=EN&amp;isRealtySearch=true&amp;StreetNumber=434&amp;StreetName=spence" TargetMode="External"/><Relationship Id="rId12" Type="http://schemas.openxmlformats.org/officeDocument/2006/relationships/printerSettings" Target="../printerSettings/printerSettings2.bin"/><Relationship Id="rId2" Type="http://schemas.openxmlformats.org/officeDocument/2006/relationships/hyperlink" Target="http://uwinnipeg.ca/campus-development/duckworth-centre.html" TargetMode="External"/><Relationship Id="rId16" Type="http://schemas.openxmlformats.org/officeDocument/2006/relationships/comments" Target="../comments1.xml"/><Relationship Id="rId1" Type="http://schemas.openxmlformats.org/officeDocument/2006/relationships/hyperlink" Target="http://uwinnipeg.ca/campus-development/health-recplex.html" TargetMode="External"/><Relationship Id="rId6" Type="http://schemas.openxmlformats.org/officeDocument/2006/relationships/hyperlink" Target="http://www.winnipegassessment.com/AsmtPub/english/propertydetails/details.aspx?pgLang=EN&amp;isRealtySearch=true&amp;StreetNumber=288&amp;StreetName=Furby" TargetMode="External"/><Relationship Id="rId11" Type="http://schemas.openxmlformats.org/officeDocument/2006/relationships/hyperlink" Target="http://uwinnipeg.ca/campus-development/mcfeetors-hall.html" TargetMode="External"/><Relationship Id="rId5" Type="http://schemas.openxmlformats.org/officeDocument/2006/relationships/hyperlink" Target="http://uwinnipeg.ca/campus-development/uwsa-day-care.html" TargetMode="External"/><Relationship Id="rId15" Type="http://schemas.openxmlformats.org/officeDocument/2006/relationships/table" Target="../tables/table2.xml"/><Relationship Id="rId10" Type="http://schemas.openxmlformats.org/officeDocument/2006/relationships/hyperlink" Target="http://uwinnipeg.ca/campus-development/downtown-commons.html" TargetMode="External"/><Relationship Id="rId4" Type="http://schemas.openxmlformats.org/officeDocument/2006/relationships/hyperlink" Target="http://uwinnipeg.ca/campus-development/richardson-college.html" TargetMode="External"/><Relationship Id="rId9" Type="http://schemas.openxmlformats.org/officeDocument/2006/relationships/hyperlink" Target="http://www.winnipegassessment.com/AsmtPub/english/propertydetails/details.aspx?pgLang=EN&amp;isRealtySearch=true&amp;StreetNumber=449&amp;StreetName=spence" TargetMode="External"/><Relationship Id="rId1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5" Type="http://schemas.openxmlformats.org/officeDocument/2006/relationships/comments" Target="../comments2.xml"/><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41"/>
  <sheetViews>
    <sheetView topLeftCell="A16" workbookViewId="0">
      <selection activeCell="B10" sqref="B10:B40"/>
    </sheetView>
  </sheetViews>
  <sheetFormatPr defaultColWidth="8.85546875" defaultRowHeight="15" x14ac:dyDescent="0.25"/>
  <cols>
    <col min="1" max="1" width="78.7109375" style="20" customWidth="1"/>
    <col min="2" max="2" width="95" style="20" customWidth="1"/>
    <col min="3" max="16384" width="8.85546875" style="20"/>
  </cols>
  <sheetData>
    <row r="1" spans="2:3" ht="15.75" thickBot="1" x14ac:dyDescent="0.3"/>
    <row r="2" spans="2:3" ht="15.75" thickTop="1" x14ac:dyDescent="0.25">
      <c r="B2" s="21"/>
      <c r="C2" s="22"/>
    </row>
    <row r="3" spans="2:3" x14ac:dyDescent="0.25">
      <c r="B3" s="23"/>
      <c r="C3" s="22"/>
    </row>
    <row r="4" spans="2:3" x14ac:dyDescent="0.25">
      <c r="B4" s="23"/>
      <c r="C4" s="22"/>
    </row>
    <row r="5" spans="2:3" x14ac:dyDescent="0.25">
      <c r="B5" s="23"/>
      <c r="C5" s="22"/>
    </row>
    <row r="6" spans="2:3" x14ac:dyDescent="0.25">
      <c r="B6" s="23"/>
      <c r="C6" s="22"/>
    </row>
    <row r="7" spans="2:3" ht="15.75" thickBot="1" x14ac:dyDescent="0.3">
      <c r="B7" s="24"/>
      <c r="C7" s="22"/>
    </row>
    <row r="8" spans="2:3" ht="16.5" thickTop="1" thickBot="1" x14ac:dyDescent="0.3"/>
    <row r="9" spans="2:3" ht="66.75" customHeight="1" thickTop="1" x14ac:dyDescent="0.25">
      <c r="B9" s="25" t="s">
        <v>193</v>
      </c>
    </row>
    <row r="10" spans="2:3" ht="21" customHeight="1" x14ac:dyDescent="0.25">
      <c r="B10" s="27" t="s">
        <v>194</v>
      </c>
    </row>
    <row r="11" spans="2:3" x14ac:dyDescent="0.25">
      <c r="B11" s="27"/>
    </row>
    <row r="12" spans="2:3" x14ac:dyDescent="0.25">
      <c r="B12" s="27"/>
    </row>
    <row r="13" spans="2:3" x14ac:dyDescent="0.25">
      <c r="B13" s="27"/>
    </row>
    <row r="14" spans="2:3" x14ac:dyDescent="0.25">
      <c r="B14" s="27"/>
    </row>
    <row r="15" spans="2:3" x14ac:dyDescent="0.25">
      <c r="B15" s="27"/>
    </row>
    <row r="16" spans="2:3" x14ac:dyDescent="0.25">
      <c r="B16" s="27"/>
    </row>
    <row r="17" spans="2:2" x14ac:dyDescent="0.25">
      <c r="B17" s="27"/>
    </row>
    <row r="18" spans="2:2" x14ac:dyDescent="0.25">
      <c r="B18" s="27"/>
    </row>
    <row r="19" spans="2:2" x14ac:dyDescent="0.25">
      <c r="B19" s="27"/>
    </row>
    <row r="20" spans="2:2" x14ac:dyDescent="0.25">
      <c r="B20" s="27"/>
    </row>
    <row r="21" spans="2:2" x14ac:dyDescent="0.25">
      <c r="B21" s="27"/>
    </row>
    <row r="22" spans="2:2" x14ac:dyDescent="0.25">
      <c r="B22" s="27"/>
    </row>
    <row r="23" spans="2:2" x14ac:dyDescent="0.25">
      <c r="B23" s="27"/>
    </row>
    <row r="24" spans="2:2" x14ac:dyDescent="0.25">
      <c r="B24" s="27"/>
    </row>
    <row r="25" spans="2:2" x14ac:dyDescent="0.25">
      <c r="B25" s="27"/>
    </row>
    <row r="26" spans="2:2" x14ac:dyDescent="0.25">
      <c r="B26" s="27"/>
    </row>
    <row r="27" spans="2:2" x14ac:dyDescent="0.25">
      <c r="B27" s="27"/>
    </row>
    <row r="28" spans="2:2" x14ac:dyDescent="0.25">
      <c r="B28" s="27"/>
    </row>
    <row r="29" spans="2:2" x14ac:dyDescent="0.25">
      <c r="B29" s="27"/>
    </row>
    <row r="30" spans="2:2" x14ac:dyDescent="0.25">
      <c r="B30" s="27"/>
    </row>
    <row r="31" spans="2:2" x14ac:dyDescent="0.25">
      <c r="B31" s="27"/>
    </row>
    <row r="32" spans="2:2" x14ac:dyDescent="0.25">
      <c r="B32" s="27"/>
    </row>
    <row r="33" spans="2:2" x14ac:dyDescent="0.25">
      <c r="B33" s="27"/>
    </row>
    <row r="34" spans="2:2" x14ac:dyDescent="0.25">
      <c r="B34" s="27"/>
    </row>
    <row r="35" spans="2:2" x14ac:dyDescent="0.25">
      <c r="B35" s="27"/>
    </row>
    <row r="36" spans="2:2" x14ac:dyDescent="0.25">
      <c r="B36" s="27"/>
    </row>
    <row r="37" spans="2:2" x14ac:dyDescent="0.25">
      <c r="B37" s="27"/>
    </row>
    <row r="38" spans="2:2" x14ac:dyDescent="0.25">
      <c r="B38" s="27"/>
    </row>
    <row r="39" spans="2:2" x14ac:dyDescent="0.25">
      <c r="B39" s="27"/>
    </row>
    <row r="40" spans="2:2" ht="15.75" thickBot="1" x14ac:dyDescent="0.3">
      <c r="B40" s="28"/>
    </row>
    <row r="41" spans="2:2" ht="15.75" thickTop="1" x14ac:dyDescent="0.25"/>
  </sheetData>
  <mergeCells count="1">
    <mergeCell ref="B10:B4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60"/>
  <sheetViews>
    <sheetView zoomScale="80" zoomScaleNormal="80" workbookViewId="0">
      <pane xSplit="1" ySplit="1" topLeftCell="B2" activePane="bottomRight" state="frozen"/>
      <selection pane="topRight" activeCell="B1" sqref="B1"/>
      <selection pane="bottomLeft" activeCell="A2" sqref="A2"/>
      <selection pane="bottomRight" activeCell="R2" sqref="R2"/>
    </sheetView>
  </sheetViews>
  <sheetFormatPr defaultRowHeight="15" x14ac:dyDescent="0.25"/>
  <cols>
    <col min="1" max="1" width="12.28515625" bestFit="1" customWidth="1"/>
    <col min="2" max="2" width="13.85546875" bestFit="1" customWidth="1"/>
    <col min="3" max="3" width="19.5703125" bestFit="1" customWidth="1"/>
    <col min="4" max="4" width="22.140625" bestFit="1" customWidth="1"/>
    <col min="5" max="5" width="23.7109375" bestFit="1" customWidth="1"/>
    <col min="6" max="6" width="21.7109375" bestFit="1" customWidth="1"/>
    <col min="7" max="7" width="22.7109375" bestFit="1" customWidth="1"/>
    <col min="8" max="8" width="12.85546875" bestFit="1" customWidth="1"/>
    <col min="9" max="43" width="14.140625" bestFit="1" customWidth="1"/>
    <col min="16384" max="16384" width="24.5703125" customWidth="1"/>
  </cols>
  <sheetData>
    <row r="1" spans="1:43 16384:16384" ht="30" x14ac:dyDescent="0.25">
      <c r="A1" s="1" t="s">
        <v>69</v>
      </c>
      <c r="B1" s="1" t="s">
        <v>0</v>
      </c>
      <c r="C1" s="1" t="s">
        <v>92</v>
      </c>
      <c r="D1" s="1" t="s">
        <v>93</v>
      </c>
      <c r="E1" s="1" t="s">
        <v>161</v>
      </c>
      <c r="F1" s="1" t="s">
        <v>164</v>
      </c>
      <c r="G1" s="1" t="s">
        <v>165</v>
      </c>
      <c r="H1" s="1" t="s">
        <v>72</v>
      </c>
      <c r="I1" s="1" t="s">
        <v>149</v>
      </c>
      <c r="J1" s="1" t="s">
        <v>150</v>
      </c>
      <c r="K1" s="1" t="s">
        <v>78</v>
      </c>
      <c r="L1" s="1" t="s">
        <v>79</v>
      </c>
      <c r="M1" s="1" t="s">
        <v>80</v>
      </c>
      <c r="N1" s="1" t="s">
        <v>81</v>
      </c>
      <c r="O1" s="1" t="s">
        <v>82</v>
      </c>
      <c r="P1" s="1" t="s">
        <v>83</v>
      </c>
      <c r="Q1" s="1" t="s">
        <v>84</v>
      </c>
      <c r="R1" s="1" t="s">
        <v>74</v>
      </c>
      <c r="S1" s="1" t="s">
        <v>85</v>
      </c>
      <c r="T1" s="1" t="s">
        <v>86</v>
      </c>
      <c r="U1" s="1" t="s">
        <v>151</v>
      </c>
      <c r="V1" s="1" t="s">
        <v>166</v>
      </c>
      <c r="W1" s="1" t="s">
        <v>167</v>
      </c>
      <c r="X1" s="1" t="s">
        <v>168</v>
      </c>
      <c r="Y1" s="1" t="s">
        <v>169</v>
      </c>
      <c r="Z1" s="1" t="s">
        <v>170</v>
      </c>
      <c r="AA1" s="1" t="s">
        <v>171</v>
      </c>
      <c r="AB1" s="1" t="s">
        <v>172</v>
      </c>
      <c r="AC1" s="1" t="s">
        <v>173</v>
      </c>
      <c r="AD1" s="1" t="s">
        <v>174</v>
      </c>
      <c r="AE1" s="1" t="s">
        <v>175</v>
      </c>
      <c r="AF1" s="1" t="s">
        <v>176</v>
      </c>
      <c r="AG1" s="1" t="s">
        <v>177</v>
      </c>
      <c r="AH1" s="1" t="s">
        <v>178</v>
      </c>
      <c r="AI1" s="1" t="s">
        <v>179</v>
      </c>
      <c r="AJ1" s="1" t="s">
        <v>180</v>
      </c>
      <c r="AK1" s="1" t="s">
        <v>181</v>
      </c>
      <c r="AL1" s="1" t="s">
        <v>182</v>
      </c>
      <c r="AM1" s="1" t="s">
        <v>183</v>
      </c>
      <c r="AN1" s="1" t="s">
        <v>184</v>
      </c>
      <c r="AO1" s="1" t="s">
        <v>185</v>
      </c>
      <c r="AP1" s="1" t="s">
        <v>186</v>
      </c>
      <c r="AQ1" s="1" t="s">
        <v>187</v>
      </c>
      <c r="XFD1" s="19" t="s">
        <v>190</v>
      </c>
    </row>
    <row r="2" spans="1:43 16384:16384" ht="30" x14ac:dyDescent="0.25">
      <c r="A2" s="3" t="s">
        <v>14</v>
      </c>
      <c r="B2" s="4" t="s">
        <v>25</v>
      </c>
      <c r="C2" s="4">
        <v>1894</v>
      </c>
      <c r="D2" s="4" t="s">
        <v>68</v>
      </c>
      <c r="E2" s="5" t="s">
        <v>162</v>
      </c>
      <c r="F2" s="4">
        <v>49546</v>
      </c>
      <c r="G2" s="5">
        <f>$F$2*0.092903</f>
        <v>4602.9720379999999</v>
      </c>
      <c r="H2" s="4"/>
      <c r="I2" s="5">
        <f t="shared" ref="I2:V17" si="0">$G2</f>
        <v>4602.9720379999999</v>
      </c>
      <c r="J2" s="5">
        <f t="shared" si="0"/>
        <v>4602.9720379999999</v>
      </c>
      <c r="K2" s="5">
        <f t="shared" si="0"/>
        <v>4602.9720379999999</v>
      </c>
      <c r="L2" s="5">
        <f t="shared" si="0"/>
        <v>4602.9720379999999</v>
      </c>
      <c r="M2" s="5">
        <f t="shared" si="0"/>
        <v>4602.9720379999999</v>
      </c>
      <c r="N2" s="5">
        <f t="shared" si="0"/>
        <v>4602.9720379999999</v>
      </c>
      <c r="O2" s="5">
        <f t="shared" si="0"/>
        <v>4602.9720379999999</v>
      </c>
      <c r="P2" s="5">
        <f t="shared" si="0"/>
        <v>4602.9720379999999</v>
      </c>
      <c r="Q2" s="5">
        <f t="shared" si="0"/>
        <v>4602.9720379999999</v>
      </c>
      <c r="R2" s="5">
        <f t="shared" si="0"/>
        <v>4602.9720379999999</v>
      </c>
      <c r="S2" s="5">
        <f t="shared" si="0"/>
        <v>4602.9720379999999</v>
      </c>
      <c r="T2" s="5">
        <f t="shared" si="0"/>
        <v>4602.9720379999999</v>
      </c>
      <c r="U2" s="5">
        <f t="shared" si="0"/>
        <v>4602.9720379999999</v>
      </c>
      <c r="V2" s="5">
        <f t="shared" si="0"/>
        <v>4602.9720379999999</v>
      </c>
      <c r="W2" s="15"/>
      <c r="X2" s="15"/>
      <c r="Y2" s="15"/>
      <c r="Z2" s="15"/>
      <c r="AA2" s="15"/>
      <c r="AB2" s="15"/>
      <c r="AC2" s="15"/>
      <c r="AD2" s="15"/>
      <c r="AE2" s="15"/>
      <c r="AF2" s="15"/>
      <c r="AG2" s="15"/>
      <c r="AH2" s="15"/>
      <c r="AI2" s="15"/>
      <c r="AJ2" s="15"/>
      <c r="AK2" s="15"/>
      <c r="AL2" s="15"/>
      <c r="AM2" s="15"/>
      <c r="AN2" s="15"/>
      <c r="AO2" s="15"/>
      <c r="AP2" s="15"/>
      <c r="AQ2" s="15"/>
      <c r="XFD2" s="19" t="s">
        <v>162</v>
      </c>
    </row>
    <row r="3" spans="1:43 16384:16384" ht="30" x14ac:dyDescent="0.25">
      <c r="A3" s="3" t="s">
        <v>13</v>
      </c>
      <c r="B3" s="4" t="s">
        <v>25</v>
      </c>
      <c r="C3" s="4">
        <v>1912</v>
      </c>
      <c r="D3" s="4" t="s">
        <v>68</v>
      </c>
      <c r="E3" s="5" t="s">
        <v>162</v>
      </c>
      <c r="F3" s="4">
        <v>17775</v>
      </c>
      <c r="G3" s="5">
        <f>$F$3*0.092903</f>
        <v>1651.350825</v>
      </c>
      <c r="H3" s="4"/>
      <c r="I3" s="5">
        <f t="shared" si="0"/>
        <v>1651.350825</v>
      </c>
      <c r="J3" s="5">
        <f t="shared" si="0"/>
        <v>1651.350825</v>
      </c>
      <c r="K3" s="5">
        <f t="shared" si="0"/>
        <v>1651.350825</v>
      </c>
      <c r="L3" s="5">
        <f t="shared" si="0"/>
        <v>1651.350825</v>
      </c>
      <c r="M3" s="5">
        <f t="shared" si="0"/>
        <v>1651.350825</v>
      </c>
      <c r="N3" s="5">
        <f t="shared" si="0"/>
        <v>1651.350825</v>
      </c>
      <c r="O3" s="5">
        <f t="shared" si="0"/>
        <v>1651.350825</v>
      </c>
      <c r="P3" s="5">
        <f t="shared" si="0"/>
        <v>1651.350825</v>
      </c>
      <c r="Q3" s="5">
        <f t="shared" si="0"/>
        <v>1651.350825</v>
      </c>
      <c r="R3" s="5">
        <f t="shared" si="0"/>
        <v>1651.350825</v>
      </c>
      <c r="S3" s="5">
        <f t="shared" si="0"/>
        <v>1651.350825</v>
      </c>
      <c r="T3" s="5">
        <f t="shared" si="0"/>
        <v>1651.350825</v>
      </c>
      <c r="U3" s="5">
        <f>$G3</f>
        <v>1651.350825</v>
      </c>
      <c r="V3" s="5">
        <f t="shared" si="0"/>
        <v>1651.350825</v>
      </c>
      <c r="W3" s="15"/>
      <c r="X3" s="5"/>
      <c r="Y3" s="5"/>
      <c r="Z3" s="5"/>
      <c r="AA3" s="5"/>
      <c r="AB3" s="5"/>
      <c r="AC3" s="5"/>
      <c r="AD3" s="5"/>
      <c r="AE3" s="5"/>
      <c r="AF3" s="5"/>
      <c r="AG3" s="5"/>
      <c r="AH3" s="5"/>
      <c r="AI3" s="5"/>
      <c r="AJ3" s="5"/>
      <c r="AK3" s="5"/>
      <c r="AL3" s="5"/>
      <c r="AM3" s="5"/>
      <c r="AN3" s="5"/>
      <c r="AO3" s="5"/>
      <c r="AP3" s="5"/>
      <c r="AQ3" s="5"/>
      <c r="XFD3" s="19" t="s">
        <v>163</v>
      </c>
    </row>
    <row r="4" spans="1:43 16384:16384" ht="30" x14ac:dyDescent="0.25">
      <c r="A4" s="3" t="s">
        <v>18</v>
      </c>
      <c r="B4" s="4" t="s">
        <v>26</v>
      </c>
      <c r="C4" s="4">
        <v>1950</v>
      </c>
      <c r="D4" s="4" t="s">
        <v>68</v>
      </c>
      <c r="E4" s="5" t="s">
        <v>162</v>
      </c>
      <c r="F4" s="4">
        <v>29166</v>
      </c>
      <c r="G4" s="5">
        <f>$F$4*0.092903</f>
        <v>2709.608898</v>
      </c>
      <c r="H4" s="4"/>
      <c r="I4" s="5">
        <f t="shared" si="0"/>
        <v>2709.608898</v>
      </c>
      <c r="J4" s="5">
        <f t="shared" si="0"/>
        <v>2709.608898</v>
      </c>
      <c r="K4" s="5">
        <f t="shared" si="0"/>
        <v>2709.608898</v>
      </c>
      <c r="L4" s="5">
        <f t="shared" si="0"/>
        <v>2709.608898</v>
      </c>
      <c r="M4" s="5">
        <f t="shared" si="0"/>
        <v>2709.608898</v>
      </c>
      <c r="N4" s="5">
        <f t="shared" si="0"/>
        <v>2709.608898</v>
      </c>
      <c r="O4" s="5">
        <f t="shared" si="0"/>
        <v>2709.608898</v>
      </c>
      <c r="P4" s="5">
        <f t="shared" si="0"/>
        <v>2709.608898</v>
      </c>
      <c r="Q4" s="5">
        <f t="shared" si="0"/>
        <v>2709.608898</v>
      </c>
      <c r="R4" s="5">
        <f t="shared" si="0"/>
        <v>2709.608898</v>
      </c>
      <c r="S4" s="5">
        <f t="shared" si="0"/>
        <v>2709.608898</v>
      </c>
      <c r="T4" s="5">
        <f t="shared" si="0"/>
        <v>2709.608898</v>
      </c>
      <c r="U4" s="5">
        <f t="shared" si="0"/>
        <v>2709.608898</v>
      </c>
      <c r="V4" s="5">
        <f t="shared" si="0"/>
        <v>2709.608898</v>
      </c>
      <c r="W4" s="15"/>
      <c r="X4" s="5"/>
      <c r="Y4" s="5"/>
      <c r="Z4" s="5"/>
      <c r="AA4" s="5"/>
      <c r="AB4" s="5"/>
      <c r="AC4" s="5"/>
      <c r="AD4" s="5"/>
      <c r="AE4" s="5"/>
      <c r="AF4" s="5"/>
      <c r="AG4" s="5"/>
      <c r="AH4" s="5"/>
      <c r="AI4" s="5"/>
      <c r="AJ4" s="5"/>
      <c r="AK4" s="5"/>
      <c r="AL4" s="5"/>
      <c r="AM4" s="5"/>
      <c r="AN4" s="5"/>
      <c r="AO4" s="5"/>
      <c r="AP4" s="5"/>
      <c r="AQ4" s="5"/>
      <c r="XFD4" s="19" t="s">
        <v>87</v>
      </c>
    </row>
    <row r="5" spans="1:43 16384:16384" ht="30" x14ac:dyDescent="0.25">
      <c r="A5" s="3" t="s">
        <v>6</v>
      </c>
      <c r="B5" s="4" t="s">
        <v>108</v>
      </c>
      <c r="C5" s="4">
        <v>1958</v>
      </c>
      <c r="D5" s="4" t="s">
        <v>68</v>
      </c>
      <c r="E5" s="5" t="s">
        <v>162</v>
      </c>
      <c r="F5" s="4">
        <v>28741</v>
      </c>
      <c r="G5" s="5">
        <f>$F$5*0.092903</f>
        <v>2670.1251229999998</v>
      </c>
      <c r="H5" s="4"/>
      <c r="I5" s="5">
        <f t="shared" si="0"/>
        <v>2670.1251229999998</v>
      </c>
      <c r="J5" s="5">
        <f t="shared" si="0"/>
        <v>2670.1251229999998</v>
      </c>
      <c r="K5" s="5">
        <f t="shared" si="0"/>
        <v>2670.1251229999998</v>
      </c>
      <c r="L5" s="5">
        <f t="shared" si="0"/>
        <v>2670.1251229999998</v>
      </c>
      <c r="M5" s="5">
        <f t="shared" si="0"/>
        <v>2670.1251229999998</v>
      </c>
      <c r="N5" s="5">
        <f t="shared" si="0"/>
        <v>2670.1251229999998</v>
      </c>
      <c r="O5" s="5">
        <f t="shared" si="0"/>
        <v>2670.1251229999998</v>
      </c>
      <c r="P5" s="5">
        <f t="shared" si="0"/>
        <v>2670.1251229999998</v>
      </c>
      <c r="Q5" s="5">
        <f t="shared" si="0"/>
        <v>2670.1251229999998</v>
      </c>
      <c r="R5" s="5">
        <f t="shared" si="0"/>
        <v>2670.1251229999998</v>
      </c>
      <c r="S5" s="5">
        <f t="shared" si="0"/>
        <v>2670.1251229999998</v>
      </c>
      <c r="T5" s="5">
        <f t="shared" si="0"/>
        <v>2670.1251229999998</v>
      </c>
      <c r="U5" s="5">
        <f t="shared" si="0"/>
        <v>2670.1251229999998</v>
      </c>
      <c r="V5" s="5">
        <f t="shared" si="0"/>
        <v>2670.1251229999998</v>
      </c>
      <c r="W5" s="15"/>
      <c r="X5" s="5"/>
      <c r="Y5" s="5"/>
      <c r="Z5" s="5"/>
      <c r="AA5" s="5"/>
      <c r="AB5" s="5"/>
      <c r="AC5" s="5"/>
      <c r="AD5" s="5"/>
      <c r="AE5" s="5"/>
      <c r="AF5" s="5"/>
      <c r="AG5" s="5"/>
      <c r="AH5" s="5"/>
      <c r="AI5" s="5"/>
      <c r="AJ5" s="5"/>
      <c r="AK5" s="5"/>
      <c r="AL5" s="5"/>
      <c r="AM5" s="5"/>
      <c r="AN5" s="5"/>
      <c r="AO5" s="5"/>
      <c r="AP5" s="5"/>
      <c r="AQ5" s="5"/>
      <c r="XFD5" s="19" t="s">
        <v>88</v>
      </c>
    </row>
    <row r="6" spans="1:43 16384:16384" ht="30" x14ac:dyDescent="0.25">
      <c r="A6" s="3" t="s">
        <v>7</v>
      </c>
      <c r="B6" s="4" t="s">
        <v>25</v>
      </c>
      <c r="C6" s="4">
        <v>1958</v>
      </c>
      <c r="D6" s="4" t="s">
        <v>68</v>
      </c>
      <c r="E6" s="5" t="s">
        <v>162</v>
      </c>
      <c r="F6" s="4">
        <v>75206</v>
      </c>
      <c r="G6" s="5">
        <f>$F$6*0.092903</f>
        <v>6986.863018</v>
      </c>
      <c r="H6" s="4"/>
      <c r="I6" s="5">
        <f t="shared" si="0"/>
        <v>6986.863018</v>
      </c>
      <c r="J6" s="5">
        <f t="shared" si="0"/>
        <v>6986.863018</v>
      </c>
      <c r="K6" s="5">
        <f t="shared" si="0"/>
        <v>6986.863018</v>
      </c>
      <c r="L6" s="5">
        <f t="shared" si="0"/>
        <v>6986.863018</v>
      </c>
      <c r="M6" s="5">
        <f t="shared" si="0"/>
        <v>6986.863018</v>
      </c>
      <c r="N6" s="5">
        <f t="shared" si="0"/>
        <v>6986.863018</v>
      </c>
      <c r="O6" s="5">
        <f t="shared" si="0"/>
        <v>6986.863018</v>
      </c>
      <c r="P6" s="5">
        <f t="shared" si="0"/>
        <v>6986.863018</v>
      </c>
      <c r="Q6" s="5">
        <f t="shared" si="0"/>
        <v>6986.863018</v>
      </c>
      <c r="R6" s="5">
        <f t="shared" si="0"/>
        <v>6986.863018</v>
      </c>
      <c r="S6" s="5">
        <f t="shared" si="0"/>
        <v>6986.863018</v>
      </c>
      <c r="T6" s="5">
        <f t="shared" si="0"/>
        <v>6986.863018</v>
      </c>
      <c r="U6" s="5">
        <f t="shared" si="0"/>
        <v>6986.863018</v>
      </c>
      <c r="V6" s="5">
        <f t="shared" si="0"/>
        <v>6986.863018</v>
      </c>
      <c r="W6" s="15"/>
      <c r="X6" s="5"/>
      <c r="Y6" s="5"/>
      <c r="Z6" s="5"/>
      <c r="AA6" s="5"/>
      <c r="AB6" s="5"/>
      <c r="AC6" s="5"/>
      <c r="AD6" s="5"/>
      <c r="AE6" s="5"/>
      <c r="AF6" s="5"/>
      <c r="AG6" s="5"/>
      <c r="AH6" s="5"/>
      <c r="AI6" s="5"/>
      <c r="AJ6" s="5"/>
      <c r="AK6" s="5"/>
      <c r="AL6" s="5"/>
      <c r="AM6" s="5"/>
      <c r="AN6" s="5"/>
      <c r="AO6" s="5"/>
      <c r="AP6" s="5"/>
      <c r="AQ6" s="5"/>
    </row>
    <row r="7" spans="1:43 16384:16384" x14ac:dyDescent="0.25">
      <c r="A7" s="3" t="s">
        <v>10</v>
      </c>
      <c r="B7" s="4" t="s">
        <v>27</v>
      </c>
      <c r="C7" s="4">
        <v>1962</v>
      </c>
      <c r="D7" s="4" t="s">
        <v>68</v>
      </c>
      <c r="E7" s="5" t="s">
        <v>162</v>
      </c>
      <c r="F7" s="4">
        <v>34967</v>
      </c>
      <c r="G7" s="5">
        <f>$F$7*0.092903</f>
        <v>3248.539201</v>
      </c>
      <c r="H7" s="4"/>
      <c r="I7" s="5">
        <f t="shared" si="0"/>
        <v>3248.539201</v>
      </c>
      <c r="J7" s="5">
        <f t="shared" si="0"/>
        <v>3248.539201</v>
      </c>
      <c r="K7" s="5">
        <f t="shared" si="0"/>
        <v>3248.539201</v>
      </c>
      <c r="L7" s="5">
        <f t="shared" si="0"/>
        <v>3248.539201</v>
      </c>
      <c r="M7" s="5">
        <f t="shared" si="0"/>
        <v>3248.539201</v>
      </c>
      <c r="N7" s="5">
        <f t="shared" si="0"/>
        <v>3248.539201</v>
      </c>
      <c r="O7" s="5">
        <f t="shared" si="0"/>
        <v>3248.539201</v>
      </c>
      <c r="P7" s="5">
        <f t="shared" si="0"/>
        <v>3248.539201</v>
      </c>
      <c r="Q7" s="5">
        <f t="shared" si="0"/>
        <v>3248.539201</v>
      </c>
      <c r="R7" s="5">
        <f t="shared" si="0"/>
        <v>3248.539201</v>
      </c>
      <c r="S7" s="5">
        <f t="shared" si="0"/>
        <v>3248.539201</v>
      </c>
      <c r="T7" s="5">
        <f t="shared" si="0"/>
        <v>3248.539201</v>
      </c>
      <c r="U7" s="5">
        <f t="shared" si="0"/>
        <v>3248.539201</v>
      </c>
      <c r="V7" s="5">
        <f t="shared" si="0"/>
        <v>3248.539201</v>
      </c>
      <c r="W7" s="15"/>
      <c r="X7" s="5"/>
      <c r="Y7" s="5"/>
      <c r="Z7" s="5"/>
      <c r="AA7" s="5"/>
      <c r="AB7" s="5"/>
      <c r="AC7" s="5"/>
      <c r="AD7" s="5"/>
      <c r="AE7" s="5"/>
      <c r="AF7" s="5"/>
      <c r="AG7" s="5"/>
      <c r="AH7" s="5"/>
      <c r="AI7" s="5"/>
      <c r="AJ7" s="5"/>
      <c r="AK7" s="5"/>
      <c r="AL7" s="5"/>
      <c r="AM7" s="5"/>
      <c r="AN7" s="5"/>
      <c r="AO7" s="5"/>
      <c r="AP7" s="5"/>
      <c r="AQ7" s="5"/>
    </row>
    <row r="8" spans="1:43 16384:16384" ht="30" x14ac:dyDescent="0.25">
      <c r="A8" s="3" t="s">
        <v>8</v>
      </c>
      <c r="B8" s="4" t="s">
        <v>25</v>
      </c>
      <c r="C8" s="4">
        <v>1962</v>
      </c>
      <c r="D8" s="4" t="s">
        <v>68</v>
      </c>
      <c r="E8" s="5" t="s">
        <v>162</v>
      </c>
      <c r="F8" s="4">
        <v>52476</v>
      </c>
      <c r="G8" s="5">
        <f>$F$8*0.092903</f>
        <v>4875.1778279999999</v>
      </c>
      <c r="H8" s="4"/>
      <c r="I8" s="5">
        <f t="shared" si="0"/>
        <v>4875.1778279999999</v>
      </c>
      <c r="J8" s="5">
        <f t="shared" si="0"/>
        <v>4875.1778279999999</v>
      </c>
      <c r="K8" s="5">
        <f t="shared" si="0"/>
        <v>4875.1778279999999</v>
      </c>
      <c r="L8" s="5">
        <f t="shared" si="0"/>
        <v>4875.1778279999999</v>
      </c>
      <c r="M8" s="5">
        <f t="shared" si="0"/>
        <v>4875.1778279999999</v>
      </c>
      <c r="N8" s="5">
        <f t="shared" si="0"/>
        <v>4875.1778279999999</v>
      </c>
      <c r="O8" s="5">
        <f t="shared" si="0"/>
        <v>4875.1778279999999</v>
      </c>
      <c r="P8" s="5">
        <f t="shared" si="0"/>
        <v>4875.1778279999999</v>
      </c>
      <c r="Q8" s="5">
        <f t="shared" si="0"/>
        <v>4875.1778279999999</v>
      </c>
      <c r="R8" s="5">
        <f t="shared" si="0"/>
        <v>4875.1778279999999</v>
      </c>
      <c r="S8" s="5">
        <f t="shared" si="0"/>
        <v>4875.1778279999999</v>
      </c>
      <c r="T8" s="5">
        <f t="shared" si="0"/>
        <v>4875.1778279999999</v>
      </c>
      <c r="U8" s="5">
        <f t="shared" si="0"/>
        <v>4875.1778279999999</v>
      </c>
      <c r="V8" s="5">
        <f t="shared" si="0"/>
        <v>4875.1778279999999</v>
      </c>
      <c r="W8" s="15"/>
      <c r="X8" s="5"/>
      <c r="Y8" s="5"/>
      <c r="Z8" s="5"/>
      <c r="AA8" s="5"/>
      <c r="AB8" s="5"/>
      <c r="AC8" s="5"/>
      <c r="AD8" s="5"/>
      <c r="AE8" s="5"/>
      <c r="AF8" s="5"/>
      <c r="AG8" s="5"/>
      <c r="AH8" s="5"/>
      <c r="AI8" s="5"/>
      <c r="AJ8" s="5"/>
      <c r="AK8" s="5"/>
      <c r="AL8" s="5"/>
      <c r="AM8" s="5"/>
      <c r="AN8" s="5"/>
      <c r="AO8" s="5"/>
      <c r="AP8" s="5"/>
      <c r="AQ8" s="5"/>
    </row>
    <row r="9" spans="1:43 16384:16384" x14ac:dyDescent="0.25">
      <c r="A9" s="3" t="s">
        <v>11</v>
      </c>
      <c r="B9" s="4" t="s">
        <v>28</v>
      </c>
      <c r="C9" s="4">
        <v>1969</v>
      </c>
      <c r="D9" s="4" t="s">
        <v>68</v>
      </c>
      <c r="E9" s="5" t="s">
        <v>162</v>
      </c>
      <c r="F9" s="4">
        <v>127278</v>
      </c>
      <c r="G9" s="5">
        <f t="shared" ref="G9:G27" si="1">F9*0.092903</f>
        <v>11824.508034</v>
      </c>
      <c r="H9" s="4"/>
      <c r="I9" s="5">
        <f t="shared" si="0"/>
        <v>11824.508034</v>
      </c>
      <c r="J9" s="5">
        <f t="shared" si="0"/>
        <v>11824.508034</v>
      </c>
      <c r="K9" s="5">
        <f t="shared" si="0"/>
        <v>11824.508034</v>
      </c>
      <c r="L9" s="5">
        <f t="shared" si="0"/>
        <v>11824.508034</v>
      </c>
      <c r="M9" s="5">
        <f t="shared" si="0"/>
        <v>11824.508034</v>
      </c>
      <c r="N9" s="5">
        <f t="shared" si="0"/>
        <v>11824.508034</v>
      </c>
      <c r="O9" s="5">
        <f t="shared" si="0"/>
        <v>11824.508034</v>
      </c>
      <c r="P9" s="5">
        <f t="shared" si="0"/>
        <v>11824.508034</v>
      </c>
      <c r="Q9" s="5">
        <f t="shared" si="0"/>
        <v>11824.508034</v>
      </c>
      <c r="R9" s="5">
        <f t="shared" si="0"/>
        <v>11824.508034</v>
      </c>
      <c r="S9" s="5">
        <f t="shared" si="0"/>
        <v>11824.508034</v>
      </c>
      <c r="T9" s="5">
        <f t="shared" si="0"/>
        <v>11824.508034</v>
      </c>
      <c r="U9" s="5">
        <f t="shared" si="0"/>
        <v>11824.508034</v>
      </c>
      <c r="V9" s="5">
        <f t="shared" si="0"/>
        <v>11824.508034</v>
      </c>
      <c r="W9" s="15"/>
      <c r="X9" s="5"/>
      <c r="Y9" s="5"/>
      <c r="Z9" s="5"/>
      <c r="AA9" s="5"/>
      <c r="AB9" s="5"/>
      <c r="AC9" s="5"/>
      <c r="AD9" s="5"/>
      <c r="AE9" s="5"/>
      <c r="AF9" s="5"/>
      <c r="AG9" s="5"/>
      <c r="AH9" s="5"/>
      <c r="AI9" s="5"/>
      <c r="AJ9" s="5"/>
      <c r="AK9" s="5"/>
      <c r="AL9" s="5"/>
      <c r="AM9" s="5"/>
      <c r="AN9" s="5"/>
      <c r="AO9" s="5"/>
      <c r="AP9" s="5"/>
      <c r="AQ9" s="5"/>
    </row>
    <row r="10" spans="1:43 16384:16384" ht="30" x14ac:dyDescent="0.25">
      <c r="A10" s="3" t="s">
        <v>9</v>
      </c>
      <c r="B10" s="4" t="s">
        <v>29</v>
      </c>
      <c r="C10" s="4">
        <v>1972</v>
      </c>
      <c r="D10" s="4" t="s">
        <v>68</v>
      </c>
      <c r="E10" s="5" t="s">
        <v>162</v>
      </c>
      <c r="F10" s="4">
        <v>356963</v>
      </c>
      <c r="G10" s="5">
        <f t="shared" si="1"/>
        <v>33162.933589</v>
      </c>
      <c r="H10" s="4"/>
      <c r="I10" s="5">
        <f t="shared" si="0"/>
        <v>33162.933589</v>
      </c>
      <c r="J10" s="5">
        <f t="shared" si="0"/>
        <v>33162.933589</v>
      </c>
      <c r="K10" s="5">
        <f t="shared" si="0"/>
        <v>33162.933589</v>
      </c>
      <c r="L10" s="5">
        <f t="shared" si="0"/>
        <v>33162.933589</v>
      </c>
      <c r="M10" s="5">
        <f t="shared" si="0"/>
        <v>33162.933589</v>
      </c>
      <c r="N10" s="5">
        <f t="shared" si="0"/>
        <v>33162.933589</v>
      </c>
      <c r="O10" s="5">
        <f t="shared" si="0"/>
        <v>33162.933589</v>
      </c>
      <c r="P10" s="5">
        <f t="shared" si="0"/>
        <v>33162.933589</v>
      </c>
      <c r="Q10" s="5">
        <f t="shared" si="0"/>
        <v>33162.933589</v>
      </c>
      <c r="R10" s="5">
        <f t="shared" si="0"/>
        <v>33162.933589</v>
      </c>
      <c r="S10" s="5">
        <f t="shared" si="0"/>
        <v>33162.933589</v>
      </c>
      <c r="T10" s="5">
        <f t="shared" si="0"/>
        <v>33162.933589</v>
      </c>
      <c r="U10" s="5">
        <f t="shared" si="0"/>
        <v>33162.933589</v>
      </c>
      <c r="V10" s="5">
        <f t="shared" si="0"/>
        <v>33162.933589</v>
      </c>
      <c r="W10" s="15"/>
      <c r="X10" s="5"/>
      <c r="Y10" s="5"/>
      <c r="Z10" s="5"/>
      <c r="AA10" s="5"/>
      <c r="AB10" s="5"/>
      <c r="AC10" s="5"/>
      <c r="AD10" s="5"/>
      <c r="AE10" s="5"/>
      <c r="AF10" s="5"/>
      <c r="AG10" s="5"/>
      <c r="AH10" s="5"/>
      <c r="AI10" s="5"/>
      <c r="AJ10" s="5"/>
      <c r="AK10" s="5"/>
      <c r="AL10" s="5"/>
      <c r="AM10" s="5"/>
      <c r="AN10" s="5"/>
      <c r="AO10" s="5"/>
      <c r="AP10" s="5"/>
      <c r="AQ10" s="5"/>
    </row>
    <row r="11" spans="1:43 16384:16384" ht="90" x14ac:dyDescent="0.25">
      <c r="A11" s="3" t="s">
        <v>2</v>
      </c>
      <c r="B11" s="4" t="s">
        <v>30</v>
      </c>
      <c r="C11" s="4">
        <v>1984</v>
      </c>
      <c r="D11" s="4" t="s">
        <v>68</v>
      </c>
      <c r="E11" s="5" t="s">
        <v>162</v>
      </c>
      <c r="F11" s="4">
        <v>128873</v>
      </c>
      <c r="G11" s="5">
        <f t="shared" si="1"/>
        <v>11972.688319000001</v>
      </c>
      <c r="H11" s="6" t="s">
        <v>156</v>
      </c>
      <c r="I11" s="5">
        <f>125373*0.092903</f>
        <v>11647.527819000001</v>
      </c>
      <c r="J11" s="5">
        <f>125373*0.092903</f>
        <v>11647.527819000001</v>
      </c>
      <c r="K11" s="5">
        <f>125373*0.092903</f>
        <v>11647.527819000001</v>
      </c>
      <c r="L11" s="5">
        <f>(125373+128873)/2*0.092903</f>
        <v>11810.108069</v>
      </c>
      <c r="M11" s="5">
        <f t="shared" si="0"/>
        <v>11972.688319000001</v>
      </c>
      <c r="N11" s="5">
        <f t="shared" si="0"/>
        <v>11972.688319000001</v>
      </c>
      <c r="O11" s="5">
        <f t="shared" si="0"/>
        <v>11972.688319000001</v>
      </c>
      <c r="P11" s="5">
        <f t="shared" si="0"/>
        <v>11972.688319000001</v>
      </c>
      <c r="Q11" s="5">
        <f t="shared" si="0"/>
        <v>11972.688319000001</v>
      </c>
      <c r="R11" s="5">
        <f t="shared" si="0"/>
        <v>11972.688319000001</v>
      </c>
      <c r="S11" s="5">
        <f t="shared" si="0"/>
        <v>11972.688319000001</v>
      </c>
      <c r="T11" s="5">
        <f t="shared" si="0"/>
        <v>11972.688319000001</v>
      </c>
      <c r="U11" s="5">
        <f t="shared" si="0"/>
        <v>11972.688319000001</v>
      </c>
      <c r="V11" s="5">
        <f t="shared" si="0"/>
        <v>11972.688319000001</v>
      </c>
      <c r="W11" s="15"/>
      <c r="X11" s="5"/>
      <c r="Y11" s="5"/>
      <c r="Z11" s="5"/>
      <c r="AA11" s="5"/>
      <c r="AB11" s="5"/>
      <c r="AC11" s="5"/>
      <c r="AD11" s="5"/>
      <c r="AE11" s="5"/>
      <c r="AF11" s="5"/>
      <c r="AG11" s="5"/>
      <c r="AH11" s="5"/>
      <c r="AI11" s="5"/>
      <c r="AJ11" s="5"/>
      <c r="AK11" s="5"/>
      <c r="AL11" s="5"/>
      <c r="AM11" s="5"/>
      <c r="AN11" s="5"/>
      <c r="AO11" s="5"/>
      <c r="AP11" s="5"/>
      <c r="AQ11" s="5"/>
    </row>
    <row r="12" spans="1:43 16384:16384" ht="30" x14ac:dyDescent="0.25">
      <c r="A12" s="3" t="s">
        <v>5</v>
      </c>
      <c r="B12" s="4" t="s">
        <v>31</v>
      </c>
      <c r="C12" s="4">
        <v>1985</v>
      </c>
      <c r="D12" s="7">
        <v>41122</v>
      </c>
      <c r="E12" s="5" t="s">
        <v>162</v>
      </c>
      <c r="F12" s="4">
        <v>18438</v>
      </c>
      <c r="G12" s="5">
        <f t="shared" si="1"/>
        <v>1712.945514</v>
      </c>
      <c r="H12" s="4" t="s">
        <v>114</v>
      </c>
      <c r="I12" s="5">
        <f>$G12</f>
        <v>1712.945514</v>
      </c>
      <c r="J12" s="5">
        <f t="shared" si="0"/>
        <v>1712.945514</v>
      </c>
      <c r="K12" s="5">
        <f t="shared" si="0"/>
        <v>1712.945514</v>
      </c>
      <c r="L12" s="5">
        <f t="shared" si="0"/>
        <v>1712.945514</v>
      </c>
      <c r="M12" s="5">
        <f t="shared" si="0"/>
        <v>1712.945514</v>
      </c>
      <c r="N12" s="5">
        <f t="shared" si="0"/>
        <v>1712.945514</v>
      </c>
      <c r="O12" s="5">
        <f t="shared" si="0"/>
        <v>1712.945514</v>
      </c>
      <c r="P12" s="5">
        <f t="shared" si="0"/>
        <v>1712.945514</v>
      </c>
      <c r="Q12" s="5">
        <f>$G12*(5/12)</f>
        <v>713.72729750000008</v>
      </c>
      <c r="R12" s="5">
        <v>0</v>
      </c>
      <c r="S12" s="5">
        <v>0</v>
      </c>
      <c r="T12" s="5">
        <v>0</v>
      </c>
      <c r="U12" s="5">
        <v>0</v>
      </c>
      <c r="V12" s="5">
        <v>0</v>
      </c>
      <c r="W12" s="15"/>
      <c r="X12" s="5"/>
      <c r="Y12" s="5"/>
      <c r="Z12" s="5"/>
      <c r="AA12" s="5"/>
      <c r="AB12" s="5"/>
      <c r="AC12" s="5"/>
      <c r="AD12" s="5"/>
      <c r="AE12" s="5"/>
      <c r="AF12" s="5"/>
      <c r="AG12" s="5"/>
      <c r="AH12" s="5"/>
      <c r="AI12" s="5"/>
      <c r="AJ12" s="5"/>
      <c r="AK12" s="5"/>
      <c r="AL12" s="5"/>
      <c r="AM12" s="5"/>
      <c r="AN12" s="5"/>
      <c r="AO12" s="5"/>
      <c r="AP12" s="5"/>
      <c r="AQ12" s="5"/>
    </row>
    <row r="13" spans="1:43 16384:16384" ht="30" x14ac:dyDescent="0.25">
      <c r="A13" s="3" t="s">
        <v>12</v>
      </c>
      <c r="B13" s="4" t="s">
        <v>32</v>
      </c>
      <c r="C13" s="4">
        <v>1985</v>
      </c>
      <c r="D13" s="8">
        <v>41792</v>
      </c>
      <c r="E13" s="5" t="s">
        <v>162</v>
      </c>
      <c r="F13" s="4">
        <v>5150</v>
      </c>
      <c r="G13" s="5">
        <f t="shared" si="1"/>
        <v>478.45044999999999</v>
      </c>
      <c r="H13" s="4" t="s">
        <v>115</v>
      </c>
      <c r="I13" s="5">
        <f>$G13</f>
        <v>478.45044999999999</v>
      </c>
      <c r="J13" s="5">
        <f t="shared" si="0"/>
        <v>478.45044999999999</v>
      </c>
      <c r="K13" s="5">
        <f t="shared" si="0"/>
        <v>478.45044999999999</v>
      </c>
      <c r="L13" s="5">
        <f t="shared" si="0"/>
        <v>478.45044999999999</v>
      </c>
      <c r="M13" s="5">
        <f t="shared" si="0"/>
        <v>478.45044999999999</v>
      </c>
      <c r="N13" s="5">
        <f t="shared" si="0"/>
        <v>478.45044999999999</v>
      </c>
      <c r="O13" s="5">
        <f t="shared" si="0"/>
        <v>478.45044999999999</v>
      </c>
      <c r="P13" s="5">
        <f t="shared" si="0"/>
        <v>478.45044999999999</v>
      </c>
      <c r="Q13" s="5">
        <f t="shared" si="0"/>
        <v>478.45044999999999</v>
      </c>
      <c r="R13" s="5">
        <f t="shared" si="0"/>
        <v>478.45044999999999</v>
      </c>
      <c r="S13" s="5">
        <f>$G13*(2/12)</f>
        <v>79.741741666666655</v>
      </c>
      <c r="T13" s="5">
        <v>0</v>
      </c>
      <c r="U13" s="5">
        <v>0</v>
      </c>
      <c r="V13" s="5">
        <v>0</v>
      </c>
      <c r="W13" s="15"/>
      <c r="X13" s="5"/>
      <c r="Y13" s="5"/>
      <c r="Z13" s="5"/>
      <c r="AA13" s="5"/>
      <c r="AB13" s="5"/>
      <c r="AC13" s="5"/>
      <c r="AD13" s="5"/>
      <c r="AE13" s="5"/>
      <c r="AF13" s="5"/>
      <c r="AG13" s="5"/>
      <c r="AH13" s="5"/>
      <c r="AI13" s="5"/>
      <c r="AJ13" s="5"/>
      <c r="AK13" s="5"/>
      <c r="AL13" s="5"/>
      <c r="AM13" s="5"/>
      <c r="AN13" s="5"/>
      <c r="AO13" s="5"/>
      <c r="AP13" s="5"/>
      <c r="AQ13" s="5"/>
    </row>
    <row r="14" spans="1:43 16384:16384" ht="60" x14ac:dyDescent="0.25">
      <c r="A14" s="3" t="s">
        <v>70</v>
      </c>
      <c r="B14" s="4" t="s">
        <v>33</v>
      </c>
      <c r="C14" s="4">
        <v>1999</v>
      </c>
      <c r="D14" s="4" t="s">
        <v>68</v>
      </c>
      <c r="E14" s="5" t="s">
        <v>162</v>
      </c>
      <c r="F14" s="4">
        <v>48570</v>
      </c>
      <c r="G14" s="5">
        <f t="shared" si="1"/>
        <v>4512.29871</v>
      </c>
      <c r="H14" s="4"/>
      <c r="I14" s="5">
        <f>$G14</f>
        <v>4512.29871</v>
      </c>
      <c r="J14" s="5">
        <f t="shared" si="0"/>
        <v>4512.29871</v>
      </c>
      <c r="K14" s="5">
        <f t="shared" si="0"/>
        <v>4512.29871</v>
      </c>
      <c r="L14" s="5">
        <f t="shared" si="0"/>
        <v>4512.29871</v>
      </c>
      <c r="M14" s="5">
        <f t="shared" si="0"/>
        <v>4512.29871</v>
      </c>
      <c r="N14" s="5">
        <f t="shared" si="0"/>
        <v>4512.29871</v>
      </c>
      <c r="O14" s="5">
        <f t="shared" si="0"/>
        <v>4512.29871</v>
      </c>
      <c r="P14" s="5">
        <f t="shared" si="0"/>
        <v>4512.29871</v>
      </c>
      <c r="Q14" s="5">
        <f t="shared" si="0"/>
        <v>4512.29871</v>
      </c>
      <c r="R14" s="5">
        <f t="shared" si="0"/>
        <v>4512.29871</v>
      </c>
      <c r="S14" s="5">
        <f t="shared" si="0"/>
        <v>4512.29871</v>
      </c>
      <c r="T14" s="5">
        <f t="shared" si="0"/>
        <v>4512.29871</v>
      </c>
      <c r="U14" s="5">
        <f t="shared" si="0"/>
        <v>4512.29871</v>
      </c>
      <c r="V14" s="5">
        <f t="shared" si="0"/>
        <v>4512.29871</v>
      </c>
      <c r="W14" s="15"/>
      <c r="X14" s="5"/>
      <c r="Y14" s="5"/>
      <c r="Z14" s="5"/>
      <c r="AA14" s="5"/>
      <c r="AB14" s="5"/>
      <c r="AC14" s="5"/>
      <c r="AD14" s="5"/>
      <c r="AE14" s="5"/>
      <c r="AF14" s="5"/>
      <c r="AG14" s="5"/>
      <c r="AH14" s="5"/>
      <c r="AI14" s="5"/>
      <c r="AJ14" s="5"/>
      <c r="AK14" s="5"/>
      <c r="AL14" s="5"/>
      <c r="AM14" s="5"/>
      <c r="AN14" s="5"/>
      <c r="AO14" s="5"/>
      <c r="AP14" s="5"/>
      <c r="AQ14" s="5"/>
    </row>
    <row r="15" spans="1:43 16384:16384" ht="30" x14ac:dyDescent="0.25">
      <c r="A15" s="3" t="s">
        <v>191</v>
      </c>
      <c r="B15" s="4" t="s">
        <v>31</v>
      </c>
      <c r="C15" s="4">
        <v>2003</v>
      </c>
      <c r="D15" s="7">
        <v>41122</v>
      </c>
      <c r="E15" s="5" t="s">
        <v>162</v>
      </c>
      <c r="F15" s="4">
        <v>581</v>
      </c>
      <c r="G15" s="5">
        <f t="shared" si="1"/>
        <v>53.976643000000003</v>
      </c>
      <c r="H15" s="4" t="s">
        <v>114</v>
      </c>
      <c r="I15" s="5">
        <f>$G15</f>
        <v>53.976643000000003</v>
      </c>
      <c r="J15" s="5">
        <f t="shared" si="0"/>
        <v>53.976643000000003</v>
      </c>
      <c r="K15" s="5">
        <f t="shared" si="0"/>
        <v>53.976643000000003</v>
      </c>
      <c r="L15" s="5">
        <f t="shared" si="0"/>
        <v>53.976643000000003</v>
      </c>
      <c r="M15" s="5">
        <f t="shared" si="0"/>
        <v>53.976643000000003</v>
      </c>
      <c r="N15" s="5">
        <f t="shared" si="0"/>
        <v>53.976643000000003</v>
      </c>
      <c r="O15" s="5">
        <f t="shared" si="0"/>
        <v>53.976643000000003</v>
      </c>
      <c r="P15" s="5">
        <f t="shared" si="0"/>
        <v>53.976643000000003</v>
      </c>
      <c r="Q15" s="5">
        <f>$G15*(5/12)</f>
        <v>22.490267916666667</v>
      </c>
      <c r="R15" s="5">
        <v>0</v>
      </c>
      <c r="S15" s="5">
        <v>0</v>
      </c>
      <c r="T15" s="5">
        <v>0</v>
      </c>
      <c r="U15" s="5">
        <v>0</v>
      </c>
      <c r="V15" s="5">
        <v>0</v>
      </c>
      <c r="W15" s="15"/>
      <c r="X15" s="5"/>
      <c r="Y15" s="5"/>
      <c r="Z15" s="5"/>
      <c r="AA15" s="5"/>
      <c r="AB15" s="5"/>
      <c r="AC15" s="5"/>
      <c r="AD15" s="5"/>
      <c r="AE15" s="5"/>
      <c r="AF15" s="5"/>
      <c r="AG15" s="5"/>
      <c r="AH15" s="5"/>
      <c r="AI15" s="5"/>
      <c r="AJ15" s="5"/>
      <c r="AK15" s="5"/>
      <c r="AL15" s="5"/>
      <c r="AM15" s="5"/>
      <c r="AN15" s="5"/>
      <c r="AO15" s="5"/>
      <c r="AP15" s="5"/>
      <c r="AQ15" s="5"/>
    </row>
    <row r="16" spans="1:43 16384:16384" ht="135" x14ac:dyDescent="0.25">
      <c r="A16" s="9" t="s">
        <v>19</v>
      </c>
      <c r="B16" s="10" t="s">
        <v>37</v>
      </c>
      <c r="C16" s="10">
        <v>2003</v>
      </c>
      <c r="D16" s="10">
        <v>2008</v>
      </c>
      <c r="E16" s="5" t="s">
        <v>162</v>
      </c>
      <c r="F16" s="10">
        <v>16053</v>
      </c>
      <c r="G16" s="11">
        <f t="shared" si="1"/>
        <v>1491.3718590000001</v>
      </c>
      <c r="H16" s="10" t="s">
        <v>116</v>
      </c>
      <c r="I16" s="11">
        <v>0</v>
      </c>
      <c r="J16" s="11">
        <f>$G16</f>
        <v>1491.3718590000001</v>
      </c>
      <c r="K16" s="11">
        <f t="shared" si="0"/>
        <v>1491.3718590000001</v>
      </c>
      <c r="L16" s="11">
        <f t="shared" si="0"/>
        <v>1491.3718590000001</v>
      </c>
      <c r="M16" s="11">
        <f>$G16*(8/12)</f>
        <v>994.24790600000006</v>
      </c>
      <c r="N16" s="10">
        <v>0</v>
      </c>
      <c r="O16" s="10">
        <v>0</v>
      </c>
      <c r="P16" s="10">
        <v>0</v>
      </c>
      <c r="Q16" s="10">
        <v>0</v>
      </c>
      <c r="R16" s="10">
        <v>0</v>
      </c>
      <c r="S16" s="10">
        <v>0</v>
      </c>
      <c r="T16" s="10">
        <v>0</v>
      </c>
      <c r="U16" s="10">
        <v>0</v>
      </c>
      <c r="V16" s="5">
        <v>0</v>
      </c>
      <c r="W16" s="15"/>
      <c r="X16" s="5"/>
      <c r="Y16" s="5"/>
      <c r="Z16" s="5"/>
      <c r="AA16" s="5"/>
      <c r="AB16" s="5"/>
      <c r="AC16" s="5"/>
      <c r="AD16" s="5"/>
      <c r="AE16" s="5"/>
      <c r="AF16" s="5"/>
      <c r="AG16" s="5"/>
      <c r="AH16" s="5"/>
      <c r="AI16" s="5"/>
      <c r="AJ16" s="5"/>
      <c r="AK16" s="5"/>
      <c r="AL16" s="5"/>
      <c r="AM16" s="5"/>
      <c r="AN16" s="5"/>
      <c r="AO16" s="5"/>
      <c r="AP16" s="5"/>
      <c r="AQ16" s="5"/>
    </row>
    <row r="17" spans="1:43" ht="90" x14ac:dyDescent="0.25">
      <c r="A17" s="3" t="s">
        <v>94</v>
      </c>
      <c r="B17" s="4" t="s">
        <v>20</v>
      </c>
      <c r="C17" s="4">
        <v>2003</v>
      </c>
      <c r="D17" s="4">
        <v>2007</v>
      </c>
      <c r="E17" s="5" t="s">
        <v>162</v>
      </c>
      <c r="F17" s="4">
        <v>6200</v>
      </c>
      <c r="G17" s="5">
        <f t="shared" si="1"/>
        <v>575.99860000000001</v>
      </c>
      <c r="H17" s="4" t="s">
        <v>118</v>
      </c>
      <c r="I17" s="5">
        <v>0</v>
      </c>
      <c r="J17" s="5">
        <f>$G17</f>
        <v>575.99860000000001</v>
      </c>
      <c r="K17" s="5">
        <f t="shared" si="0"/>
        <v>575.99860000000001</v>
      </c>
      <c r="L17" s="5">
        <f>$G17*8/12</f>
        <v>383.99906666666669</v>
      </c>
      <c r="M17" s="5">
        <v>0</v>
      </c>
      <c r="N17" s="5">
        <v>0</v>
      </c>
      <c r="O17" s="5">
        <v>0</v>
      </c>
      <c r="P17" s="5">
        <v>0</v>
      </c>
      <c r="Q17" s="5">
        <v>0</v>
      </c>
      <c r="R17" s="5">
        <v>0</v>
      </c>
      <c r="S17" s="4">
        <v>0</v>
      </c>
      <c r="T17" s="4">
        <v>0</v>
      </c>
      <c r="U17" s="4">
        <v>0</v>
      </c>
      <c r="V17" s="5">
        <v>0</v>
      </c>
      <c r="W17" s="15"/>
      <c r="X17" s="5"/>
      <c r="Y17" s="5"/>
      <c r="Z17" s="5"/>
      <c r="AA17" s="5"/>
      <c r="AB17" s="5"/>
      <c r="AC17" s="5"/>
      <c r="AD17" s="5"/>
      <c r="AE17" s="5"/>
      <c r="AF17" s="5"/>
      <c r="AG17" s="5"/>
      <c r="AH17" s="5"/>
      <c r="AI17" s="5"/>
      <c r="AJ17" s="5"/>
      <c r="AK17" s="5"/>
      <c r="AL17" s="5"/>
      <c r="AM17" s="5"/>
      <c r="AN17" s="5"/>
      <c r="AO17" s="5"/>
      <c r="AP17" s="5"/>
      <c r="AQ17" s="5"/>
    </row>
    <row r="18" spans="1:43" ht="90" x14ac:dyDescent="0.25">
      <c r="A18" s="3" t="s">
        <v>77</v>
      </c>
      <c r="B18" s="4" t="s">
        <v>21</v>
      </c>
      <c r="C18" s="4">
        <v>2004</v>
      </c>
      <c r="D18" s="7">
        <v>41122</v>
      </c>
      <c r="E18" s="5" t="s">
        <v>162</v>
      </c>
      <c r="F18" s="4">
        <v>4563</v>
      </c>
      <c r="G18" s="5">
        <f t="shared" si="1"/>
        <v>423.91638899999998</v>
      </c>
      <c r="H18" s="4" t="s">
        <v>117</v>
      </c>
      <c r="I18" s="5">
        <v>0</v>
      </c>
      <c r="J18" s="5">
        <f>$G18</f>
        <v>423.91638899999998</v>
      </c>
      <c r="K18" s="5">
        <f t="shared" ref="K18:P20" si="2">$G18</f>
        <v>423.91638899999998</v>
      </c>
      <c r="L18" s="5">
        <f t="shared" si="2"/>
        <v>423.91638899999998</v>
      </c>
      <c r="M18" s="5">
        <f t="shared" si="2"/>
        <v>423.91638899999998</v>
      </c>
      <c r="N18" s="5">
        <f t="shared" si="2"/>
        <v>423.91638899999998</v>
      </c>
      <c r="O18" s="5">
        <f t="shared" si="2"/>
        <v>423.91638899999998</v>
      </c>
      <c r="P18" s="5">
        <f t="shared" si="2"/>
        <v>423.91638899999998</v>
      </c>
      <c r="Q18" s="5">
        <f>$G18*5/12</f>
        <v>176.63182874999998</v>
      </c>
      <c r="R18" s="4">
        <v>0</v>
      </c>
      <c r="S18" s="4">
        <v>0</v>
      </c>
      <c r="T18" s="4">
        <v>0</v>
      </c>
      <c r="U18" s="4">
        <v>0</v>
      </c>
      <c r="V18" s="5">
        <v>0</v>
      </c>
      <c r="W18" s="15"/>
      <c r="X18" s="5"/>
      <c r="Y18" s="5"/>
      <c r="Z18" s="5"/>
      <c r="AA18" s="5"/>
      <c r="AB18" s="5"/>
      <c r="AC18" s="5"/>
      <c r="AD18" s="5"/>
      <c r="AE18" s="5"/>
      <c r="AF18" s="5"/>
      <c r="AG18" s="5"/>
      <c r="AH18" s="5"/>
      <c r="AI18" s="5"/>
      <c r="AJ18" s="5"/>
      <c r="AK18" s="5"/>
      <c r="AL18" s="5"/>
      <c r="AM18" s="5"/>
      <c r="AN18" s="5"/>
      <c r="AO18" s="5"/>
      <c r="AP18" s="5"/>
      <c r="AQ18" s="5"/>
    </row>
    <row r="19" spans="1:43" ht="90" x14ac:dyDescent="0.25">
      <c r="A19" s="3" t="s">
        <v>95</v>
      </c>
      <c r="B19" s="4" t="s">
        <v>21</v>
      </c>
      <c r="C19" s="4">
        <v>2005</v>
      </c>
      <c r="D19" s="7">
        <v>41122</v>
      </c>
      <c r="E19" s="5" t="s">
        <v>162</v>
      </c>
      <c r="F19" s="4">
        <v>576</v>
      </c>
      <c r="G19" s="5">
        <f t="shared" si="1"/>
        <v>53.512127999999997</v>
      </c>
      <c r="H19" s="4" t="s">
        <v>117</v>
      </c>
      <c r="I19" s="5">
        <v>0</v>
      </c>
      <c r="J19" s="5">
        <f>$G19</f>
        <v>53.512127999999997</v>
      </c>
      <c r="K19" s="5">
        <f t="shared" si="2"/>
        <v>53.512127999999997</v>
      </c>
      <c r="L19" s="5">
        <f t="shared" si="2"/>
        <v>53.512127999999997</v>
      </c>
      <c r="M19" s="5">
        <f t="shared" si="2"/>
        <v>53.512127999999997</v>
      </c>
      <c r="N19" s="5">
        <f t="shared" si="2"/>
        <v>53.512127999999997</v>
      </c>
      <c r="O19" s="5">
        <f t="shared" si="2"/>
        <v>53.512127999999997</v>
      </c>
      <c r="P19" s="5">
        <f t="shared" si="2"/>
        <v>53.512127999999997</v>
      </c>
      <c r="Q19" s="5">
        <f>$G19*5/12</f>
        <v>22.296719999999997</v>
      </c>
      <c r="R19" s="4">
        <v>0</v>
      </c>
      <c r="S19" s="4">
        <v>0</v>
      </c>
      <c r="T19" s="4">
        <v>0</v>
      </c>
      <c r="U19" s="4">
        <v>0</v>
      </c>
      <c r="V19" s="5">
        <v>0</v>
      </c>
      <c r="W19" s="15"/>
      <c r="X19" s="5"/>
      <c r="Y19" s="5"/>
      <c r="Z19" s="5"/>
      <c r="AA19" s="5"/>
      <c r="AB19" s="5"/>
      <c r="AC19" s="5"/>
      <c r="AD19" s="5"/>
      <c r="AE19" s="5"/>
      <c r="AF19" s="5"/>
      <c r="AG19" s="5"/>
      <c r="AH19" s="5"/>
      <c r="AI19" s="5"/>
      <c r="AJ19" s="5"/>
      <c r="AK19" s="5"/>
      <c r="AL19" s="5"/>
      <c r="AM19" s="5"/>
      <c r="AN19" s="5"/>
      <c r="AO19" s="5"/>
      <c r="AP19" s="5"/>
      <c r="AQ19" s="5"/>
    </row>
    <row r="20" spans="1:43" ht="30" x14ac:dyDescent="0.25">
      <c r="A20" s="3" t="s">
        <v>4</v>
      </c>
      <c r="B20" s="4" t="s">
        <v>34</v>
      </c>
      <c r="C20" s="4">
        <v>2005</v>
      </c>
      <c r="D20" s="4" t="s">
        <v>68</v>
      </c>
      <c r="E20" s="5" t="s">
        <v>162</v>
      </c>
      <c r="F20" s="4">
        <v>14626</v>
      </c>
      <c r="G20" s="5">
        <f t="shared" si="1"/>
        <v>1358.799278</v>
      </c>
      <c r="H20" s="4"/>
      <c r="I20" s="5">
        <v>0</v>
      </c>
      <c r="J20" s="5">
        <f>$G20</f>
        <v>1358.799278</v>
      </c>
      <c r="K20" s="5">
        <f t="shared" si="2"/>
        <v>1358.799278</v>
      </c>
      <c r="L20" s="5">
        <f t="shared" si="2"/>
        <v>1358.799278</v>
      </c>
      <c r="M20" s="5">
        <f t="shared" si="2"/>
        <v>1358.799278</v>
      </c>
      <c r="N20" s="5">
        <f t="shared" si="2"/>
        <v>1358.799278</v>
      </c>
      <c r="O20" s="5">
        <f t="shared" si="2"/>
        <v>1358.799278</v>
      </c>
      <c r="P20" s="5">
        <f t="shared" si="2"/>
        <v>1358.799278</v>
      </c>
      <c r="Q20" s="5">
        <f t="shared" ref="Q20:U23" si="3">$G20</f>
        <v>1358.799278</v>
      </c>
      <c r="R20" s="5">
        <f t="shared" si="3"/>
        <v>1358.799278</v>
      </c>
      <c r="S20" s="5">
        <f t="shared" si="3"/>
        <v>1358.799278</v>
      </c>
      <c r="T20" s="5">
        <f t="shared" si="3"/>
        <v>1358.799278</v>
      </c>
      <c r="U20" s="5">
        <f t="shared" si="3"/>
        <v>1358.799278</v>
      </c>
      <c r="V20" s="5">
        <f t="shared" ref="V20:V59" si="4">$G20</f>
        <v>1358.799278</v>
      </c>
      <c r="W20" s="15"/>
      <c r="X20" s="5"/>
      <c r="Y20" s="5"/>
      <c r="Z20" s="5"/>
      <c r="AA20" s="5"/>
      <c r="AB20" s="5"/>
      <c r="AC20" s="5"/>
      <c r="AD20" s="5"/>
      <c r="AE20" s="5"/>
      <c r="AF20" s="5"/>
      <c r="AG20" s="5"/>
      <c r="AH20" s="5"/>
      <c r="AI20" s="5"/>
      <c r="AJ20" s="5"/>
      <c r="AK20" s="5"/>
      <c r="AL20" s="5"/>
      <c r="AM20" s="5"/>
      <c r="AN20" s="5"/>
      <c r="AO20" s="5"/>
      <c r="AP20" s="5"/>
      <c r="AQ20" s="5"/>
    </row>
    <row r="21" spans="1:43" ht="60" x14ac:dyDescent="0.25">
      <c r="A21" s="3" t="s">
        <v>17</v>
      </c>
      <c r="B21" s="4" t="s">
        <v>35</v>
      </c>
      <c r="C21" s="8">
        <v>40068</v>
      </c>
      <c r="D21" s="4" t="s">
        <v>68</v>
      </c>
      <c r="E21" s="5" t="s">
        <v>162</v>
      </c>
      <c r="F21" s="4">
        <v>10254</v>
      </c>
      <c r="G21" s="5">
        <f t="shared" si="1"/>
        <v>952.62736199999995</v>
      </c>
      <c r="H21" s="6" t="s">
        <v>119</v>
      </c>
      <c r="I21" s="5">
        <v>0</v>
      </c>
      <c r="J21" s="4">
        <v>0</v>
      </c>
      <c r="K21" s="4">
        <v>0</v>
      </c>
      <c r="L21" s="4">
        <v>0</v>
      </c>
      <c r="M21" s="4">
        <v>0</v>
      </c>
      <c r="N21" s="5">
        <f>$G21*6.5/12</f>
        <v>516.00648775000002</v>
      </c>
      <c r="O21" s="5">
        <f>$G21</f>
        <v>952.62736199999995</v>
      </c>
      <c r="P21" s="5">
        <f>$G21</f>
        <v>952.62736199999995</v>
      </c>
      <c r="Q21" s="5">
        <f t="shared" si="3"/>
        <v>952.62736199999995</v>
      </c>
      <c r="R21" s="5">
        <f t="shared" si="3"/>
        <v>952.62736199999995</v>
      </c>
      <c r="S21" s="5">
        <f t="shared" si="3"/>
        <v>952.62736199999995</v>
      </c>
      <c r="T21" s="5">
        <f t="shared" si="3"/>
        <v>952.62736199999995</v>
      </c>
      <c r="U21" s="5">
        <f t="shared" si="3"/>
        <v>952.62736199999995</v>
      </c>
      <c r="V21" s="5">
        <f t="shared" si="4"/>
        <v>952.62736199999995</v>
      </c>
      <c r="W21" s="15"/>
      <c r="X21" s="5"/>
      <c r="Y21" s="5"/>
      <c r="Z21" s="5"/>
      <c r="AA21" s="5"/>
      <c r="AB21" s="5"/>
      <c r="AC21" s="5"/>
      <c r="AD21" s="5"/>
      <c r="AE21" s="5"/>
      <c r="AF21" s="5"/>
      <c r="AG21" s="5"/>
      <c r="AH21" s="5"/>
      <c r="AI21" s="5"/>
      <c r="AJ21" s="5"/>
      <c r="AK21" s="5"/>
      <c r="AL21" s="5"/>
      <c r="AM21" s="5"/>
      <c r="AN21" s="5"/>
      <c r="AO21" s="5"/>
      <c r="AP21" s="5"/>
      <c r="AQ21" s="5"/>
    </row>
    <row r="22" spans="1:43" ht="45" x14ac:dyDescent="0.25">
      <c r="A22" s="3" t="s">
        <v>1</v>
      </c>
      <c r="B22" s="4" t="s">
        <v>36</v>
      </c>
      <c r="C22" s="7">
        <v>40422</v>
      </c>
      <c r="D22" s="4" t="s">
        <v>68</v>
      </c>
      <c r="E22" s="5" t="s">
        <v>162</v>
      </c>
      <c r="F22" s="4">
        <v>33488</v>
      </c>
      <c r="G22" s="5">
        <f t="shared" si="1"/>
        <v>3111.1356639999999</v>
      </c>
      <c r="H22" s="6" t="s">
        <v>158</v>
      </c>
      <c r="I22" s="5">
        <v>0</v>
      </c>
      <c r="J22" s="4">
        <v>0</v>
      </c>
      <c r="K22" s="4">
        <v>0</v>
      </c>
      <c r="L22" s="4">
        <v>0</v>
      </c>
      <c r="M22" s="4">
        <v>0</v>
      </c>
      <c r="N22" s="4">
        <v>0</v>
      </c>
      <c r="O22" s="5">
        <f>G22*7/12</f>
        <v>1814.8291373333332</v>
      </c>
      <c r="P22" s="5">
        <f>$G22</f>
        <v>3111.1356639999999</v>
      </c>
      <c r="Q22" s="5">
        <f t="shared" si="3"/>
        <v>3111.1356639999999</v>
      </c>
      <c r="R22" s="5">
        <f t="shared" si="3"/>
        <v>3111.1356639999999</v>
      </c>
      <c r="S22" s="5">
        <f t="shared" si="3"/>
        <v>3111.1356639999999</v>
      </c>
      <c r="T22" s="5">
        <f t="shared" si="3"/>
        <v>3111.1356639999999</v>
      </c>
      <c r="U22" s="5">
        <f t="shared" si="3"/>
        <v>3111.1356639999999</v>
      </c>
      <c r="V22" s="5">
        <f t="shared" si="4"/>
        <v>3111.1356639999999</v>
      </c>
      <c r="W22" s="15"/>
      <c r="X22" s="5"/>
      <c r="Y22" s="5"/>
      <c r="Z22" s="5"/>
      <c r="AA22" s="5"/>
      <c r="AB22" s="5"/>
      <c r="AC22" s="5"/>
      <c r="AD22" s="5"/>
      <c r="AE22" s="5"/>
      <c r="AF22" s="5"/>
      <c r="AG22" s="5"/>
      <c r="AH22" s="5"/>
      <c r="AI22" s="5"/>
      <c r="AJ22" s="5"/>
      <c r="AK22" s="5"/>
      <c r="AL22" s="5"/>
      <c r="AM22" s="5"/>
      <c r="AN22" s="5"/>
      <c r="AO22" s="5"/>
      <c r="AP22" s="5"/>
      <c r="AQ22" s="5"/>
    </row>
    <row r="23" spans="1:43" ht="75" x14ac:dyDescent="0.25">
      <c r="A23" s="3" t="s">
        <v>96</v>
      </c>
      <c r="B23" s="4" t="s">
        <v>109</v>
      </c>
      <c r="C23" s="7">
        <v>40634</v>
      </c>
      <c r="D23" s="4" t="s">
        <v>68</v>
      </c>
      <c r="E23" s="5" t="s">
        <v>162</v>
      </c>
      <c r="F23" s="4">
        <v>149315</v>
      </c>
      <c r="G23" s="5">
        <f t="shared" si="1"/>
        <v>13871.811444999999</v>
      </c>
      <c r="H23" s="6" t="s">
        <v>159</v>
      </c>
      <c r="I23" s="5">
        <v>0</v>
      </c>
      <c r="J23" s="4">
        <v>0</v>
      </c>
      <c r="K23" s="4">
        <v>0</v>
      </c>
      <c r="L23" s="4">
        <v>0</v>
      </c>
      <c r="M23" s="4">
        <v>0</v>
      </c>
      <c r="N23" s="4">
        <v>0</v>
      </c>
      <c r="O23" s="4">
        <v>0</v>
      </c>
      <c r="P23" s="5">
        <f>$G23</f>
        <v>13871.811444999999</v>
      </c>
      <c r="Q23" s="5">
        <f t="shared" si="3"/>
        <v>13871.811444999999</v>
      </c>
      <c r="R23" s="5">
        <f t="shared" si="3"/>
        <v>13871.811444999999</v>
      </c>
      <c r="S23" s="5">
        <f t="shared" si="3"/>
        <v>13871.811444999999</v>
      </c>
      <c r="T23" s="5">
        <f t="shared" si="3"/>
        <v>13871.811444999999</v>
      </c>
      <c r="U23" s="5">
        <f t="shared" si="3"/>
        <v>13871.811444999999</v>
      </c>
      <c r="V23" s="5">
        <f t="shared" si="4"/>
        <v>13871.811444999999</v>
      </c>
      <c r="W23" s="15"/>
      <c r="X23" s="5"/>
      <c r="Y23" s="5"/>
      <c r="Z23" s="5"/>
      <c r="AA23" s="5"/>
      <c r="AB23" s="5"/>
      <c r="AC23" s="5"/>
      <c r="AD23" s="5"/>
      <c r="AE23" s="5"/>
      <c r="AF23" s="5"/>
      <c r="AG23" s="5"/>
      <c r="AH23" s="5"/>
      <c r="AI23" s="5"/>
      <c r="AJ23" s="5"/>
      <c r="AK23" s="5"/>
      <c r="AL23" s="5"/>
      <c r="AM23" s="5"/>
      <c r="AN23" s="5"/>
      <c r="AO23" s="5"/>
      <c r="AP23" s="5"/>
      <c r="AQ23" s="5"/>
    </row>
    <row r="24" spans="1:43" ht="30" x14ac:dyDescent="0.25">
      <c r="A24" s="3" t="s">
        <v>56</v>
      </c>
      <c r="B24" s="4" t="s">
        <v>57</v>
      </c>
      <c r="C24" s="8">
        <v>41807</v>
      </c>
      <c r="D24" s="4" t="s">
        <v>68</v>
      </c>
      <c r="E24" s="5" t="s">
        <v>162</v>
      </c>
      <c r="F24" s="4">
        <v>189000</v>
      </c>
      <c r="G24" s="5">
        <f t="shared" si="1"/>
        <v>17558.667000000001</v>
      </c>
      <c r="H24" s="6" t="s">
        <v>157</v>
      </c>
      <c r="I24" s="5">
        <v>0</v>
      </c>
      <c r="J24" s="4">
        <v>0</v>
      </c>
      <c r="K24" s="4">
        <v>0</v>
      </c>
      <c r="L24" s="4">
        <v>0</v>
      </c>
      <c r="M24" s="4">
        <v>0</v>
      </c>
      <c r="N24" s="4">
        <v>0</v>
      </c>
      <c r="O24" s="4">
        <v>0</v>
      </c>
      <c r="P24" s="4">
        <v>0</v>
      </c>
      <c r="Q24" s="4">
        <v>0</v>
      </c>
      <c r="R24" s="4">
        <v>0</v>
      </c>
      <c r="S24" s="5">
        <f>$G24*9.5/12</f>
        <v>13900.611375</v>
      </c>
      <c r="T24" s="5">
        <f t="shared" ref="T24:U27" si="5">$G24</f>
        <v>17558.667000000001</v>
      </c>
      <c r="U24" s="5">
        <f t="shared" si="5"/>
        <v>17558.667000000001</v>
      </c>
      <c r="V24" s="5">
        <f t="shared" si="4"/>
        <v>17558.667000000001</v>
      </c>
      <c r="W24" s="15"/>
      <c r="X24" s="5"/>
      <c r="Y24" s="5"/>
      <c r="Z24" s="5"/>
      <c r="AA24" s="5"/>
      <c r="AB24" s="5"/>
      <c r="AC24" s="5"/>
      <c r="AD24" s="5"/>
      <c r="AE24" s="5"/>
      <c r="AF24" s="5"/>
      <c r="AG24" s="5"/>
      <c r="AH24" s="5"/>
      <c r="AI24" s="5"/>
      <c r="AJ24" s="5"/>
      <c r="AK24" s="5"/>
      <c r="AL24" s="5"/>
      <c r="AM24" s="5"/>
      <c r="AN24" s="5"/>
      <c r="AO24" s="5"/>
      <c r="AP24" s="5"/>
      <c r="AQ24" s="5"/>
    </row>
    <row r="25" spans="1:43" ht="150" x14ac:dyDescent="0.25">
      <c r="A25" s="3" t="s">
        <v>58</v>
      </c>
      <c r="B25" s="4" t="s">
        <v>59</v>
      </c>
      <c r="C25" s="4">
        <v>2012</v>
      </c>
      <c r="D25" s="4" t="s">
        <v>120</v>
      </c>
      <c r="E25" s="5" t="s">
        <v>162</v>
      </c>
      <c r="F25" s="4">
        <v>2914</v>
      </c>
      <c r="G25" s="5">
        <f t="shared" si="1"/>
        <v>270.71934199999998</v>
      </c>
      <c r="H25" s="4" t="s">
        <v>121</v>
      </c>
      <c r="I25" s="5">
        <f>0</f>
        <v>0</v>
      </c>
      <c r="J25" s="4">
        <v>0</v>
      </c>
      <c r="K25" s="4">
        <v>0</v>
      </c>
      <c r="L25" s="4">
        <v>0</v>
      </c>
      <c r="M25" s="4">
        <v>0</v>
      </c>
      <c r="N25" s="4">
        <v>0</v>
      </c>
      <c r="O25" s="4">
        <v>0</v>
      </c>
      <c r="P25" s="4">
        <v>0</v>
      </c>
      <c r="Q25" s="5">
        <f>$G25*9/12</f>
        <v>203.03950649999999</v>
      </c>
      <c r="R25" s="5">
        <f t="shared" ref="R25:S27" si="6">$G25</f>
        <v>270.71934199999998</v>
      </c>
      <c r="S25" s="5">
        <f t="shared" si="6"/>
        <v>270.71934199999998</v>
      </c>
      <c r="T25" s="5">
        <f t="shared" si="5"/>
        <v>270.71934199999998</v>
      </c>
      <c r="U25" s="5">
        <f t="shared" si="5"/>
        <v>270.71934199999998</v>
      </c>
      <c r="V25" s="5">
        <f t="shared" si="4"/>
        <v>270.71934199999998</v>
      </c>
      <c r="W25" s="15"/>
      <c r="X25" s="5"/>
      <c r="Y25" s="5"/>
      <c r="Z25" s="5"/>
      <c r="AA25" s="5"/>
      <c r="AB25" s="5"/>
      <c r="AC25" s="5"/>
      <c r="AD25" s="5"/>
      <c r="AE25" s="5"/>
      <c r="AF25" s="5"/>
      <c r="AG25" s="5"/>
      <c r="AH25" s="5"/>
      <c r="AI25" s="5"/>
      <c r="AJ25" s="5"/>
      <c r="AK25" s="5"/>
      <c r="AL25" s="5"/>
      <c r="AM25" s="5"/>
      <c r="AN25" s="5"/>
      <c r="AO25" s="5"/>
      <c r="AP25" s="5"/>
      <c r="AQ25" s="5"/>
    </row>
    <row r="26" spans="1:43" ht="120" x14ac:dyDescent="0.25">
      <c r="A26" s="3" t="s">
        <v>76</v>
      </c>
      <c r="B26" s="4" t="s">
        <v>110</v>
      </c>
      <c r="C26" s="4" t="s">
        <v>111</v>
      </c>
      <c r="D26" s="4" t="s">
        <v>68</v>
      </c>
      <c r="E26" s="5" t="s">
        <v>162</v>
      </c>
      <c r="F26" s="4">
        <v>1189</v>
      </c>
      <c r="G26" s="5">
        <f t="shared" si="1"/>
        <v>110.46166700000001</v>
      </c>
      <c r="H26" s="4" t="s">
        <v>122</v>
      </c>
      <c r="I26" s="5">
        <v>0</v>
      </c>
      <c r="J26" s="4">
        <v>0</v>
      </c>
      <c r="K26" s="4">
        <v>0</v>
      </c>
      <c r="L26" s="4">
        <v>0</v>
      </c>
      <c r="M26" s="5">
        <f>$G26</f>
        <v>110.46166700000001</v>
      </c>
      <c r="N26" s="5">
        <f>$G26</f>
        <v>110.46166700000001</v>
      </c>
      <c r="O26" s="5">
        <f>$G26</f>
        <v>110.46166700000001</v>
      </c>
      <c r="P26" s="5">
        <f>$G26</f>
        <v>110.46166700000001</v>
      </c>
      <c r="Q26" s="5">
        <f>$G26</f>
        <v>110.46166700000001</v>
      </c>
      <c r="R26" s="5">
        <f t="shared" si="6"/>
        <v>110.46166700000001</v>
      </c>
      <c r="S26" s="5">
        <f t="shared" si="6"/>
        <v>110.46166700000001</v>
      </c>
      <c r="T26" s="5">
        <f t="shared" si="5"/>
        <v>110.46166700000001</v>
      </c>
      <c r="U26" s="5">
        <f t="shared" si="5"/>
        <v>110.46166700000001</v>
      </c>
      <c r="V26" s="5">
        <f t="shared" si="4"/>
        <v>110.46166700000001</v>
      </c>
      <c r="W26" s="15"/>
      <c r="X26" s="5"/>
      <c r="Y26" s="5"/>
      <c r="Z26" s="5"/>
      <c r="AA26" s="5"/>
      <c r="AB26" s="5"/>
      <c r="AC26" s="5"/>
      <c r="AD26" s="5"/>
      <c r="AE26" s="5"/>
      <c r="AF26" s="5"/>
      <c r="AG26" s="5"/>
      <c r="AH26" s="5"/>
      <c r="AI26" s="5"/>
      <c r="AJ26" s="5"/>
      <c r="AK26" s="5"/>
      <c r="AL26" s="5"/>
      <c r="AM26" s="5"/>
      <c r="AN26" s="5"/>
      <c r="AO26" s="5"/>
      <c r="AP26" s="5"/>
      <c r="AQ26" s="5"/>
    </row>
    <row r="27" spans="1:43" ht="45" x14ac:dyDescent="0.25">
      <c r="A27" s="3" t="s">
        <v>66</v>
      </c>
      <c r="B27" s="4" t="s">
        <v>67</v>
      </c>
      <c r="C27" s="8">
        <v>40837</v>
      </c>
      <c r="D27" s="4" t="s">
        <v>68</v>
      </c>
      <c r="E27" s="5" t="s">
        <v>162</v>
      </c>
      <c r="F27" s="4">
        <v>680</v>
      </c>
      <c r="G27" s="5">
        <f t="shared" si="1"/>
        <v>63.174039999999998</v>
      </c>
      <c r="H27" s="4" t="s">
        <v>152</v>
      </c>
      <c r="I27" s="5">
        <v>0</v>
      </c>
      <c r="J27" s="4">
        <v>0</v>
      </c>
      <c r="K27" s="4">
        <v>0</v>
      </c>
      <c r="L27" s="4">
        <v>0</v>
      </c>
      <c r="M27" s="4">
        <v>0</v>
      </c>
      <c r="N27" s="4">
        <v>0</v>
      </c>
      <c r="O27" s="4">
        <v>0</v>
      </c>
      <c r="P27" s="5">
        <f>$G27*6.5/12</f>
        <v>34.219271666666664</v>
      </c>
      <c r="Q27" s="5">
        <f>$G27</f>
        <v>63.174039999999998</v>
      </c>
      <c r="R27" s="5">
        <f t="shared" si="6"/>
        <v>63.174039999999998</v>
      </c>
      <c r="S27" s="5">
        <f t="shared" si="6"/>
        <v>63.174039999999998</v>
      </c>
      <c r="T27" s="5">
        <f t="shared" si="5"/>
        <v>63.174039999999998</v>
      </c>
      <c r="U27" s="5">
        <f t="shared" si="5"/>
        <v>63.174039999999998</v>
      </c>
      <c r="V27" s="5">
        <f t="shared" si="4"/>
        <v>63.174039999999998</v>
      </c>
      <c r="W27" s="15"/>
      <c r="X27" s="5"/>
      <c r="Y27" s="5"/>
      <c r="Z27" s="5"/>
      <c r="AA27" s="5"/>
      <c r="AB27" s="5"/>
      <c r="AC27" s="5"/>
      <c r="AD27" s="5"/>
      <c r="AE27" s="5"/>
      <c r="AF27" s="5"/>
      <c r="AG27" s="5"/>
      <c r="AH27" s="5"/>
      <c r="AI27" s="5"/>
      <c r="AJ27" s="5"/>
      <c r="AK27" s="5"/>
      <c r="AL27" s="5"/>
      <c r="AM27" s="5"/>
      <c r="AN27" s="5"/>
      <c r="AO27" s="5"/>
      <c r="AP27" s="5"/>
      <c r="AQ27" s="5"/>
    </row>
    <row r="28" spans="1:43" ht="90" x14ac:dyDescent="0.25">
      <c r="A28" s="3" t="s">
        <v>3</v>
      </c>
      <c r="B28" s="4" t="s">
        <v>38</v>
      </c>
      <c r="C28" s="4">
        <v>2004</v>
      </c>
      <c r="D28" s="4" t="s">
        <v>123</v>
      </c>
      <c r="E28" s="5" t="s">
        <v>163</v>
      </c>
      <c r="F28" s="4">
        <v>8000</v>
      </c>
      <c r="G28" s="5">
        <f>F28*0.092903</f>
        <v>743.22400000000005</v>
      </c>
      <c r="H28" s="4" t="s">
        <v>124</v>
      </c>
      <c r="I28" s="5">
        <v>0</v>
      </c>
      <c r="J28" s="5">
        <f t="shared" ref="J28:U33" si="7">$G28</f>
        <v>743.22400000000005</v>
      </c>
      <c r="K28" s="5">
        <f t="shared" si="7"/>
        <v>743.22400000000005</v>
      </c>
      <c r="L28" s="5">
        <f t="shared" si="7"/>
        <v>743.22400000000005</v>
      </c>
      <c r="M28" s="5">
        <f t="shared" si="7"/>
        <v>743.22400000000005</v>
      </c>
      <c r="N28" s="5">
        <f t="shared" si="7"/>
        <v>743.22400000000005</v>
      </c>
      <c r="O28" s="5">
        <f t="shared" si="7"/>
        <v>743.22400000000005</v>
      </c>
      <c r="P28" s="5">
        <f t="shared" si="7"/>
        <v>743.22400000000005</v>
      </c>
      <c r="Q28" s="5">
        <f t="shared" si="7"/>
        <v>743.22400000000005</v>
      </c>
      <c r="R28" s="5">
        <f t="shared" si="7"/>
        <v>743.22400000000005</v>
      </c>
      <c r="S28" s="5">
        <f t="shared" si="7"/>
        <v>743.22400000000005</v>
      </c>
      <c r="T28" s="5">
        <f t="shared" si="7"/>
        <v>743.22400000000005</v>
      </c>
      <c r="U28" s="5">
        <f>$G28*8/12</f>
        <v>495.48266666666672</v>
      </c>
      <c r="V28" s="5">
        <f t="shared" si="4"/>
        <v>743.22400000000005</v>
      </c>
      <c r="W28" s="15"/>
      <c r="X28" s="5"/>
      <c r="Y28" s="5"/>
      <c r="Z28" s="5"/>
      <c r="AA28" s="5"/>
      <c r="AB28" s="5"/>
      <c r="AC28" s="5"/>
      <c r="AD28" s="5"/>
      <c r="AE28" s="5"/>
      <c r="AF28" s="5"/>
      <c r="AG28" s="5"/>
      <c r="AH28" s="5"/>
      <c r="AI28" s="5"/>
      <c r="AJ28" s="5"/>
      <c r="AK28" s="5"/>
      <c r="AL28" s="5"/>
      <c r="AM28" s="5"/>
      <c r="AN28" s="5"/>
      <c r="AO28" s="5"/>
      <c r="AP28" s="5"/>
      <c r="AQ28" s="5"/>
    </row>
    <row r="29" spans="1:43" ht="120" x14ac:dyDescent="0.25">
      <c r="A29" s="3" t="s">
        <v>97</v>
      </c>
      <c r="B29" s="4" t="s">
        <v>126</v>
      </c>
      <c r="C29" s="4">
        <v>2005</v>
      </c>
      <c r="D29" s="7">
        <v>40179</v>
      </c>
      <c r="E29" s="5" t="s">
        <v>163</v>
      </c>
      <c r="F29" s="4">
        <v>3672</v>
      </c>
      <c r="G29" s="5">
        <f t="shared" ref="G29:G58" si="8">F29*0.092903</f>
        <v>341.139816</v>
      </c>
      <c r="H29" s="4" t="s">
        <v>125</v>
      </c>
      <c r="I29" s="5">
        <v>0</v>
      </c>
      <c r="J29" s="5">
        <f t="shared" si="7"/>
        <v>341.139816</v>
      </c>
      <c r="K29" s="5">
        <f t="shared" si="7"/>
        <v>341.139816</v>
      </c>
      <c r="L29" s="5">
        <f t="shared" si="7"/>
        <v>341.139816</v>
      </c>
      <c r="M29" s="5">
        <f t="shared" si="7"/>
        <v>341.139816</v>
      </c>
      <c r="N29" s="5">
        <f>$G29*8/12</f>
        <v>227.42654400000001</v>
      </c>
      <c r="O29" s="4">
        <v>0</v>
      </c>
      <c r="P29" s="5">
        <v>0</v>
      </c>
      <c r="Q29" s="5">
        <v>0</v>
      </c>
      <c r="R29" s="5">
        <v>0</v>
      </c>
      <c r="S29" s="5">
        <v>0</v>
      </c>
      <c r="T29" s="5">
        <v>0</v>
      </c>
      <c r="U29" s="5">
        <v>0</v>
      </c>
      <c r="V29" s="5">
        <v>0</v>
      </c>
      <c r="W29" s="15"/>
      <c r="X29" s="5"/>
      <c r="Y29" s="5"/>
      <c r="Z29" s="5"/>
      <c r="AA29" s="5"/>
      <c r="AB29" s="5"/>
      <c r="AC29" s="5"/>
      <c r="AD29" s="5"/>
      <c r="AE29" s="5"/>
      <c r="AF29" s="5"/>
      <c r="AG29" s="5"/>
      <c r="AH29" s="5"/>
      <c r="AI29" s="5"/>
      <c r="AJ29" s="5"/>
      <c r="AK29" s="5"/>
      <c r="AL29" s="5"/>
      <c r="AM29" s="5"/>
      <c r="AN29" s="5"/>
      <c r="AO29" s="5"/>
      <c r="AP29" s="5"/>
      <c r="AQ29" s="5"/>
    </row>
    <row r="30" spans="1:43" ht="90" x14ac:dyDescent="0.25">
      <c r="A30" s="3" t="s">
        <v>98</v>
      </c>
      <c r="B30" s="4" t="s">
        <v>127</v>
      </c>
      <c r="C30" s="4">
        <v>2005</v>
      </c>
      <c r="D30" s="4">
        <v>2012</v>
      </c>
      <c r="E30" s="5" t="s">
        <v>163</v>
      </c>
      <c r="F30" s="4">
        <v>8833</v>
      </c>
      <c r="G30" s="5">
        <f t="shared" si="8"/>
        <v>820.61219900000003</v>
      </c>
      <c r="H30" s="4" t="s">
        <v>128</v>
      </c>
      <c r="I30" s="5">
        <v>0</v>
      </c>
      <c r="J30" s="5">
        <f t="shared" si="7"/>
        <v>820.61219900000003</v>
      </c>
      <c r="K30" s="5">
        <f t="shared" si="7"/>
        <v>820.61219900000003</v>
      </c>
      <c r="L30" s="5">
        <f t="shared" si="7"/>
        <v>820.61219900000003</v>
      </c>
      <c r="M30" s="5">
        <f t="shared" si="7"/>
        <v>820.61219900000003</v>
      </c>
      <c r="N30" s="5">
        <f t="shared" si="7"/>
        <v>820.61219900000003</v>
      </c>
      <c r="O30" s="5">
        <f t="shared" si="7"/>
        <v>820.61219900000003</v>
      </c>
      <c r="P30" s="5">
        <f>$G30*8/12</f>
        <v>547.07479933333332</v>
      </c>
      <c r="Q30" s="5">
        <v>0</v>
      </c>
      <c r="R30" s="5">
        <v>0</v>
      </c>
      <c r="S30" s="5">
        <v>0</v>
      </c>
      <c r="T30" s="5">
        <v>0</v>
      </c>
      <c r="U30" s="5">
        <v>0</v>
      </c>
      <c r="V30" s="5">
        <v>0</v>
      </c>
      <c r="W30" s="15"/>
      <c r="X30" s="5"/>
      <c r="Y30" s="5"/>
      <c r="Z30" s="5"/>
      <c r="AA30" s="5"/>
      <c r="AB30" s="5"/>
      <c r="AC30" s="5"/>
      <c r="AD30" s="5"/>
      <c r="AE30" s="5"/>
      <c r="AF30" s="5"/>
      <c r="AG30" s="5"/>
      <c r="AH30" s="5"/>
      <c r="AI30" s="5"/>
      <c r="AJ30" s="5"/>
      <c r="AK30" s="5"/>
      <c r="AL30" s="5"/>
      <c r="AM30" s="5"/>
      <c r="AN30" s="5"/>
      <c r="AO30" s="5"/>
      <c r="AP30" s="5"/>
      <c r="AQ30" s="5"/>
    </row>
    <row r="31" spans="1:43" ht="345" x14ac:dyDescent="0.25">
      <c r="A31" s="3" t="s">
        <v>73</v>
      </c>
      <c r="B31" s="4" t="s">
        <v>129</v>
      </c>
      <c r="C31" s="4">
        <v>2005</v>
      </c>
      <c r="D31" s="4" t="s">
        <v>68</v>
      </c>
      <c r="E31" s="5" t="s">
        <v>163</v>
      </c>
      <c r="F31" s="4">
        <v>3500</v>
      </c>
      <c r="G31" s="5">
        <f t="shared" si="8"/>
        <v>325.16050000000001</v>
      </c>
      <c r="H31" s="4" t="s">
        <v>142</v>
      </c>
      <c r="I31" s="5">
        <v>0</v>
      </c>
      <c r="J31" s="5">
        <f t="shared" si="7"/>
        <v>325.16050000000001</v>
      </c>
      <c r="K31" s="5">
        <f t="shared" si="7"/>
        <v>325.16050000000001</v>
      </c>
      <c r="L31" s="5">
        <f t="shared" si="7"/>
        <v>325.16050000000001</v>
      </c>
      <c r="M31" s="5">
        <f t="shared" si="7"/>
        <v>325.16050000000001</v>
      </c>
      <c r="N31" s="5">
        <f t="shared" si="7"/>
        <v>325.16050000000001</v>
      </c>
      <c r="O31" s="5">
        <f t="shared" si="7"/>
        <v>325.16050000000001</v>
      </c>
      <c r="P31" s="5">
        <f t="shared" si="7"/>
        <v>325.16050000000001</v>
      </c>
      <c r="Q31" s="5">
        <f t="shared" si="7"/>
        <v>325.16050000000001</v>
      </c>
      <c r="R31" s="5">
        <f t="shared" si="7"/>
        <v>325.16050000000001</v>
      </c>
      <c r="S31" s="5">
        <f t="shared" si="7"/>
        <v>325.16050000000001</v>
      </c>
      <c r="T31" s="5">
        <f t="shared" si="7"/>
        <v>325.16050000000001</v>
      </c>
      <c r="U31" s="5">
        <f t="shared" si="7"/>
        <v>325.16050000000001</v>
      </c>
      <c r="V31" s="5">
        <f t="shared" si="4"/>
        <v>325.16050000000001</v>
      </c>
      <c r="W31" s="15"/>
      <c r="X31" s="5"/>
      <c r="Y31" s="5"/>
      <c r="Z31" s="5"/>
      <c r="AA31" s="5"/>
      <c r="AB31" s="5"/>
      <c r="AC31" s="5"/>
      <c r="AD31" s="5"/>
      <c r="AE31" s="5"/>
      <c r="AF31" s="5"/>
      <c r="AG31" s="5"/>
      <c r="AH31" s="5"/>
      <c r="AI31" s="5"/>
      <c r="AJ31" s="5"/>
      <c r="AK31" s="5"/>
      <c r="AL31" s="5"/>
      <c r="AM31" s="5"/>
      <c r="AN31" s="5"/>
      <c r="AO31" s="5"/>
      <c r="AP31" s="5"/>
      <c r="AQ31" s="5"/>
    </row>
    <row r="32" spans="1:43" ht="165" x14ac:dyDescent="0.25">
      <c r="A32" s="3" t="s">
        <v>22</v>
      </c>
      <c r="B32" s="4" t="s">
        <v>112</v>
      </c>
      <c r="C32" s="4">
        <v>2003</v>
      </c>
      <c r="D32" s="4">
        <v>2008</v>
      </c>
      <c r="E32" s="5" t="s">
        <v>163</v>
      </c>
      <c r="F32" s="4">
        <v>26363</v>
      </c>
      <c r="G32" s="5">
        <f t="shared" si="8"/>
        <v>2449.2017890000002</v>
      </c>
      <c r="H32" s="4" t="s">
        <v>148</v>
      </c>
      <c r="I32" s="5">
        <v>0</v>
      </c>
      <c r="J32" s="5">
        <f t="shared" si="7"/>
        <v>2449.2017890000002</v>
      </c>
      <c r="K32" s="5">
        <f t="shared" si="7"/>
        <v>2449.2017890000002</v>
      </c>
      <c r="L32" s="5">
        <f t="shared" si="7"/>
        <v>2449.2017890000002</v>
      </c>
      <c r="M32" s="5">
        <f>$G32*8/12</f>
        <v>1632.8011926666668</v>
      </c>
      <c r="N32" s="4">
        <v>0</v>
      </c>
      <c r="O32" s="4">
        <v>0</v>
      </c>
      <c r="P32" s="5">
        <v>0</v>
      </c>
      <c r="Q32" s="5">
        <v>0</v>
      </c>
      <c r="R32" s="5">
        <v>0</v>
      </c>
      <c r="S32" s="5">
        <v>0</v>
      </c>
      <c r="T32" s="5">
        <v>0</v>
      </c>
      <c r="U32" s="5">
        <v>0</v>
      </c>
      <c r="V32" s="5">
        <v>0</v>
      </c>
      <c r="W32" s="15"/>
      <c r="X32" s="5"/>
      <c r="Y32" s="5"/>
      <c r="Z32" s="5"/>
      <c r="AA32" s="5"/>
      <c r="AB32" s="5"/>
      <c r="AC32" s="5"/>
      <c r="AD32" s="5"/>
      <c r="AE32" s="5"/>
      <c r="AF32" s="5"/>
      <c r="AG32" s="5"/>
      <c r="AH32" s="5"/>
      <c r="AI32" s="5"/>
      <c r="AJ32" s="5"/>
      <c r="AK32" s="5"/>
      <c r="AL32" s="5"/>
      <c r="AM32" s="5"/>
      <c r="AN32" s="5"/>
      <c r="AO32" s="5"/>
      <c r="AP32" s="5"/>
      <c r="AQ32" s="5"/>
    </row>
    <row r="33" spans="1:43" ht="165" x14ac:dyDescent="0.25">
      <c r="A33" s="3" t="s">
        <v>23</v>
      </c>
      <c r="B33" s="4" t="s">
        <v>42</v>
      </c>
      <c r="C33" s="4">
        <v>2001</v>
      </c>
      <c r="D33" s="8">
        <v>41425</v>
      </c>
      <c r="E33" s="5" t="s">
        <v>163</v>
      </c>
      <c r="F33" s="4">
        <v>1965</v>
      </c>
      <c r="G33" s="5">
        <f t="shared" si="8"/>
        <v>182.554395</v>
      </c>
      <c r="H33" s="4" t="s">
        <v>130</v>
      </c>
      <c r="I33" s="5">
        <v>0</v>
      </c>
      <c r="J33" s="5">
        <f t="shared" si="7"/>
        <v>182.554395</v>
      </c>
      <c r="K33" s="5">
        <f t="shared" si="7"/>
        <v>182.554395</v>
      </c>
      <c r="L33" s="5">
        <f t="shared" si="7"/>
        <v>182.554395</v>
      </c>
      <c r="M33" s="5">
        <f t="shared" si="7"/>
        <v>182.554395</v>
      </c>
      <c r="N33" s="5">
        <f t="shared" si="7"/>
        <v>182.554395</v>
      </c>
      <c r="O33" s="5">
        <f t="shared" si="7"/>
        <v>182.554395</v>
      </c>
      <c r="P33" s="5">
        <f t="shared" si="7"/>
        <v>182.554395</v>
      </c>
      <c r="Q33" s="5">
        <f t="shared" si="7"/>
        <v>182.554395</v>
      </c>
      <c r="R33" s="5">
        <f>$G33*2/12</f>
        <v>30.425732499999999</v>
      </c>
      <c r="S33" s="5">
        <v>0</v>
      </c>
      <c r="T33" s="5">
        <v>0</v>
      </c>
      <c r="U33" s="5">
        <v>0</v>
      </c>
      <c r="V33" s="5">
        <v>0</v>
      </c>
      <c r="W33" s="15"/>
      <c r="X33" s="5"/>
      <c r="Y33" s="5"/>
      <c r="Z33" s="5"/>
      <c r="AA33" s="5"/>
      <c r="AB33" s="5"/>
      <c r="AC33" s="5"/>
      <c r="AD33" s="5"/>
      <c r="AE33" s="5"/>
      <c r="AF33" s="5"/>
      <c r="AG33" s="5"/>
      <c r="AH33" s="5"/>
      <c r="AI33" s="5"/>
      <c r="AJ33" s="5"/>
      <c r="AK33" s="5"/>
      <c r="AL33" s="5"/>
      <c r="AM33" s="5"/>
      <c r="AN33" s="5"/>
      <c r="AO33" s="5"/>
      <c r="AP33" s="5"/>
      <c r="AQ33" s="5"/>
    </row>
    <row r="34" spans="1:43" ht="135" x14ac:dyDescent="0.25">
      <c r="A34" s="9" t="s">
        <v>99</v>
      </c>
      <c r="B34" s="10" t="s">
        <v>40</v>
      </c>
      <c r="C34" s="10">
        <v>2009</v>
      </c>
      <c r="D34" s="10">
        <v>2010</v>
      </c>
      <c r="E34" s="5" t="s">
        <v>163</v>
      </c>
      <c r="F34" s="10">
        <v>5500</v>
      </c>
      <c r="G34" s="11">
        <f t="shared" si="8"/>
        <v>510.9665</v>
      </c>
      <c r="H34" s="10" t="s">
        <v>131</v>
      </c>
      <c r="I34" s="11">
        <v>0</v>
      </c>
      <c r="J34" s="10">
        <v>0</v>
      </c>
      <c r="K34" s="10">
        <v>0</v>
      </c>
      <c r="L34" s="10">
        <v>0</v>
      </c>
      <c r="M34" s="11">
        <f>$G34*4/12</f>
        <v>170.32216666666667</v>
      </c>
      <c r="N34" s="11">
        <f>$G34*8/12</f>
        <v>340.64433333333335</v>
      </c>
      <c r="O34" s="10">
        <v>0</v>
      </c>
      <c r="P34" s="11">
        <v>0</v>
      </c>
      <c r="Q34" s="11">
        <v>0</v>
      </c>
      <c r="R34" s="11">
        <v>0</v>
      </c>
      <c r="S34" s="11">
        <v>0</v>
      </c>
      <c r="T34" s="11">
        <v>0</v>
      </c>
      <c r="U34" s="11">
        <v>0</v>
      </c>
      <c r="V34" s="5">
        <v>0</v>
      </c>
      <c r="W34" s="15"/>
      <c r="X34" s="5"/>
      <c r="Y34" s="5"/>
      <c r="Z34" s="5"/>
      <c r="AA34" s="5"/>
      <c r="AB34" s="5"/>
      <c r="AC34" s="5"/>
      <c r="AD34" s="5"/>
      <c r="AE34" s="5"/>
      <c r="AF34" s="5"/>
      <c r="AG34" s="5"/>
      <c r="AH34" s="5"/>
      <c r="AI34" s="5"/>
      <c r="AJ34" s="5"/>
      <c r="AK34" s="5"/>
      <c r="AL34" s="5"/>
      <c r="AM34" s="5"/>
      <c r="AN34" s="5"/>
      <c r="AO34" s="5"/>
      <c r="AP34" s="5"/>
      <c r="AQ34" s="5"/>
    </row>
    <row r="35" spans="1:43" ht="135" x14ac:dyDescent="0.25">
      <c r="A35" s="9" t="s">
        <v>100</v>
      </c>
      <c r="B35" s="10" t="s">
        <v>40</v>
      </c>
      <c r="C35" s="10">
        <v>2009</v>
      </c>
      <c r="D35" s="10">
        <v>2010</v>
      </c>
      <c r="E35" s="5" t="s">
        <v>163</v>
      </c>
      <c r="F35" s="10">
        <v>3200</v>
      </c>
      <c r="G35" s="11">
        <f t="shared" si="8"/>
        <v>297.28960000000001</v>
      </c>
      <c r="H35" s="10" t="s">
        <v>131</v>
      </c>
      <c r="I35" s="11">
        <v>0</v>
      </c>
      <c r="J35" s="10">
        <v>0</v>
      </c>
      <c r="K35" s="10">
        <v>0</v>
      </c>
      <c r="L35" s="10">
        <v>0</v>
      </c>
      <c r="M35" s="11">
        <f>$G35*4/12</f>
        <v>99.09653333333334</v>
      </c>
      <c r="N35" s="11">
        <f>$G35*8/12</f>
        <v>198.19306666666668</v>
      </c>
      <c r="O35" s="10">
        <v>0</v>
      </c>
      <c r="P35" s="11">
        <v>0</v>
      </c>
      <c r="Q35" s="11">
        <v>0</v>
      </c>
      <c r="R35" s="11">
        <v>0</v>
      </c>
      <c r="S35" s="11">
        <v>0</v>
      </c>
      <c r="T35" s="11">
        <v>0</v>
      </c>
      <c r="U35" s="11">
        <v>0</v>
      </c>
      <c r="V35" s="5">
        <v>0</v>
      </c>
      <c r="W35" s="15"/>
      <c r="X35" s="5"/>
      <c r="Y35" s="5"/>
      <c r="Z35" s="5"/>
      <c r="AA35" s="5"/>
      <c r="AB35" s="5"/>
      <c r="AC35" s="5"/>
      <c r="AD35" s="5"/>
      <c r="AE35" s="5"/>
      <c r="AF35" s="5"/>
      <c r="AG35" s="5"/>
      <c r="AH35" s="5"/>
      <c r="AI35" s="5"/>
      <c r="AJ35" s="5"/>
      <c r="AK35" s="5"/>
      <c r="AL35" s="5"/>
      <c r="AM35" s="5"/>
      <c r="AN35" s="5"/>
      <c r="AO35" s="5"/>
      <c r="AP35" s="5"/>
      <c r="AQ35" s="5"/>
    </row>
    <row r="36" spans="1:43" ht="75" x14ac:dyDescent="0.25">
      <c r="A36" s="9" t="s">
        <v>24</v>
      </c>
      <c r="B36" s="10" t="s">
        <v>41</v>
      </c>
      <c r="C36" s="10">
        <v>2005</v>
      </c>
      <c r="D36" s="10">
        <v>2009</v>
      </c>
      <c r="E36" s="5" t="s">
        <v>163</v>
      </c>
      <c r="F36" s="10">
        <v>6000</v>
      </c>
      <c r="G36" s="11">
        <f t="shared" si="8"/>
        <v>557.41800000000001</v>
      </c>
      <c r="H36" s="10" t="s">
        <v>132</v>
      </c>
      <c r="I36" s="11">
        <v>0</v>
      </c>
      <c r="J36" s="11">
        <f>$G36</f>
        <v>557.41800000000001</v>
      </c>
      <c r="K36" s="11">
        <f>$G36</f>
        <v>557.41800000000001</v>
      </c>
      <c r="L36" s="11">
        <f>$G36</f>
        <v>557.41800000000001</v>
      </c>
      <c r="M36" s="11">
        <f>$G36*8/12</f>
        <v>371.61200000000002</v>
      </c>
      <c r="N36" s="10">
        <v>0</v>
      </c>
      <c r="O36" s="10">
        <v>0</v>
      </c>
      <c r="P36" s="11">
        <v>0</v>
      </c>
      <c r="Q36" s="11">
        <v>0</v>
      </c>
      <c r="R36" s="11">
        <v>0</v>
      </c>
      <c r="S36" s="11">
        <v>0</v>
      </c>
      <c r="T36" s="11">
        <v>0</v>
      </c>
      <c r="U36" s="11">
        <v>0</v>
      </c>
      <c r="V36" s="5">
        <v>0</v>
      </c>
      <c r="W36" s="15"/>
      <c r="X36" s="5"/>
      <c r="Y36" s="5"/>
      <c r="Z36" s="5"/>
      <c r="AA36" s="5"/>
      <c r="AB36" s="5"/>
      <c r="AC36" s="5"/>
      <c r="AD36" s="5"/>
      <c r="AE36" s="5"/>
      <c r="AF36" s="5"/>
      <c r="AG36" s="5"/>
      <c r="AH36" s="5"/>
      <c r="AI36" s="5"/>
      <c r="AJ36" s="5"/>
      <c r="AK36" s="5"/>
      <c r="AL36" s="5"/>
      <c r="AM36" s="5"/>
      <c r="AN36" s="5"/>
      <c r="AO36" s="5"/>
      <c r="AP36" s="5"/>
      <c r="AQ36" s="5"/>
    </row>
    <row r="37" spans="1:43" ht="90" x14ac:dyDescent="0.25">
      <c r="A37" s="3" t="s">
        <v>43</v>
      </c>
      <c r="B37" s="4" t="s">
        <v>44</v>
      </c>
      <c r="C37" s="4">
        <v>2009</v>
      </c>
      <c r="D37" s="4" t="s">
        <v>68</v>
      </c>
      <c r="E37" s="5" t="s">
        <v>163</v>
      </c>
      <c r="F37" s="4">
        <v>1978</v>
      </c>
      <c r="G37" s="5">
        <f t="shared" si="8"/>
        <v>183.762134</v>
      </c>
      <c r="H37" s="4" t="s">
        <v>192</v>
      </c>
      <c r="I37" s="5">
        <v>0</v>
      </c>
      <c r="J37" s="4">
        <v>0</v>
      </c>
      <c r="K37" s="4">
        <v>0</v>
      </c>
      <c r="L37" s="4">
        <v>0</v>
      </c>
      <c r="M37" s="4">
        <v>0</v>
      </c>
      <c r="N37" s="5">
        <f>$G37*7/12</f>
        <v>107.19457816666666</v>
      </c>
      <c r="O37" s="5">
        <f t="shared" ref="O37:U43" si="9">$G37</f>
        <v>183.762134</v>
      </c>
      <c r="P37" s="5">
        <f t="shared" si="9"/>
        <v>183.762134</v>
      </c>
      <c r="Q37" s="5">
        <f t="shared" si="9"/>
        <v>183.762134</v>
      </c>
      <c r="R37" s="5">
        <f t="shared" si="9"/>
        <v>183.762134</v>
      </c>
      <c r="S37" s="5">
        <f t="shared" si="9"/>
        <v>183.762134</v>
      </c>
      <c r="T37" s="5">
        <f t="shared" si="9"/>
        <v>183.762134</v>
      </c>
      <c r="U37" s="5">
        <f t="shared" si="9"/>
        <v>183.762134</v>
      </c>
      <c r="V37" s="5">
        <f t="shared" si="4"/>
        <v>183.762134</v>
      </c>
      <c r="W37" s="15"/>
      <c r="X37" s="5"/>
      <c r="Y37" s="5"/>
      <c r="Z37" s="5"/>
      <c r="AA37" s="5"/>
      <c r="AB37" s="5"/>
      <c r="AC37" s="5"/>
      <c r="AD37" s="5"/>
      <c r="AE37" s="5"/>
      <c r="AF37" s="5"/>
      <c r="AG37" s="5"/>
      <c r="AH37" s="5"/>
      <c r="AI37" s="5"/>
      <c r="AJ37" s="5"/>
      <c r="AK37" s="5"/>
      <c r="AL37" s="5"/>
      <c r="AM37" s="5"/>
      <c r="AN37" s="5"/>
      <c r="AO37" s="5"/>
      <c r="AP37" s="5"/>
      <c r="AQ37" s="5"/>
    </row>
    <row r="38" spans="1:43" ht="150" x14ac:dyDescent="0.25">
      <c r="A38" s="3" t="s">
        <v>64</v>
      </c>
      <c r="B38" s="4" t="s">
        <v>65</v>
      </c>
      <c r="C38" s="4" t="s">
        <v>160</v>
      </c>
      <c r="D38" s="4" t="s">
        <v>68</v>
      </c>
      <c r="E38" s="5" t="s">
        <v>163</v>
      </c>
      <c r="F38" s="4">
        <v>2028</v>
      </c>
      <c r="G38" s="5">
        <f t="shared" si="8"/>
        <v>188.407284</v>
      </c>
      <c r="H38" s="4" t="s">
        <v>153</v>
      </c>
      <c r="I38" s="5">
        <v>0</v>
      </c>
      <c r="J38" s="4">
        <v>0</v>
      </c>
      <c r="K38" s="4">
        <v>0</v>
      </c>
      <c r="L38" s="4">
        <v>0</v>
      </c>
      <c r="M38" s="4">
        <v>0</v>
      </c>
      <c r="N38" s="4">
        <v>0</v>
      </c>
      <c r="O38" s="4">
        <v>0</v>
      </c>
      <c r="P38" s="5">
        <v>0</v>
      </c>
      <c r="Q38" s="5">
        <f>$G38*4/12</f>
        <v>62.802427999999999</v>
      </c>
      <c r="R38" s="5">
        <f t="shared" si="9"/>
        <v>188.407284</v>
      </c>
      <c r="S38" s="5">
        <f t="shared" si="9"/>
        <v>188.407284</v>
      </c>
      <c r="T38" s="5">
        <f t="shared" si="9"/>
        <v>188.407284</v>
      </c>
      <c r="U38" s="5">
        <f t="shared" si="9"/>
        <v>188.407284</v>
      </c>
      <c r="V38" s="5">
        <f t="shared" si="4"/>
        <v>188.407284</v>
      </c>
      <c r="W38" s="15"/>
      <c r="X38" s="5"/>
      <c r="Y38" s="5"/>
      <c r="Z38" s="5"/>
      <c r="AA38" s="5"/>
      <c r="AB38" s="5"/>
      <c r="AC38" s="5"/>
      <c r="AD38" s="5"/>
      <c r="AE38" s="5"/>
      <c r="AF38" s="5"/>
      <c r="AG38" s="5"/>
      <c r="AH38" s="5"/>
      <c r="AI38" s="5"/>
      <c r="AJ38" s="5"/>
      <c r="AK38" s="5"/>
      <c r="AL38" s="5"/>
      <c r="AM38" s="5"/>
      <c r="AN38" s="5"/>
      <c r="AO38" s="5"/>
      <c r="AP38" s="5"/>
      <c r="AQ38" s="5"/>
    </row>
    <row r="39" spans="1:43" ht="75" x14ac:dyDescent="0.25">
      <c r="A39" s="3" t="s">
        <v>16</v>
      </c>
      <c r="B39" s="4" t="s">
        <v>113</v>
      </c>
      <c r="C39" s="7">
        <v>41030</v>
      </c>
      <c r="D39" s="7">
        <v>42461</v>
      </c>
      <c r="E39" s="5" t="s">
        <v>163</v>
      </c>
      <c r="F39" s="4">
        <v>2850</v>
      </c>
      <c r="G39" s="5">
        <f t="shared" si="8"/>
        <v>264.77355</v>
      </c>
      <c r="H39" s="4" t="s">
        <v>134</v>
      </c>
      <c r="I39" s="5">
        <v>0</v>
      </c>
      <c r="J39" s="4">
        <v>0</v>
      </c>
      <c r="K39" s="4">
        <v>0</v>
      </c>
      <c r="L39" s="4">
        <v>0</v>
      </c>
      <c r="M39" s="4">
        <v>0</v>
      </c>
      <c r="N39" s="4">
        <v>0</v>
      </c>
      <c r="O39" s="4">
        <v>0</v>
      </c>
      <c r="P39" s="5">
        <v>0</v>
      </c>
      <c r="Q39" s="5">
        <f>$G39*11/12</f>
        <v>242.70908750000001</v>
      </c>
      <c r="R39" s="5">
        <f t="shared" si="9"/>
        <v>264.77355</v>
      </c>
      <c r="S39" s="5">
        <f t="shared" si="9"/>
        <v>264.77355</v>
      </c>
      <c r="T39" s="5">
        <f t="shared" si="9"/>
        <v>264.77355</v>
      </c>
      <c r="U39" s="5">
        <v>0</v>
      </c>
      <c r="V39" s="5">
        <v>0</v>
      </c>
      <c r="W39" s="15"/>
      <c r="X39" s="5"/>
      <c r="Y39" s="5"/>
      <c r="Z39" s="5"/>
      <c r="AA39" s="5"/>
      <c r="AB39" s="5"/>
      <c r="AC39" s="5"/>
      <c r="AD39" s="5"/>
      <c r="AE39" s="5"/>
      <c r="AF39" s="5"/>
      <c r="AG39" s="5"/>
      <c r="AH39" s="5"/>
      <c r="AI39" s="5"/>
      <c r="AJ39" s="5"/>
      <c r="AK39" s="5"/>
      <c r="AL39" s="5"/>
      <c r="AM39" s="5"/>
      <c r="AN39" s="5"/>
      <c r="AO39" s="5"/>
      <c r="AP39" s="5"/>
      <c r="AQ39" s="5"/>
    </row>
    <row r="40" spans="1:43" ht="90" x14ac:dyDescent="0.25">
      <c r="A40" s="3" t="s">
        <v>60</v>
      </c>
      <c r="B40" s="4" t="s">
        <v>39</v>
      </c>
      <c r="C40" s="4">
        <v>2009</v>
      </c>
      <c r="D40" s="4" t="s">
        <v>68</v>
      </c>
      <c r="E40" s="5" t="s">
        <v>163</v>
      </c>
      <c r="F40" s="4">
        <v>16046</v>
      </c>
      <c r="G40" s="5">
        <f t="shared" si="8"/>
        <v>1490.721538</v>
      </c>
      <c r="H40" s="4" t="s">
        <v>135</v>
      </c>
      <c r="I40" s="5">
        <v>0</v>
      </c>
      <c r="J40" s="4">
        <v>0</v>
      </c>
      <c r="K40" s="4">
        <v>0</v>
      </c>
      <c r="L40" s="4">
        <v>0</v>
      </c>
      <c r="M40" s="5">
        <f>$G40*4/12</f>
        <v>496.90717933333332</v>
      </c>
      <c r="N40" s="5">
        <f t="shared" ref="N40:U41" si="10">$G40</f>
        <v>1490.721538</v>
      </c>
      <c r="O40" s="5">
        <f t="shared" si="10"/>
        <v>1490.721538</v>
      </c>
      <c r="P40" s="5">
        <f t="shared" si="10"/>
        <v>1490.721538</v>
      </c>
      <c r="Q40" s="5">
        <f t="shared" si="10"/>
        <v>1490.721538</v>
      </c>
      <c r="R40" s="5">
        <f t="shared" si="9"/>
        <v>1490.721538</v>
      </c>
      <c r="S40" s="5">
        <f t="shared" si="9"/>
        <v>1490.721538</v>
      </c>
      <c r="T40" s="5">
        <f t="shared" si="9"/>
        <v>1490.721538</v>
      </c>
      <c r="U40" s="5">
        <f t="shared" si="9"/>
        <v>1490.721538</v>
      </c>
      <c r="V40" s="5">
        <f t="shared" si="4"/>
        <v>1490.721538</v>
      </c>
      <c r="W40" s="15"/>
      <c r="X40" s="5"/>
      <c r="Y40" s="5"/>
      <c r="Z40" s="5"/>
      <c r="AA40" s="5"/>
      <c r="AB40" s="5"/>
      <c r="AC40" s="5"/>
      <c r="AD40" s="5"/>
      <c r="AE40" s="5"/>
      <c r="AF40" s="5"/>
      <c r="AG40" s="5"/>
      <c r="AH40" s="5"/>
      <c r="AI40" s="5"/>
      <c r="AJ40" s="5"/>
      <c r="AK40" s="5"/>
      <c r="AL40" s="5"/>
      <c r="AM40" s="5"/>
      <c r="AN40" s="5"/>
      <c r="AO40" s="5"/>
      <c r="AP40" s="5"/>
      <c r="AQ40" s="5"/>
    </row>
    <row r="41" spans="1:43" ht="90" x14ac:dyDescent="0.25">
      <c r="A41" s="3" t="s">
        <v>101</v>
      </c>
      <c r="B41" s="4" t="s">
        <v>39</v>
      </c>
      <c r="C41" s="4">
        <v>2011</v>
      </c>
      <c r="D41" s="4" t="s">
        <v>68</v>
      </c>
      <c r="E41" s="5" t="s">
        <v>163</v>
      </c>
      <c r="F41" s="4">
        <v>28202</v>
      </c>
      <c r="G41" s="5">
        <f t="shared" si="8"/>
        <v>2620.0504059999998</v>
      </c>
      <c r="H41" s="4" t="s">
        <v>136</v>
      </c>
      <c r="I41" s="5">
        <v>0</v>
      </c>
      <c r="J41" s="4">
        <v>0</v>
      </c>
      <c r="K41" s="4">
        <v>0</v>
      </c>
      <c r="L41" s="4">
        <v>0</v>
      </c>
      <c r="M41" s="4">
        <v>0</v>
      </c>
      <c r="N41" s="4">
        <v>0</v>
      </c>
      <c r="O41" s="5">
        <f>$G41*4/12</f>
        <v>873.35013533333324</v>
      </c>
      <c r="P41" s="5">
        <f t="shared" si="10"/>
        <v>2620.0504059999998</v>
      </c>
      <c r="Q41" s="5">
        <f t="shared" si="10"/>
        <v>2620.0504059999998</v>
      </c>
      <c r="R41" s="5">
        <f t="shared" si="10"/>
        <v>2620.0504059999998</v>
      </c>
      <c r="S41" s="5">
        <f t="shared" si="10"/>
        <v>2620.0504059999998</v>
      </c>
      <c r="T41" s="5">
        <f t="shared" si="10"/>
        <v>2620.0504059999998</v>
      </c>
      <c r="U41" s="5">
        <f t="shared" si="10"/>
        <v>2620.0504059999998</v>
      </c>
      <c r="V41" s="5">
        <f t="shared" si="4"/>
        <v>2620.0504059999998</v>
      </c>
      <c r="W41" s="15"/>
      <c r="X41" s="5"/>
      <c r="Y41" s="5"/>
      <c r="Z41" s="5"/>
      <c r="AA41" s="5"/>
      <c r="AB41" s="5"/>
      <c r="AC41" s="5"/>
      <c r="AD41" s="5"/>
      <c r="AE41" s="5"/>
      <c r="AF41" s="5"/>
      <c r="AG41" s="5"/>
      <c r="AH41" s="5"/>
      <c r="AI41" s="5"/>
      <c r="AJ41" s="5"/>
      <c r="AK41" s="5"/>
      <c r="AL41" s="5"/>
      <c r="AM41" s="5"/>
      <c r="AN41" s="5"/>
      <c r="AO41" s="5"/>
      <c r="AP41" s="5"/>
      <c r="AQ41" s="5"/>
    </row>
    <row r="42" spans="1:43" ht="150" x14ac:dyDescent="0.25">
      <c r="A42" s="3" t="s">
        <v>102</v>
      </c>
      <c r="B42" s="4" t="s">
        <v>61</v>
      </c>
      <c r="C42" s="4" t="s">
        <v>160</v>
      </c>
      <c r="D42" s="4" t="s">
        <v>68</v>
      </c>
      <c r="E42" s="5" t="s">
        <v>163</v>
      </c>
      <c r="F42" s="4">
        <v>10390</v>
      </c>
      <c r="G42" s="5">
        <f t="shared" si="8"/>
        <v>965.26216999999997</v>
      </c>
      <c r="H42" s="4" t="s">
        <v>133</v>
      </c>
      <c r="I42" s="5">
        <v>0</v>
      </c>
      <c r="J42" s="4">
        <v>0</v>
      </c>
      <c r="K42" s="4">
        <v>0</v>
      </c>
      <c r="L42" s="4">
        <v>0</v>
      </c>
      <c r="M42" s="4">
        <v>0</v>
      </c>
      <c r="N42" s="4">
        <v>0</v>
      </c>
      <c r="O42" s="4">
        <v>0</v>
      </c>
      <c r="P42" s="5">
        <v>0</v>
      </c>
      <c r="Q42" s="5">
        <f>$G42*4/12</f>
        <v>321.75405666666666</v>
      </c>
      <c r="R42" s="5">
        <f t="shared" si="9"/>
        <v>965.26216999999997</v>
      </c>
      <c r="S42" s="5">
        <f t="shared" si="9"/>
        <v>965.26216999999997</v>
      </c>
      <c r="T42" s="5">
        <f t="shared" si="9"/>
        <v>965.26216999999997</v>
      </c>
      <c r="U42" s="5">
        <f t="shared" si="9"/>
        <v>965.26216999999997</v>
      </c>
      <c r="V42" s="5">
        <f t="shared" si="4"/>
        <v>965.26216999999997</v>
      </c>
      <c r="W42" s="15"/>
      <c r="X42" s="5"/>
      <c r="Y42" s="5"/>
      <c r="Z42" s="5"/>
      <c r="AA42" s="5"/>
      <c r="AB42" s="5"/>
      <c r="AC42" s="5"/>
      <c r="AD42" s="5"/>
      <c r="AE42" s="5"/>
      <c r="AF42" s="5"/>
      <c r="AG42" s="5"/>
      <c r="AH42" s="5"/>
      <c r="AI42" s="5"/>
      <c r="AJ42" s="5"/>
      <c r="AK42" s="5"/>
      <c r="AL42" s="5"/>
      <c r="AM42" s="5"/>
      <c r="AN42" s="5"/>
      <c r="AO42" s="5"/>
      <c r="AP42" s="5"/>
      <c r="AQ42" s="5"/>
    </row>
    <row r="43" spans="1:43" ht="75" x14ac:dyDescent="0.25">
      <c r="A43" s="3" t="s">
        <v>103</v>
      </c>
      <c r="B43" s="4" t="s">
        <v>39</v>
      </c>
      <c r="C43" s="8">
        <v>41044</v>
      </c>
      <c r="D43" s="4" t="s">
        <v>68</v>
      </c>
      <c r="E43" s="5" t="s">
        <v>163</v>
      </c>
      <c r="F43" s="4">
        <v>8913</v>
      </c>
      <c r="G43" s="5">
        <f t="shared" si="8"/>
        <v>828.04443900000001</v>
      </c>
      <c r="H43" s="4" t="s">
        <v>138</v>
      </c>
      <c r="I43" s="5">
        <v>0</v>
      </c>
      <c r="J43" s="4">
        <v>0</v>
      </c>
      <c r="K43" s="4">
        <v>0</v>
      </c>
      <c r="L43" s="4">
        <v>0</v>
      </c>
      <c r="M43" s="4">
        <v>0</v>
      </c>
      <c r="N43" s="4">
        <v>0</v>
      </c>
      <c r="O43" s="4">
        <v>0</v>
      </c>
      <c r="P43" s="5">
        <v>0</v>
      </c>
      <c r="Q43" s="5">
        <f>$G43*10.5/12</f>
        <v>724.53888412499998</v>
      </c>
      <c r="R43" s="5">
        <f t="shared" si="9"/>
        <v>828.04443900000001</v>
      </c>
      <c r="S43" s="5">
        <f t="shared" si="9"/>
        <v>828.04443900000001</v>
      </c>
      <c r="T43" s="5">
        <f t="shared" si="9"/>
        <v>828.04443900000001</v>
      </c>
      <c r="U43" s="5">
        <f t="shared" si="9"/>
        <v>828.04443900000001</v>
      </c>
      <c r="V43" s="5">
        <f t="shared" si="4"/>
        <v>828.04443900000001</v>
      </c>
      <c r="W43" s="15"/>
      <c r="X43" s="5"/>
      <c r="Y43" s="5"/>
      <c r="Z43" s="5"/>
      <c r="AA43" s="5"/>
      <c r="AB43" s="5"/>
      <c r="AC43" s="5"/>
      <c r="AD43" s="5"/>
      <c r="AE43" s="5"/>
      <c r="AF43" s="5"/>
      <c r="AG43" s="5"/>
      <c r="AH43" s="5"/>
      <c r="AI43" s="5"/>
      <c r="AJ43" s="5"/>
      <c r="AK43" s="5"/>
      <c r="AL43" s="5"/>
      <c r="AM43" s="5"/>
      <c r="AN43" s="5"/>
      <c r="AO43" s="5"/>
      <c r="AP43" s="5"/>
      <c r="AQ43" s="5"/>
    </row>
    <row r="44" spans="1:43" ht="90" x14ac:dyDescent="0.25">
      <c r="A44" s="9" t="s">
        <v>104</v>
      </c>
      <c r="B44" s="10" t="s">
        <v>39</v>
      </c>
      <c r="C44" s="10">
        <v>2008</v>
      </c>
      <c r="D44" s="10">
        <v>2009</v>
      </c>
      <c r="E44" s="5" t="s">
        <v>163</v>
      </c>
      <c r="F44" s="10">
        <v>8913</v>
      </c>
      <c r="G44" s="11">
        <f t="shared" si="8"/>
        <v>828.04443900000001</v>
      </c>
      <c r="H44" s="10" t="s">
        <v>137</v>
      </c>
      <c r="I44" s="11">
        <v>0</v>
      </c>
      <c r="J44" s="10">
        <v>0</v>
      </c>
      <c r="K44" s="10">
        <v>0</v>
      </c>
      <c r="L44" s="11">
        <f>$G44*4/12</f>
        <v>276.014813</v>
      </c>
      <c r="M44" s="11">
        <f>$G44</f>
        <v>828.04443900000001</v>
      </c>
      <c r="N44" s="11">
        <f>$G44*8/12</f>
        <v>552.02962600000001</v>
      </c>
      <c r="O44" s="10">
        <v>0</v>
      </c>
      <c r="P44" s="11">
        <v>0</v>
      </c>
      <c r="Q44" s="11">
        <v>0</v>
      </c>
      <c r="R44" s="11">
        <v>0</v>
      </c>
      <c r="S44" s="11">
        <v>0</v>
      </c>
      <c r="T44" s="11">
        <v>0</v>
      </c>
      <c r="U44" s="11">
        <v>0</v>
      </c>
      <c r="V44" s="5">
        <v>0</v>
      </c>
      <c r="W44" s="15"/>
      <c r="X44" s="5"/>
      <c r="Y44" s="5"/>
      <c r="Z44" s="5"/>
      <c r="AA44" s="5"/>
      <c r="AB44" s="5"/>
      <c r="AC44" s="5"/>
      <c r="AD44" s="5"/>
      <c r="AE44" s="5"/>
      <c r="AF44" s="5"/>
      <c r="AG44" s="5"/>
      <c r="AH44" s="5"/>
      <c r="AI44" s="5"/>
      <c r="AJ44" s="5"/>
      <c r="AK44" s="5"/>
      <c r="AL44" s="5"/>
      <c r="AM44" s="5"/>
      <c r="AN44" s="5"/>
      <c r="AO44" s="5"/>
      <c r="AP44" s="5"/>
      <c r="AQ44" s="5"/>
    </row>
    <row r="45" spans="1:43" ht="90" x14ac:dyDescent="0.25">
      <c r="A45" s="3" t="s">
        <v>105</v>
      </c>
      <c r="B45" s="4" t="s">
        <v>39</v>
      </c>
      <c r="C45" s="8">
        <v>41518</v>
      </c>
      <c r="D45" s="4" t="s">
        <v>68</v>
      </c>
      <c r="E45" s="5" t="s">
        <v>163</v>
      </c>
      <c r="F45" s="4">
        <v>8930</v>
      </c>
      <c r="G45" s="5">
        <f t="shared" si="8"/>
        <v>829.62378999999999</v>
      </c>
      <c r="H45" s="4" t="s">
        <v>139</v>
      </c>
      <c r="I45" s="5">
        <v>0</v>
      </c>
      <c r="J45" s="4">
        <v>0</v>
      </c>
      <c r="K45" s="4">
        <v>0</v>
      </c>
      <c r="L45" s="4">
        <v>0</v>
      </c>
      <c r="M45" s="4">
        <v>0</v>
      </c>
      <c r="N45" s="4">
        <v>0</v>
      </c>
      <c r="O45" s="4">
        <v>0</v>
      </c>
      <c r="P45" s="5">
        <v>0</v>
      </c>
      <c r="Q45" s="5">
        <v>0</v>
      </c>
      <c r="R45" s="5">
        <f>$G45*7/12</f>
        <v>483.94721083333337</v>
      </c>
      <c r="S45" s="5">
        <f t="shared" ref="S45:U47" si="11">$G45</f>
        <v>829.62378999999999</v>
      </c>
      <c r="T45" s="5">
        <f t="shared" si="11"/>
        <v>829.62378999999999</v>
      </c>
      <c r="U45" s="5">
        <f t="shared" si="11"/>
        <v>829.62378999999999</v>
      </c>
      <c r="V45" s="5">
        <f t="shared" si="4"/>
        <v>829.62378999999999</v>
      </c>
      <c r="W45" s="15"/>
      <c r="X45" s="5"/>
      <c r="Y45" s="5"/>
      <c r="Z45" s="5"/>
      <c r="AA45" s="5"/>
      <c r="AB45" s="5"/>
      <c r="AC45" s="5"/>
      <c r="AD45" s="5"/>
      <c r="AE45" s="5"/>
      <c r="AF45" s="5"/>
      <c r="AG45" s="5"/>
      <c r="AH45" s="5"/>
      <c r="AI45" s="5"/>
      <c r="AJ45" s="5"/>
      <c r="AK45" s="5"/>
      <c r="AL45" s="5"/>
      <c r="AM45" s="5"/>
      <c r="AN45" s="5"/>
      <c r="AO45" s="5"/>
      <c r="AP45" s="5"/>
      <c r="AQ45" s="5"/>
    </row>
    <row r="46" spans="1:43" ht="90" x14ac:dyDescent="0.25">
      <c r="A46" s="3" t="s">
        <v>106</v>
      </c>
      <c r="B46" s="4" t="s">
        <v>39</v>
      </c>
      <c r="C46" s="4">
        <v>2006</v>
      </c>
      <c r="D46" s="4" t="s">
        <v>68</v>
      </c>
      <c r="E46" s="5" t="s">
        <v>163</v>
      </c>
      <c r="F46" s="4">
        <v>8801</v>
      </c>
      <c r="G46" s="5">
        <f t="shared" si="8"/>
        <v>817.63930300000004</v>
      </c>
      <c r="H46" s="4" t="s">
        <v>140</v>
      </c>
      <c r="I46" s="5">
        <v>0</v>
      </c>
      <c r="J46" s="5">
        <f>$G46*4/12</f>
        <v>272.54643433333337</v>
      </c>
      <c r="K46" s="5">
        <f t="shared" ref="K46:R47" si="12">$G46</f>
        <v>817.63930300000004</v>
      </c>
      <c r="L46" s="5">
        <f t="shared" si="12"/>
        <v>817.63930300000004</v>
      </c>
      <c r="M46" s="5">
        <f t="shared" si="12"/>
        <v>817.63930300000004</v>
      </c>
      <c r="N46" s="5">
        <f t="shared" si="12"/>
        <v>817.63930300000004</v>
      </c>
      <c r="O46" s="5">
        <f t="shared" si="12"/>
        <v>817.63930300000004</v>
      </c>
      <c r="P46" s="5">
        <f t="shared" si="12"/>
        <v>817.63930300000004</v>
      </c>
      <c r="Q46" s="5">
        <f t="shared" si="12"/>
        <v>817.63930300000004</v>
      </c>
      <c r="R46" s="5">
        <f t="shared" si="12"/>
        <v>817.63930300000004</v>
      </c>
      <c r="S46" s="5">
        <f t="shared" si="11"/>
        <v>817.63930300000004</v>
      </c>
      <c r="T46" s="5">
        <f t="shared" si="11"/>
        <v>817.63930300000004</v>
      </c>
      <c r="U46" s="5">
        <f t="shared" si="11"/>
        <v>817.63930300000004</v>
      </c>
      <c r="V46" s="5">
        <f t="shared" si="4"/>
        <v>817.63930300000004</v>
      </c>
      <c r="W46" s="15"/>
      <c r="X46" s="5"/>
      <c r="Y46" s="5"/>
      <c r="Z46" s="5"/>
      <c r="AA46" s="5"/>
      <c r="AB46" s="5"/>
      <c r="AC46" s="5"/>
      <c r="AD46" s="5"/>
      <c r="AE46" s="5"/>
      <c r="AF46" s="5"/>
      <c r="AG46" s="5"/>
      <c r="AH46" s="5"/>
      <c r="AI46" s="5"/>
      <c r="AJ46" s="5"/>
      <c r="AK46" s="5"/>
      <c r="AL46" s="5"/>
      <c r="AM46" s="5"/>
      <c r="AN46" s="5"/>
      <c r="AO46" s="5"/>
      <c r="AP46" s="5"/>
      <c r="AQ46" s="5"/>
    </row>
    <row r="47" spans="1:43" ht="90" x14ac:dyDescent="0.25">
      <c r="A47" s="3" t="s">
        <v>107</v>
      </c>
      <c r="B47" s="4" t="s">
        <v>39</v>
      </c>
      <c r="C47" s="4">
        <v>2007</v>
      </c>
      <c r="D47" s="4" t="s">
        <v>68</v>
      </c>
      <c r="E47" s="5" t="s">
        <v>163</v>
      </c>
      <c r="F47" s="4">
        <v>9081</v>
      </c>
      <c r="G47" s="5">
        <f t="shared" si="8"/>
        <v>843.65214300000002</v>
      </c>
      <c r="H47" s="4" t="s">
        <v>141</v>
      </c>
      <c r="I47" s="5">
        <v>0</v>
      </c>
      <c r="J47" s="4">
        <v>0</v>
      </c>
      <c r="K47" s="5">
        <f>$G47*4/12</f>
        <v>281.21738099999999</v>
      </c>
      <c r="L47" s="5">
        <f t="shared" si="12"/>
        <v>843.65214300000002</v>
      </c>
      <c r="M47" s="5">
        <f t="shared" si="12"/>
        <v>843.65214300000002</v>
      </c>
      <c r="N47" s="5">
        <f t="shared" si="12"/>
        <v>843.65214300000002</v>
      </c>
      <c r="O47" s="5">
        <f t="shared" si="12"/>
        <v>843.65214300000002</v>
      </c>
      <c r="P47" s="5">
        <f t="shared" si="12"/>
        <v>843.65214300000002</v>
      </c>
      <c r="Q47" s="5">
        <f t="shared" si="12"/>
        <v>843.65214300000002</v>
      </c>
      <c r="R47" s="5">
        <f t="shared" si="12"/>
        <v>843.65214300000002</v>
      </c>
      <c r="S47" s="5">
        <f t="shared" si="11"/>
        <v>843.65214300000002</v>
      </c>
      <c r="T47" s="5">
        <f t="shared" si="11"/>
        <v>843.65214300000002</v>
      </c>
      <c r="U47" s="5">
        <f t="shared" si="11"/>
        <v>843.65214300000002</v>
      </c>
      <c r="V47" s="5">
        <f t="shared" si="4"/>
        <v>843.65214300000002</v>
      </c>
      <c r="W47" s="15"/>
      <c r="X47" s="5"/>
      <c r="Y47" s="5"/>
      <c r="Z47" s="5"/>
      <c r="AA47" s="5"/>
      <c r="AB47" s="5"/>
      <c r="AC47" s="5"/>
      <c r="AD47" s="5"/>
      <c r="AE47" s="5"/>
      <c r="AF47" s="5"/>
      <c r="AG47" s="5"/>
      <c r="AH47" s="5"/>
      <c r="AI47" s="5"/>
      <c r="AJ47" s="5"/>
      <c r="AK47" s="5"/>
      <c r="AL47" s="5"/>
      <c r="AM47" s="5"/>
      <c r="AN47" s="5"/>
      <c r="AO47" s="5"/>
      <c r="AP47" s="5"/>
      <c r="AQ47" s="5"/>
    </row>
    <row r="48" spans="1:43" ht="90" x14ac:dyDescent="0.25">
      <c r="A48" s="3" t="s">
        <v>45</v>
      </c>
      <c r="B48" s="4" t="s">
        <v>45</v>
      </c>
      <c r="C48" s="4">
        <v>2000</v>
      </c>
      <c r="D48" s="4" t="s">
        <v>68</v>
      </c>
      <c r="E48" s="5" t="s">
        <v>87</v>
      </c>
      <c r="F48" s="4">
        <v>1292</v>
      </c>
      <c r="G48" s="5">
        <f t="shared" si="8"/>
        <v>120.030676</v>
      </c>
      <c r="H48" s="4" t="s">
        <v>143</v>
      </c>
      <c r="I48" s="5">
        <v>0</v>
      </c>
      <c r="J48" s="5">
        <f t="shared" ref="J48:J56" si="13">$G48</f>
        <v>120.030676</v>
      </c>
      <c r="K48" s="5">
        <f t="shared" ref="K48:U52" si="14">$G48</f>
        <v>120.030676</v>
      </c>
      <c r="L48" s="5">
        <f t="shared" si="14"/>
        <v>120.030676</v>
      </c>
      <c r="M48" s="5">
        <f t="shared" si="14"/>
        <v>120.030676</v>
      </c>
      <c r="N48" s="5">
        <f t="shared" si="14"/>
        <v>120.030676</v>
      </c>
      <c r="O48" s="5">
        <f t="shared" si="14"/>
        <v>120.030676</v>
      </c>
      <c r="P48" s="5">
        <f t="shared" si="14"/>
        <v>120.030676</v>
      </c>
      <c r="Q48" s="5">
        <f t="shared" si="14"/>
        <v>120.030676</v>
      </c>
      <c r="R48" s="5">
        <f t="shared" si="14"/>
        <v>120.030676</v>
      </c>
      <c r="S48" s="5">
        <f t="shared" si="14"/>
        <v>120.030676</v>
      </c>
      <c r="T48" s="5">
        <f t="shared" si="14"/>
        <v>120.030676</v>
      </c>
      <c r="U48" s="5">
        <f t="shared" si="14"/>
        <v>120.030676</v>
      </c>
      <c r="V48" s="5">
        <f t="shared" si="4"/>
        <v>120.030676</v>
      </c>
      <c r="W48" s="15"/>
      <c r="X48" s="5"/>
      <c r="Y48" s="5"/>
      <c r="Z48" s="5"/>
      <c r="AA48" s="5"/>
      <c r="AB48" s="5"/>
      <c r="AC48" s="5"/>
      <c r="AD48" s="5"/>
      <c r="AE48" s="5"/>
      <c r="AF48" s="5"/>
      <c r="AG48" s="5"/>
      <c r="AH48" s="5"/>
      <c r="AI48" s="5"/>
      <c r="AJ48" s="5"/>
      <c r="AK48" s="5"/>
      <c r="AL48" s="5"/>
      <c r="AM48" s="5"/>
      <c r="AN48" s="5"/>
      <c r="AO48" s="5"/>
      <c r="AP48" s="5"/>
      <c r="AQ48" s="5"/>
    </row>
    <row r="49" spans="1:43" ht="90" x14ac:dyDescent="0.25">
      <c r="A49" s="3" t="s">
        <v>46</v>
      </c>
      <c r="B49" s="4" t="s">
        <v>46</v>
      </c>
      <c r="C49" s="4">
        <v>2000</v>
      </c>
      <c r="D49" s="4" t="s">
        <v>68</v>
      </c>
      <c r="E49" s="5" t="s">
        <v>87</v>
      </c>
      <c r="F49" s="4">
        <v>1872</v>
      </c>
      <c r="G49" s="5">
        <f t="shared" si="8"/>
        <v>173.91441599999999</v>
      </c>
      <c r="H49" s="4" t="s">
        <v>143</v>
      </c>
      <c r="I49" s="5">
        <v>0</v>
      </c>
      <c r="J49" s="5">
        <f t="shared" si="13"/>
        <v>173.91441599999999</v>
      </c>
      <c r="K49" s="5">
        <f t="shared" si="14"/>
        <v>173.91441599999999</v>
      </c>
      <c r="L49" s="5">
        <f t="shared" si="14"/>
        <v>173.91441599999999</v>
      </c>
      <c r="M49" s="5">
        <f t="shared" si="14"/>
        <v>173.91441599999999</v>
      </c>
      <c r="N49" s="5">
        <f t="shared" si="14"/>
        <v>173.91441599999999</v>
      </c>
      <c r="O49" s="5">
        <f t="shared" si="14"/>
        <v>173.91441599999999</v>
      </c>
      <c r="P49" s="5">
        <f t="shared" si="14"/>
        <v>173.91441599999999</v>
      </c>
      <c r="Q49" s="5">
        <f t="shared" si="14"/>
        <v>173.91441599999999</v>
      </c>
      <c r="R49" s="5">
        <f t="shared" si="14"/>
        <v>173.91441599999999</v>
      </c>
      <c r="S49" s="5">
        <f t="shared" si="14"/>
        <v>173.91441599999999</v>
      </c>
      <c r="T49" s="5">
        <f t="shared" si="14"/>
        <v>173.91441599999999</v>
      </c>
      <c r="U49" s="5">
        <f t="shared" si="14"/>
        <v>173.91441599999999</v>
      </c>
      <c r="V49" s="5">
        <f t="shared" si="4"/>
        <v>173.91441599999999</v>
      </c>
      <c r="W49" s="15"/>
      <c r="X49" s="5"/>
      <c r="Y49" s="5"/>
      <c r="Z49" s="5"/>
      <c r="AA49" s="5"/>
      <c r="AB49" s="5"/>
      <c r="AC49" s="5"/>
      <c r="AD49" s="5"/>
      <c r="AE49" s="5"/>
      <c r="AF49" s="5"/>
      <c r="AG49" s="5"/>
      <c r="AH49" s="5"/>
      <c r="AI49" s="5"/>
      <c r="AJ49" s="5"/>
      <c r="AK49" s="5"/>
      <c r="AL49" s="5"/>
      <c r="AM49" s="5"/>
      <c r="AN49" s="5"/>
      <c r="AO49" s="5"/>
      <c r="AP49" s="5"/>
      <c r="AQ49" s="5"/>
    </row>
    <row r="50" spans="1:43" ht="90" x14ac:dyDescent="0.25">
      <c r="A50" s="3" t="s">
        <v>62</v>
      </c>
      <c r="B50" s="4" t="s">
        <v>62</v>
      </c>
      <c r="C50" s="4">
        <v>2000</v>
      </c>
      <c r="D50" s="4" t="s">
        <v>68</v>
      </c>
      <c r="E50" s="5" t="s">
        <v>87</v>
      </c>
      <c r="F50" s="4">
        <v>2584</v>
      </c>
      <c r="G50" s="5">
        <f t="shared" si="8"/>
        <v>240.061352</v>
      </c>
      <c r="H50" s="4" t="s">
        <v>143</v>
      </c>
      <c r="I50" s="5">
        <v>0</v>
      </c>
      <c r="J50" s="5">
        <f t="shared" si="13"/>
        <v>240.061352</v>
      </c>
      <c r="K50" s="5">
        <f t="shared" si="14"/>
        <v>240.061352</v>
      </c>
      <c r="L50" s="5">
        <f t="shared" si="14"/>
        <v>240.061352</v>
      </c>
      <c r="M50" s="5">
        <f t="shared" si="14"/>
        <v>240.061352</v>
      </c>
      <c r="N50" s="5">
        <f t="shared" si="14"/>
        <v>240.061352</v>
      </c>
      <c r="O50" s="5">
        <f t="shared" si="14"/>
        <v>240.061352</v>
      </c>
      <c r="P50" s="5">
        <f t="shared" si="14"/>
        <v>240.061352</v>
      </c>
      <c r="Q50" s="5">
        <f t="shared" si="14"/>
        <v>240.061352</v>
      </c>
      <c r="R50" s="5">
        <f t="shared" si="14"/>
        <v>240.061352</v>
      </c>
      <c r="S50" s="5">
        <f t="shared" si="14"/>
        <v>240.061352</v>
      </c>
      <c r="T50" s="5">
        <f t="shared" si="14"/>
        <v>240.061352</v>
      </c>
      <c r="U50" s="5">
        <f t="shared" si="14"/>
        <v>240.061352</v>
      </c>
      <c r="V50" s="5">
        <f t="shared" si="4"/>
        <v>240.061352</v>
      </c>
      <c r="W50" s="15"/>
      <c r="X50" s="5"/>
      <c r="Y50" s="5"/>
      <c r="Z50" s="5"/>
      <c r="AA50" s="5"/>
      <c r="AB50" s="5"/>
      <c r="AC50" s="5"/>
      <c r="AD50" s="5"/>
      <c r="AE50" s="5"/>
      <c r="AF50" s="5"/>
      <c r="AG50" s="5"/>
      <c r="AH50" s="5"/>
      <c r="AI50" s="5"/>
      <c r="AJ50" s="5"/>
      <c r="AK50" s="5"/>
      <c r="AL50" s="5"/>
      <c r="AM50" s="5"/>
      <c r="AN50" s="5"/>
      <c r="AO50" s="5"/>
      <c r="AP50" s="5"/>
      <c r="AQ50" s="5"/>
    </row>
    <row r="51" spans="1:43" ht="90" x14ac:dyDescent="0.25">
      <c r="A51" s="3" t="s">
        <v>47</v>
      </c>
      <c r="B51" s="4" t="s">
        <v>47</v>
      </c>
      <c r="C51" s="4">
        <v>2000</v>
      </c>
      <c r="D51" s="4" t="s">
        <v>68</v>
      </c>
      <c r="E51" s="5" t="s">
        <v>87</v>
      </c>
      <c r="F51" s="4">
        <v>3025</v>
      </c>
      <c r="G51" s="5">
        <f t="shared" si="8"/>
        <v>281.03157499999998</v>
      </c>
      <c r="H51" s="4" t="s">
        <v>143</v>
      </c>
      <c r="I51" s="5">
        <v>0</v>
      </c>
      <c r="J51" s="5">
        <f t="shared" si="13"/>
        <v>281.03157499999998</v>
      </c>
      <c r="K51" s="5">
        <f t="shared" si="14"/>
        <v>281.03157499999998</v>
      </c>
      <c r="L51" s="5">
        <f t="shared" si="14"/>
        <v>281.03157499999998</v>
      </c>
      <c r="M51" s="5">
        <f t="shared" si="14"/>
        <v>281.03157499999998</v>
      </c>
      <c r="N51" s="5">
        <f t="shared" si="14"/>
        <v>281.03157499999998</v>
      </c>
      <c r="O51" s="5">
        <f t="shared" si="14"/>
        <v>281.03157499999998</v>
      </c>
      <c r="P51" s="5">
        <f t="shared" si="14"/>
        <v>281.03157499999998</v>
      </c>
      <c r="Q51" s="5">
        <f t="shared" si="14"/>
        <v>281.03157499999998</v>
      </c>
      <c r="R51" s="5">
        <f t="shared" si="14"/>
        <v>281.03157499999998</v>
      </c>
      <c r="S51" s="5">
        <f t="shared" si="14"/>
        <v>281.03157499999998</v>
      </c>
      <c r="T51" s="5">
        <f t="shared" si="14"/>
        <v>281.03157499999998</v>
      </c>
      <c r="U51" s="5">
        <f t="shared" si="14"/>
        <v>281.03157499999998</v>
      </c>
      <c r="V51" s="5">
        <f t="shared" si="4"/>
        <v>281.03157499999998</v>
      </c>
      <c r="W51" s="15"/>
      <c r="X51" s="5"/>
      <c r="Y51" s="5"/>
      <c r="Z51" s="5"/>
      <c r="AA51" s="5"/>
      <c r="AB51" s="5"/>
      <c r="AC51" s="5"/>
      <c r="AD51" s="5"/>
      <c r="AE51" s="5"/>
      <c r="AF51" s="5"/>
      <c r="AG51" s="5"/>
      <c r="AH51" s="5"/>
      <c r="AI51" s="5"/>
      <c r="AJ51" s="5"/>
      <c r="AK51" s="5"/>
      <c r="AL51" s="5"/>
      <c r="AM51" s="5"/>
      <c r="AN51" s="5"/>
      <c r="AO51" s="5"/>
      <c r="AP51" s="5"/>
      <c r="AQ51" s="5"/>
    </row>
    <row r="52" spans="1:43" ht="90" x14ac:dyDescent="0.25">
      <c r="A52" s="9" t="s">
        <v>48</v>
      </c>
      <c r="B52" s="10" t="s">
        <v>48</v>
      </c>
      <c r="C52" s="10">
        <v>2000</v>
      </c>
      <c r="D52" s="10">
        <v>2009</v>
      </c>
      <c r="E52" s="5" t="s">
        <v>87</v>
      </c>
      <c r="F52" s="10">
        <v>3952</v>
      </c>
      <c r="G52" s="11">
        <f t="shared" si="8"/>
        <v>367.15265599999998</v>
      </c>
      <c r="H52" s="12" t="s">
        <v>143</v>
      </c>
      <c r="I52" s="11">
        <v>0</v>
      </c>
      <c r="J52" s="11">
        <f t="shared" si="13"/>
        <v>367.15265599999998</v>
      </c>
      <c r="K52" s="11">
        <f t="shared" si="14"/>
        <v>367.15265599999998</v>
      </c>
      <c r="L52" s="11">
        <f t="shared" si="14"/>
        <v>367.15265599999998</v>
      </c>
      <c r="M52" s="11">
        <f>$G52*8/12</f>
        <v>244.76843733333331</v>
      </c>
      <c r="N52" s="10">
        <v>0</v>
      </c>
      <c r="O52" s="10">
        <v>0</v>
      </c>
      <c r="P52" s="11">
        <v>0</v>
      </c>
      <c r="Q52" s="11">
        <v>0</v>
      </c>
      <c r="R52" s="11">
        <v>0</v>
      </c>
      <c r="S52" s="11">
        <v>0</v>
      </c>
      <c r="T52" s="11">
        <v>0</v>
      </c>
      <c r="U52" s="11">
        <v>0</v>
      </c>
      <c r="V52" s="5">
        <v>0</v>
      </c>
      <c r="W52" s="15"/>
      <c r="X52" s="5"/>
      <c r="Y52" s="5"/>
      <c r="Z52" s="5"/>
      <c r="AA52" s="5"/>
      <c r="AB52" s="5"/>
      <c r="AC52" s="5"/>
      <c r="AD52" s="5"/>
      <c r="AE52" s="5"/>
      <c r="AF52" s="5"/>
      <c r="AG52" s="5"/>
      <c r="AH52" s="5"/>
      <c r="AI52" s="5"/>
      <c r="AJ52" s="5"/>
      <c r="AK52" s="5"/>
      <c r="AL52" s="5"/>
      <c r="AM52" s="5"/>
      <c r="AN52" s="5"/>
      <c r="AO52" s="5"/>
      <c r="AP52" s="5"/>
      <c r="AQ52" s="5"/>
    </row>
    <row r="53" spans="1:43" ht="90" x14ac:dyDescent="0.25">
      <c r="A53" s="9" t="s">
        <v>49</v>
      </c>
      <c r="B53" s="10" t="s">
        <v>49</v>
      </c>
      <c r="C53" s="10">
        <v>2001</v>
      </c>
      <c r="D53" s="10">
        <v>2010</v>
      </c>
      <c r="E53" s="5" t="s">
        <v>87</v>
      </c>
      <c r="F53" s="10">
        <v>2178</v>
      </c>
      <c r="G53" s="11">
        <f t="shared" si="8"/>
        <v>202.34273400000001</v>
      </c>
      <c r="H53" s="12" t="s">
        <v>143</v>
      </c>
      <c r="I53" s="11">
        <v>0</v>
      </c>
      <c r="J53" s="11">
        <f t="shared" si="13"/>
        <v>202.34273400000001</v>
      </c>
      <c r="K53" s="11">
        <f t="shared" ref="K53:M56" si="15">$G53</f>
        <v>202.34273400000001</v>
      </c>
      <c r="L53" s="11">
        <f t="shared" si="15"/>
        <v>202.34273400000001</v>
      </c>
      <c r="M53" s="11">
        <f t="shared" si="15"/>
        <v>202.34273400000001</v>
      </c>
      <c r="N53" s="11">
        <f>$G53*8/12</f>
        <v>134.89515600000001</v>
      </c>
      <c r="O53" s="10">
        <v>0</v>
      </c>
      <c r="P53" s="11">
        <v>0</v>
      </c>
      <c r="Q53" s="11">
        <v>0</v>
      </c>
      <c r="R53" s="11">
        <v>0</v>
      </c>
      <c r="S53" s="11">
        <v>0</v>
      </c>
      <c r="T53" s="11">
        <v>0</v>
      </c>
      <c r="U53" s="11">
        <v>0</v>
      </c>
      <c r="V53" s="5">
        <v>0</v>
      </c>
      <c r="W53" s="15"/>
      <c r="X53" s="5"/>
      <c r="Y53" s="5"/>
      <c r="Z53" s="5"/>
      <c r="AA53" s="5"/>
      <c r="AB53" s="5"/>
      <c r="AC53" s="5"/>
      <c r="AD53" s="5"/>
      <c r="AE53" s="5"/>
      <c r="AF53" s="5"/>
      <c r="AG53" s="5"/>
      <c r="AH53" s="5"/>
      <c r="AI53" s="5"/>
      <c r="AJ53" s="5"/>
      <c r="AK53" s="5"/>
      <c r="AL53" s="5"/>
      <c r="AM53" s="5"/>
      <c r="AN53" s="5"/>
      <c r="AO53" s="5"/>
      <c r="AP53" s="5"/>
      <c r="AQ53" s="5"/>
    </row>
    <row r="54" spans="1:43" ht="90" x14ac:dyDescent="0.25">
      <c r="A54" s="9" t="s">
        <v>50</v>
      </c>
      <c r="B54" s="10" t="s">
        <v>50</v>
      </c>
      <c r="C54" s="10">
        <v>2001</v>
      </c>
      <c r="D54" s="10">
        <v>2010</v>
      </c>
      <c r="E54" s="5" t="s">
        <v>87</v>
      </c>
      <c r="F54" s="10">
        <v>2218</v>
      </c>
      <c r="G54" s="11">
        <f t="shared" si="8"/>
        <v>206.058854</v>
      </c>
      <c r="H54" s="12" t="s">
        <v>143</v>
      </c>
      <c r="I54" s="11">
        <v>0</v>
      </c>
      <c r="J54" s="11">
        <f t="shared" si="13"/>
        <v>206.058854</v>
      </c>
      <c r="K54" s="11">
        <f t="shared" si="15"/>
        <v>206.058854</v>
      </c>
      <c r="L54" s="11">
        <f t="shared" si="15"/>
        <v>206.058854</v>
      </c>
      <c r="M54" s="11">
        <f t="shared" si="15"/>
        <v>206.058854</v>
      </c>
      <c r="N54" s="11">
        <f>$G54*8/12</f>
        <v>137.37256933333333</v>
      </c>
      <c r="O54" s="10">
        <v>0</v>
      </c>
      <c r="P54" s="11">
        <v>0</v>
      </c>
      <c r="Q54" s="11">
        <v>0</v>
      </c>
      <c r="R54" s="11">
        <v>0</v>
      </c>
      <c r="S54" s="11">
        <v>0</v>
      </c>
      <c r="T54" s="11">
        <v>0</v>
      </c>
      <c r="U54" s="11">
        <v>0</v>
      </c>
      <c r="V54" s="5">
        <v>0</v>
      </c>
      <c r="W54" s="15"/>
      <c r="X54" s="5"/>
      <c r="Y54" s="5"/>
      <c r="Z54" s="5"/>
      <c r="AA54" s="5"/>
      <c r="AB54" s="5"/>
      <c r="AC54" s="5"/>
      <c r="AD54" s="5"/>
      <c r="AE54" s="5"/>
      <c r="AF54" s="5"/>
      <c r="AG54" s="5"/>
      <c r="AH54" s="5"/>
      <c r="AI54" s="5"/>
      <c r="AJ54" s="5"/>
      <c r="AK54" s="5"/>
      <c r="AL54" s="5"/>
      <c r="AM54" s="5"/>
      <c r="AN54" s="5"/>
      <c r="AO54" s="5"/>
      <c r="AP54" s="5"/>
      <c r="AQ54" s="5"/>
    </row>
    <row r="55" spans="1:43" ht="45" x14ac:dyDescent="0.25">
      <c r="A55" s="9" t="s">
        <v>51</v>
      </c>
      <c r="B55" s="10" t="s">
        <v>51</v>
      </c>
      <c r="C55" s="10">
        <v>2001</v>
      </c>
      <c r="D55" s="10" t="s">
        <v>54</v>
      </c>
      <c r="E55" s="5" t="s">
        <v>87</v>
      </c>
      <c r="F55" s="10">
        <v>2000</v>
      </c>
      <c r="G55" s="11">
        <f t="shared" si="8"/>
        <v>185.80600000000001</v>
      </c>
      <c r="H55" s="10" t="s">
        <v>144</v>
      </c>
      <c r="I55" s="11">
        <v>0</v>
      </c>
      <c r="J55" s="11">
        <f t="shared" si="13"/>
        <v>185.80600000000001</v>
      </c>
      <c r="K55" s="11">
        <f t="shared" si="15"/>
        <v>185.80600000000001</v>
      </c>
      <c r="L55" s="11">
        <f t="shared" si="15"/>
        <v>185.80600000000001</v>
      </c>
      <c r="M55" s="11">
        <f t="shared" si="15"/>
        <v>185.80600000000001</v>
      </c>
      <c r="N55" s="11">
        <f t="shared" ref="N55:P56" si="16">$G55</f>
        <v>185.80600000000001</v>
      </c>
      <c r="O55" s="11">
        <f t="shared" si="16"/>
        <v>185.80600000000001</v>
      </c>
      <c r="P55" s="11">
        <f t="shared" si="16"/>
        <v>185.80600000000001</v>
      </c>
      <c r="Q55" s="11">
        <f>$G55*3/12</f>
        <v>46.451500000000003</v>
      </c>
      <c r="R55" s="11">
        <v>0</v>
      </c>
      <c r="S55" s="11">
        <v>0</v>
      </c>
      <c r="T55" s="11">
        <v>0</v>
      </c>
      <c r="U55" s="11">
        <v>0</v>
      </c>
      <c r="V55" s="5">
        <v>0</v>
      </c>
      <c r="W55" s="15"/>
      <c r="X55" s="5"/>
      <c r="Y55" s="5"/>
      <c r="Z55" s="5"/>
      <c r="AA55" s="5"/>
      <c r="AB55" s="5"/>
      <c r="AC55" s="5"/>
      <c r="AD55" s="5"/>
      <c r="AE55" s="5"/>
      <c r="AF55" s="5"/>
      <c r="AG55" s="5"/>
      <c r="AH55" s="5"/>
      <c r="AI55" s="5"/>
      <c r="AJ55" s="5"/>
      <c r="AK55" s="5"/>
      <c r="AL55" s="5"/>
      <c r="AM55" s="5"/>
      <c r="AN55" s="5"/>
      <c r="AO55" s="5"/>
      <c r="AP55" s="5"/>
      <c r="AQ55" s="5"/>
    </row>
    <row r="56" spans="1:43" ht="90" x14ac:dyDescent="0.25">
      <c r="A56" s="9" t="s">
        <v>52</v>
      </c>
      <c r="B56" s="10" t="s">
        <v>52</v>
      </c>
      <c r="C56" s="10">
        <v>2001</v>
      </c>
      <c r="D56" s="10">
        <v>2012</v>
      </c>
      <c r="E56" s="5" t="s">
        <v>87</v>
      </c>
      <c r="F56" s="10">
        <v>2324</v>
      </c>
      <c r="G56" s="11">
        <f t="shared" si="8"/>
        <v>215.90657200000001</v>
      </c>
      <c r="H56" s="12" t="s">
        <v>143</v>
      </c>
      <c r="I56" s="11">
        <v>0</v>
      </c>
      <c r="J56" s="11">
        <f t="shared" si="13"/>
        <v>215.90657200000001</v>
      </c>
      <c r="K56" s="11">
        <f t="shared" si="15"/>
        <v>215.90657200000001</v>
      </c>
      <c r="L56" s="11">
        <f t="shared" si="15"/>
        <v>215.90657200000001</v>
      </c>
      <c r="M56" s="11">
        <f t="shared" si="15"/>
        <v>215.90657200000001</v>
      </c>
      <c r="N56" s="11">
        <f t="shared" si="16"/>
        <v>215.90657200000001</v>
      </c>
      <c r="O56" s="11">
        <f t="shared" si="16"/>
        <v>215.90657200000001</v>
      </c>
      <c r="P56" s="11">
        <f t="shared" si="16"/>
        <v>215.90657200000001</v>
      </c>
      <c r="Q56" s="11">
        <f>$G56*3/12</f>
        <v>53.976643000000003</v>
      </c>
      <c r="R56" s="11">
        <v>0</v>
      </c>
      <c r="S56" s="11">
        <v>0</v>
      </c>
      <c r="T56" s="11">
        <v>0</v>
      </c>
      <c r="U56" s="11">
        <v>0</v>
      </c>
      <c r="V56" s="5">
        <v>0</v>
      </c>
      <c r="W56" s="15"/>
      <c r="X56" s="5"/>
      <c r="Y56" s="5"/>
      <c r="Z56" s="5"/>
      <c r="AA56" s="5"/>
      <c r="AB56" s="5"/>
      <c r="AC56" s="5"/>
      <c r="AD56" s="5"/>
      <c r="AE56" s="5"/>
      <c r="AF56" s="5"/>
      <c r="AG56" s="5"/>
      <c r="AH56" s="5"/>
      <c r="AI56" s="5"/>
      <c r="AJ56" s="5"/>
      <c r="AK56" s="5"/>
      <c r="AL56" s="5"/>
      <c r="AM56" s="5"/>
      <c r="AN56" s="5"/>
      <c r="AO56" s="5"/>
      <c r="AP56" s="5"/>
      <c r="AQ56" s="5"/>
    </row>
    <row r="57" spans="1:43" ht="60" x14ac:dyDescent="0.25">
      <c r="A57" s="3" t="s">
        <v>15</v>
      </c>
      <c r="B57" s="4" t="s">
        <v>63</v>
      </c>
      <c r="C57" s="7">
        <v>40057</v>
      </c>
      <c r="D57" s="4" t="s">
        <v>68</v>
      </c>
      <c r="E57" s="5" t="s">
        <v>87</v>
      </c>
      <c r="F57" s="4">
        <v>80000</v>
      </c>
      <c r="G57" s="5">
        <f t="shared" si="8"/>
        <v>7432.24</v>
      </c>
      <c r="H57" s="6" t="s">
        <v>154</v>
      </c>
      <c r="I57" s="5">
        <v>0</v>
      </c>
      <c r="J57" s="4">
        <v>0</v>
      </c>
      <c r="K57" s="4">
        <v>0</v>
      </c>
      <c r="L57" s="4">
        <v>0</v>
      </c>
      <c r="M57" s="4">
        <v>0</v>
      </c>
      <c r="N57" s="5">
        <f>$G57*7/12</f>
        <v>4335.4733333333334</v>
      </c>
      <c r="O57" s="5">
        <f t="shared" ref="O57:U57" si="17">$G57</f>
        <v>7432.24</v>
      </c>
      <c r="P57" s="5">
        <f t="shared" si="17"/>
        <v>7432.24</v>
      </c>
      <c r="Q57" s="5">
        <f t="shared" si="17"/>
        <v>7432.24</v>
      </c>
      <c r="R57" s="5">
        <f t="shared" si="17"/>
        <v>7432.24</v>
      </c>
      <c r="S57" s="5">
        <f t="shared" si="17"/>
        <v>7432.24</v>
      </c>
      <c r="T57" s="5">
        <f t="shared" si="17"/>
        <v>7432.24</v>
      </c>
      <c r="U57" s="5">
        <f t="shared" si="17"/>
        <v>7432.24</v>
      </c>
      <c r="V57" s="5">
        <f t="shared" si="4"/>
        <v>7432.24</v>
      </c>
      <c r="W57" s="15"/>
      <c r="X57" s="5"/>
      <c r="Y57" s="5"/>
      <c r="Z57" s="5"/>
      <c r="AA57" s="5"/>
      <c r="AB57" s="5"/>
      <c r="AC57" s="5"/>
      <c r="AD57" s="5"/>
      <c r="AE57" s="5"/>
      <c r="AF57" s="5"/>
      <c r="AG57" s="5"/>
      <c r="AH57" s="5"/>
      <c r="AI57" s="5"/>
      <c r="AJ57" s="5"/>
      <c r="AK57" s="5"/>
      <c r="AL57" s="5"/>
      <c r="AM57" s="5"/>
      <c r="AN57" s="5"/>
      <c r="AO57" s="5"/>
      <c r="AP57" s="5"/>
      <c r="AQ57" s="5"/>
    </row>
    <row r="58" spans="1:43" ht="45" x14ac:dyDescent="0.25">
      <c r="A58" s="3" t="s">
        <v>146</v>
      </c>
      <c r="B58" s="4" t="s">
        <v>147</v>
      </c>
      <c r="C58" s="8">
        <v>42636</v>
      </c>
      <c r="D58" s="4" t="s">
        <v>68</v>
      </c>
      <c r="E58" s="5" t="s">
        <v>87</v>
      </c>
      <c r="F58" s="4">
        <v>112000</v>
      </c>
      <c r="G58" s="5">
        <f t="shared" si="8"/>
        <v>10405.136</v>
      </c>
      <c r="H58" s="6" t="s">
        <v>155</v>
      </c>
      <c r="I58" s="5">
        <v>0</v>
      </c>
      <c r="J58" s="4">
        <v>0</v>
      </c>
      <c r="K58" s="4">
        <v>0</v>
      </c>
      <c r="L58" s="4">
        <v>0</v>
      </c>
      <c r="M58" s="4">
        <v>0</v>
      </c>
      <c r="N58" s="4">
        <v>0</v>
      </c>
      <c r="O58" s="4">
        <v>0</v>
      </c>
      <c r="P58" s="5">
        <v>0</v>
      </c>
      <c r="Q58" s="5">
        <v>0</v>
      </c>
      <c r="R58" s="5">
        <v>0</v>
      </c>
      <c r="S58" s="5">
        <v>0</v>
      </c>
      <c r="T58" s="5">
        <v>0</v>
      </c>
      <c r="U58" s="5">
        <f>$G58*6/12</f>
        <v>5202.5680000000002</v>
      </c>
      <c r="V58" s="5">
        <f t="shared" si="4"/>
        <v>10405.136</v>
      </c>
      <c r="W58" s="15"/>
      <c r="X58" s="5"/>
      <c r="Y58" s="5"/>
      <c r="Z58" s="5"/>
      <c r="AA58" s="5"/>
      <c r="AB58" s="5"/>
      <c r="AC58" s="5"/>
      <c r="AD58" s="5"/>
      <c r="AE58" s="5"/>
      <c r="AF58" s="5"/>
      <c r="AG58" s="5"/>
      <c r="AH58" s="5"/>
      <c r="AI58" s="5"/>
      <c r="AJ58" s="5"/>
      <c r="AK58" s="5"/>
      <c r="AL58" s="5"/>
      <c r="AM58" s="5"/>
      <c r="AN58" s="5"/>
      <c r="AO58" s="5"/>
      <c r="AP58" s="5"/>
      <c r="AQ58" s="5"/>
    </row>
    <row r="59" spans="1:43" ht="30" x14ac:dyDescent="0.25">
      <c r="A59" s="3" t="s">
        <v>145</v>
      </c>
      <c r="B59" s="4" t="s">
        <v>55</v>
      </c>
      <c r="C59" s="4">
        <v>2003</v>
      </c>
      <c r="D59" s="8">
        <v>42916</v>
      </c>
      <c r="E59" s="5" t="s">
        <v>88</v>
      </c>
      <c r="F59" s="4">
        <v>48880</v>
      </c>
      <c r="G59" s="5">
        <f>F59*0.092903</f>
        <v>4541.0986400000002</v>
      </c>
      <c r="H59" s="4"/>
      <c r="I59" s="5">
        <v>0</v>
      </c>
      <c r="J59" s="5">
        <f>$G59</f>
        <v>4541.0986400000002</v>
      </c>
      <c r="K59" s="5">
        <f t="shared" ref="K59:U60" si="18">$G59</f>
        <v>4541.0986400000002</v>
      </c>
      <c r="L59" s="5">
        <f t="shared" si="18"/>
        <v>4541.0986400000002</v>
      </c>
      <c r="M59" s="5">
        <f t="shared" si="18"/>
        <v>4541.0986400000002</v>
      </c>
      <c r="N59" s="5">
        <f t="shared" si="18"/>
        <v>4541.0986400000002</v>
      </c>
      <c r="O59" s="5">
        <f t="shared" si="18"/>
        <v>4541.0986400000002</v>
      </c>
      <c r="P59" s="5">
        <f t="shared" si="18"/>
        <v>4541.0986400000002</v>
      </c>
      <c r="Q59" s="5">
        <f t="shared" si="18"/>
        <v>4541.0986400000002</v>
      </c>
      <c r="R59" s="5">
        <f t="shared" si="18"/>
        <v>4541.0986400000002</v>
      </c>
      <c r="S59" s="5">
        <f t="shared" si="18"/>
        <v>4541.0986400000002</v>
      </c>
      <c r="T59" s="5">
        <f t="shared" si="18"/>
        <v>4541.0986400000002</v>
      </c>
      <c r="U59" s="5">
        <f t="shared" si="18"/>
        <v>4541.0986400000002</v>
      </c>
      <c r="V59" s="5">
        <f t="shared" si="4"/>
        <v>4541.0986400000002</v>
      </c>
      <c r="W59" s="15"/>
      <c r="X59" s="5"/>
      <c r="Y59" s="5"/>
      <c r="Z59" s="5"/>
      <c r="AA59" s="5"/>
      <c r="AB59" s="5"/>
      <c r="AC59" s="5"/>
      <c r="AD59" s="5"/>
      <c r="AE59" s="5"/>
      <c r="AF59" s="5"/>
      <c r="AG59" s="5"/>
      <c r="AH59" s="5"/>
      <c r="AI59" s="5"/>
      <c r="AJ59" s="5"/>
      <c r="AK59" s="5"/>
      <c r="AL59" s="5"/>
      <c r="AM59" s="5"/>
      <c r="AN59" s="5"/>
      <c r="AO59" s="5"/>
      <c r="AP59" s="5"/>
      <c r="AQ59" s="5"/>
    </row>
    <row r="60" spans="1:43" ht="30" x14ac:dyDescent="0.25">
      <c r="A60" s="3" t="s">
        <v>71</v>
      </c>
      <c r="B60" s="4" t="s">
        <v>53</v>
      </c>
      <c r="C60" s="4">
        <v>2012</v>
      </c>
      <c r="D60" s="8">
        <v>41882</v>
      </c>
      <c r="E60" s="5" t="s">
        <v>88</v>
      </c>
      <c r="F60" s="4">
        <v>15000</v>
      </c>
      <c r="G60" s="5">
        <f>F60*0.092903</f>
        <v>1393.5450000000001</v>
      </c>
      <c r="H60" s="4"/>
      <c r="I60" s="5">
        <v>0</v>
      </c>
      <c r="J60" s="4">
        <v>0</v>
      </c>
      <c r="K60" s="4">
        <v>0</v>
      </c>
      <c r="L60" s="4">
        <v>0</v>
      </c>
      <c r="M60" s="4">
        <v>0</v>
      </c>
      <c r="N60" s="4">
        <v>0</v>
      </c>
      <c r="O60" s="4">
        <v>0</v>
      </c>
      <c r="P60" s="5">
        <v>0</v>
      </c>
      <c r="Q60" s="5">
        <f>$G60*7/12</f>
        <v>812.90125</v>
      </c>
      <c r="R60" s="5">
        <f t="shared" si="18"/>
        <v>1393.5450000000001</v>
      </c>
      <c r="S60" s="5">
        <f>$G60*5/12</f>
        <v>580.64375000000007</v>
      </c>
      <c r="T60" s="5">
        <v>0</v>
      </c>
      <c r="U60" s="5">
        <v>0</v>
      </c>
      <c r="V60" s="5">
        <v>0</v>
      </c>
      <c r="W60" s="15"/>
      <c r="X60" s="14"/>
      <c r="Y60" s="14"/>
      <c r="Z60" s="14"/>
      <c r="AA60" s="14"/>
      <c r="AB60" s="14"/>
      <c r="AC60" s="14"/>
      <c r="AD60" s="14"/>
      <c r="AE60" s="14"/>
      <c r="AF60" s="14"/>
      <c r="AG60" s="14"/>
      <c r="AH60" s="14"/>
      <c r="AI60" s="14"/>
      <c r="AJ60" s="14"/>
      <c r="AK60" s="14"/>
      <c r="AL60" s="14"/>
      <c r="AM60" s="14"/>
      <c r="AN60" s="14"/>
      <c r="AO60" s="14"/>
      <c r="AP60" s="14"/>
      <c r="AQ60" s="14"/>
    </row>
  </sheetData>
  <dataValidations disablePrompts="1" count="1">
    <dataValidation type="list" allowBlank="1" showInputMessage="1" showErrorMessage="1" sqref="E2:E60">
      <formula1>$XFD$2:$XFD$5</formula1>
    </dataValidation>
  </dataValidations>
  <hyperlinks>
    <hyperlink ref="H24" r:id="rId1"/>
    <hyperlink ref="H11" r:id="rId2"/>
    <hyperlink ref="H22" r:id="rId3"/>
    <hyperlink ref="H23" r:id="rId4"/>
    <hyperlink ref="H21" r:id="rId5"/>
    <hyperlink ref="H52" r:id="rId6"/>
    <hyperlink ref="H53" r:id="rId7"/>
    <hyperlink ref="H54" r:id="rId8"/>
    <hyperlink ref="H56" r:id="rId9"/>
    <hyperlink ref="H58" r:id="rId10"/>
    <hyperlink ref="H57" r:id="rId11"/>
  </hyperlinks>
  <pageMargins left="0.7" right="0.7" top="0.75" bottom="0.75" header="0.3" footer="0.3"/>
  <pageSetup orientation="portrait" r:id="rId12"/>
  <ignoredErrors>
    <ignoredError sqref="G2:G3" calculatedColumn="1"/>
  </ignoredErrors>
  <legacyDrawing r:id="rId13"/>
  <tableParts count="2">
    <tablePart r:id="rId14"/>
    <tablePart r:id="rId15"/>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EV1048574"/>
  <sheetViews>
    <sheetView workbookViewId="0">
      <selection activeCell="D14" sqref="D14:F14"/>
    </sheetView>
  </sheetViews>
  <sheetFormatPr defaultRowHeight="15" x14ac:dyDescent="0.25"/>
  <cols>
    <col min="2" max="2" width="17.28515625" customWidth="1"/>
    <col min="3" max="3" width="17" customWidth="1"/>
    <col min="4" max="4" width="17.140625" customWidth="1"/>
    <col min="5" max="5" width="16.85546875" customWidth="1"/>
    <col min="6" max="6" width="20.85546875" customWidth="1"/>
    <col min="7" max="7" width="20" customWidth="1"/>
    <col min="8" max="8" width="19.7109375" customWidth="1"/>
    <col min="16376" max="16384" width="12.28515625" customWidth="1"/>
  </cols>
  <sheetData>
    <row r="1" spans="1:8" x14ac:dyDescent="0.25">
      <c r="A1" s="2" t="s">
        <v>75</v>
      </c>
      <c r="B1" s="2" t="s">
        <v>162</v>
      </c>
      <c r="C1" s="2" t="s">
        <v>163</v>
      </c>
      <c r="D1" s="2" t="s">
        <v>87</v>
      </c>
      <c r="E1" s="2" t="s">
        <v>88</v>
      </c>
      <c r="F1" s="2" t="s">
        <v>89</v>
      </c>
      <c r="G1" s="2" t="s">
        <v>90</v>
      </c>
      <c r="H1" s="2" t="s">
        <v>91</v>
      </c>
    </row>
    <row r="2" spans="1:8" x14ac:dyDescent="0.25">
      <c r="A2" s="13" t="s">
        <v>149</v>
      </c>
      <c r="B2" s="16">
        <f>SUMPRODUCT((SpaceInventory[Building or Housing, Leased or Owned]=Table7[[#Headers],[Building Owned]])*(SpaceInventory[[#Headers],[1990-91]:[2039-40]]=Table7[[#This Row],[Year]])*(SpaceInventory[[1990-91]:[2039-40]]))</f>
        <v>90137.277690000017</v>
      </c>
      <c r="C2" s="16">
        <f>SUMPRODUCT((SpaceInventory[Building or Housing, Leased or Owned]=Table7[[#Headers],[Building Leased]])*(SpaceInventory[[#Headers],[1990-91]:[2039-40]]=Table7[[#This Row],[Year]])*(SpaceInventory[[1990-91]:[2039-40]]))</f>
        <v>0</v>
      </c>
      <c r="D2" s="16">
        <f>SUMPRODUCT((SpaceInventory[Building or Housing, Leased or Owned]=Table7[[#Headers],[Housing Owned]])*(SpaceInventory[[#Headers],[1990-91]:[2039-40]]=Table7[[#This Row],[Year]])*(SpaceInventory[[1990-91]:[2039-40]]))</f>
        <v>0</v>
      </c>
      <c r="E2" s="16">
        <f>SUMPRODUCT((SpaceInventory[Building or Housing, Leased or Owned]=Table7[[#Headers],[Housing Leased]])*(SpaceInventory[[#Headers],[1990-91]:[2039-40]]=Table7[[#This Row],[Year]])*(SpaceInventory[[1990-91]:[2039-40]]))</f>
        <v>0</v>
      </c>
      <c r="F2"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90137.277690000017</v>
      </c>
      <c r="G2"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90137.277690000017</v>
      </c>
      <c r="H2"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0</v>
      </c>
    </row>
    <row r="3" spans="1:8" x14ac:dyDescent="0.25">
      <c r="A3" s="13" t="s">
        <v>150</v>
      </c>
      <c r="B3" s="16">
        <f>SUMPRODUCT((SpaceInventory[Building or Housing, Leased or Owned]=Table7[[#Headers],[Building Owned]])*(SpaceInventory[[#Headers],[1990-91]:[2039-40]]=Table7[[#This Row],[Year]])*(SpaceInventory[[1990-91]:[2039-40]]))</f>
        <v>94040.875944000043</v>
      </c>
      <c r="C3" s="16">
        <f>SUMPRODUCT((SpaceInventory[Building or Housing, Leased or Owned]=Table7[[#Headers],[Building Leased]])*(SpaceInventory[[#Headers],[1990-91]:[2039-40]]=Table7[[#This Row],[Year]])*(SpaceInventory[[1990-91]:[2039-40]]))</f>
        <v>5691.8571333333339</v>
      </c>
      <c r="D3" s="16">
        <f>SUMPRODUCT((SpaceInventory[Building or Housing, Leased or Owned]=Table7[[#Headers],[Housing Owned]])*(SpaceInventory[[#Headers],[1990-91]:[2039-40]]=Table7[[#This Row],[Year]])*(SpaceInventory[[1990-91]:[2039-40]]))</f>
        <v>1992.3048350000001</v>
      </c>
      <c r="E3" s="16">
        <f>SUMPRODUCT((SpaceInventory[Building or Housing, Leased or Owned]=Table7[[#Headers],[Housing Leased]])*(SpaceInventory[[#Headers],[1990-91]:[2039-40]]=Table7[[#This Row],[Year]])*(SpaceInventory[[1990-91]:[2039-40]]))</f>
        <v>4541.0986400000002</v>
      </c>
      <c r="F3"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106266.13655233338</v>
      </c>
      <c r="G3"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96033.180779000046</v>
      </c>
      <c r="H3"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10232.955773333335</v>
      </c>
    </row>
    <row r="4" spans="1:8" x14ac:dyDescent="0.25">
      <c r="A4" s="13" t="s">
        <v>78</v>
      </c>
      <c r="B4" s="16">
        <f>SUMPRODUCT((SpaceInventory[Building or Housing, Leased or Owned]=Table7[[#Headers],[Building Owned]])*(SpaceInventory[[#Headers],[1990-91]:[2039-40]]=Table7[[#This Row],[Year]])*(SpaceInventory[[1990-91]:[2039-40]]))</f>
        <v>94040.875944000043</v>
      </c>
      <c r="C4" s="16">
        <f>SUMPRODUCT((SpaceInventory[Building or Housing, Leased or Owned]=Table7[[#Headers],[Building Leased]])*(SpaceInventory[[#Headers],[1990-91]:[2039-40]]=Table7[[#This Row],[Year]])*(SpaceInventory[[1990-91]:[2039-40]]))</f>
        <v>6518.1673830000009</v>
      </c>
      <c r="D4" s="16">
        <f>SUMPRODUCT((SpaceInventory[Building or Housing, Leased or Owned]=Table7[[#Headers],[Housing Owned]])*(SpaceInventory[[#Headers],[1990-91]:[2039-40]]=Table7[[#This Row],[Year]])*(SpaceInventory[[1990-91]:[2039-40]]))</f>
        <v>1992.3048350000001</v>
      </c>
      <c r="E4" s="16">
        <f>SUMPRODUCT((SpaceInventory[Building or Housing, Leased or Owned]=Table7[[#Headers],[Housing Leased]])*(SpaceInventory[[#Headers],[1990-91]:[2039-40]]=Table7[[#This Row],[Year]])*(SpaceInventory[[1990-91]:[2039-40]]))</f>
        <v>4541.0986400000002</v>
      </c>
      <c r="F4"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107092.44680200005</v>
      </c>
      <c r="G4"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96033.180779000046</v>
      </c>
      <c r="H4"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11059.266023</v>
      </c>
    </row>
    <row r="5" spans="1:8" x14ac:dyDescent="0.25">
      <c r="A5" s="13" t="s">
        <v>79</v>
      </c>
      <c r="B5" s="16">
        <f>SUMPRODUCT((SpaceInventory[Building or Housing, Leased or Owned]=Table7[[#Headers],[Building Owned]])*(SpaceInventory[[#Headers],[1990-91]:[2039-40]]=Table7[[#This Row],[Year]])*(SpaceInventory[[1990-91]:[2039-40]]))</f>
        <v>94011.456660666707</v>
      </c>
      <c r="C5" s="16">
        <f>SUMPRODUCT((SpaceInventory[Building or Housing, Leased or Owned]=Table7[[#Headers],[Building Leased]])*(SpaceInventory[[#Headers],[1990-91]:[2039-40]]=Table7[[#This Row],[Year]])*(SpaceInventory[[1990-91]:[2039-40]]))</f>
        <v>7356.6169580000005</v>
      </c>
      <c r="D5" s="16">
        <f>SUMPRODUCT((SpaceInventory[Building or Housing, Leased or Owned]=Table7[[#Headers],[Housing Owned]])*(SpaceInventory[[#Headers],[1990-91]:[2039-40]]=Table7[[#This Row],[Year]])*(SpaceInventory[[1990-91]:[2039-40]]))</f>
        <v>1992.3048350000001</v>
      </c>
      <c r="E5" s="16">
        <f>SUMPRODUCT((SpaceInventory[Building or Housing, Leased or Owned]=Table7[[#Headers],[Housing Leased]])*(SpaceInventory[[#Headers],[1990-91]:[2039-40]]=Table7[[#This Row],[Year]])*(SpaceInventory[[1990-91]:[2039-40]]))</f>
        <v>4541.0986400000002</v>
      </c>
      <c r="F5"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107901.4770936667</v>
      </c>
      <c r="G5"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96003.761495666709</v>
      </c>
      <c r="H5"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11897.715598000001</v>
      </c>
    </row>
    <row r="6" spans="1:8" x14ac:dyDescent="0.25">
      <c r="A6" s="13" t="s">
        <v>80</v>
      </c>
      <c r="B6" s="16">
        <f>SUMPRODUCT((SpaceInventory[Building or Housing, Leased or Owned]=Table7[[#Headers],[Building Owned]])*(SpaceInventory[[#Headers],[1990-91]:[2039-40]]=Table7[[#This Row],[Year]])*(SpaceInventory[[1990-91]:[2039-40]]))</f>
        <v>93403.375558000043</v>
      </c>
      <c r="C6" s="16">
        <f>SUMPRODUCT((SpaceInventory[Building or Housing, Leased or Owned]=Table7[[#Headers],[Building Leased]])*(SpaceInventory[[#Headers],[1990-91]:[2039-40]]=Table7[[#This Row],[Year]])*(SpaceInventory[[1990-91]:[2039-40]]))</f>
        <v>7672.765867000001</v>
      </c>
      <c r="D6" s="16">
        <f>SUMPRODUCT((SpaceInventory[Building or Housing, Leased or Owned]=Table7[[#Headers],[Housing Owned]])*(SpaceInventory[[#Headers],[1990-91]:[2039-40]]=Table7[[#This Row],[Year]])*(SpaceInventory[[1990-91]:[2039-40]]))</f>
        <v>1869.9206163333336</v>
      </c>
      <c r="E6" s="16">
        <f>SUMPRODUCT((SpaceInventory[Building or Housing, Leased or Owned]=Table7[[#Headers],[Housing Leased]])*(SpaceInventory[[#Headers],[1990-91]:[2039-40]]=Table7[[#This Row],[Year]])*(SpaceInventory[[1990-91]:[2039-40]]))</f>
        <v>4541.0986400000002</v>
      </c>
      <c r="F6"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107487.16068133336</v>
      </c>
      <c r="G6"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95273.296174333373</v>
      </c>
      <c r="H6"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12213.864507000002</v>
      </c>
    </row>
    <row r="7" spans="1:8" x14ac:dyDescent="0.25">
      <c r="A7" s="13" t="s">
        <v>81</v>
      </c>
      <c r="B7" s="16">
        <f>SUMPRODUCT((SpaceInventory[Building or Housing, Leased or Owned]=Table7[[#Headers],[Building Owned]])*(SpaceInventory[[#Headers],[1990-91]:[2039-40]]=Table7[[#This Row],[Year]])*(SpaceInventory[[1990-91]:[2039-40]]))</f>
        <v>92925.134139750036</v>
      </c>
      <c r="C7" s="16">
        <f>SUMPRODUCT((SpaceInventory[Building or Housing, Leased or Owned]=Table7[[#Headers],[Building Leased]])*(SpaceInventory[[#Headers],[1990-91]:[2039-40]]=Table7[[#This Row],[Year]])*(SpaceInventory[[1990-91]:[2039-40]]))</f>
        <v>6649.0522261666674</v>
      </c>
      <c r="D7" s="16">
        <f>SUMPRODUCT((SpaceInventory[Building or Housing, Leased or Owned]=Table7[[#Headers],[Housing Owned]])*(SpaceInventory[[#Headers],[1990-91]:[2039-40]]=Table7[[#This Row],[Year]])*(SpaceInventory[[1990-91]:[2039-40]]))</f>
        <v>5824.4916496666665</v>
      </c>
      <c r="E7" s="16">
        <f>SUMPRODUCT((SpaceInventory[Building or Housing, Leased or Owned]=Table7[[#Headers],[Housing Leased]])*(SpaceInventory[[#Headers],[1990-91]:[2039-40]]=Table7[[#This Row],[Year]])*(SpaceInventory[[1990-91]:[2039-40]]))</f>
        <v>4541.0986400000002</v>
      </c>
      <c r="F7"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109939.77665558337</v>
      </c>
      <c r="G7"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98749.625789416707</v>
      </c>
      <c r="H7"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11190.150866166667</v>
      </c>
    </row>
    <row r="8" spans="1:8" x14ac:dyDescent="0.25">
      <c r="A8" s="13" t="s">
        <v>82</v>
      </c>
      <c r="B8" s="16">
        <f>SUMPRODUCT((SpaceInventory[Building or Housing, Leased or Owned]=Table7[[#Headers],[Building Owned]])*(SpaceInventory[[#Headers],[1990-91]:[2039-40]]=Table7[[#This Row],[Year]])*(SpaceInventory[[1990-91]:[2039-40]]))</f>
        <v>95176.584151333373</v>
      </c>
      <c r="C8" s="16">
        <f>SUMPRODUCT((SpaceInventory[Building or Housing, Leased or Owned]=Table7[[#Headers],[Building Leased]])*(SpaceInventory[[#Headers],[1990-91]:[2039-40]]=Table7[[#This Row],[Year]])*(SpaceInventory[[1990-91]:[2039-40]]))</f>
        <v>6280.6763473333331</v>
      </c>
      <c r="D8" s="16">
        <f>SUMPRODUCT((SpaceInventory[Building or Housing, Leased or Owned]=Table7[[#Headers],[Housing Owned]])*(SpaceInventory[[#Headers],[1990-91]:[2039-40]]=Table7[[#This Row],[Year]])*(SpaceInventory[[1990-91]:[2039-40]]))</f>
        <v>8648.9905909999998</v>
      </c>
      <c r="E8" s="16">
        <f>SUMPRODUCT((SpaceInventory[Building or Housing, Leased or Owned]=Table7[[#Headers],[Housing Leased]])*(SpaceInventory[[#Headers],[1990-91]:[2039-40]]=Table7[[#This Row],[Year]])*(SpaceInventory[[1990-91]:[2039-40]]))</f>
        <v>4541.0986400000002</v>
      </c>
      <c r="F8"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114647.34972966669</v>
      </c>
      <c r="G8"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103825.57474233337</v>
      </c>
      <c r="H8"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10821.774987333334</v>
      </c>
    </row>
    <row r="9" spans="1:8" x14ac:dyDescent="0.25">
      <c r="A9" s="13" t="s">
        <v>83</v>
      </c>
      <c r="B9" s="16">
        <f>SUMPRODUCT((SpaceInventory[Building or Housing, Leased or Owned]=Table7[[#Headers],[Building Owned]])*(SpaceInventory[[#Headers],[1990-91]:[2039-40]]=Table7[[#This Row],[Year]])*(SpaceInventory[[1990-91]:[2039-40]]))</f>
        <v>110378.9213946667</v>
      </c>
      <c r="C9" s="16">
        <f>SUMPRODUCT((SpaceInventory[Building or Housing, Leased or Owned]=Table7[[#Headers],[Building Leased]])*(SpaceInventory[[#Headers],[1990-91]:[2039-40]]=Table7[[#This Row],[Year]])*(SpaceInventory[[1990-91]:[2039-40]]))</f>
        <v>7753.8392183333335</v>
      </c>
      <c r="D9" s="16">
        <f>SUMPRODUCT((SpaceInventory[Building or Housing, Leased or Owned]=Table7[[#Headers],[Housing Owned]])*(SpaceInventory[[#Headers],[1990-91]:[2039-40]]=Table7[[#This Row],[Year]])*(SpaceInventory[[1990-91]:[2039-40]]))</f>
        <v>8648.9905909999998</v>
      </c>
      <c r="E9" s="16">
        <f>SUMPRODUCT((SpaceInventory[Building or Housing, Leased or Owned]=Table7[[#Headers],[Housing Leased]])*(SpaceInventory[[#Headers],[1990-91]:[2039-40]]=Table7[[#This Row],[Year]])*(SpaceInventory[[1990-91]:[2039-40]]))</f>
        <v>4541.0986400000002</v>
      </c>
      <c r="F9"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131322.84984400004</v>
      </c>
      <c r="G9"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119027.91198566669</v>
      </c>
      <c r="H9"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12294.937858333335</v>
      </c>
    </row>
    <row r="10" spans="1:8" x14ac:dyDescent="0.25">
      <c r="A10" s="13" t="s">
        <v>84</v>
      </c>
      <c r="B10" s="16">
        <f>SUMPRODUCT((SpaceInventory[Building or Housing, Leased or Owned]=Table7[[#Headers],[Building Owned]])*(SpaceInventory[[#Headers],[1990-91]:[2039-40]]=Table7[[#This Row],[Year]])*(SpaceInventory[[1990-91]:[2039-40]]))</f>
        <v>109301.71110966669</v>
      </c>
      <c r="C10" s="16">
        <f>SUMPRODUCT((SpaceInventory[Building or Housing, Leased or Owned]=Table7[[#Headers],[Building Leased]])*(SpaceInventory[[#Headers],[1990-91]:[2039-40]]=Table7[[#This Row],[Year]])*(SpaceInventory[[1990-91]:[2039-40]]))</f>
        <v>8558.5688752916667</v>
      </c>
      <c r="D10" s="16">
        <f>SUMPRODUCT((SpaceInventory[Building or Housing, Leased or Owned]=Table7[[#Headers],[Housing Owned]])*(SpaceInventory[[#Headers],[1990-91]:[2039-40]]=Table7[[#This Row],[Year]])*(SpaceInventory[[1990-91]:[2039-40]]))</f>
        <v>8347.7061620000004</v>
      </c>
      <c r="E10" s="16">
        <f>SUMPRODUCT((SpaceInventory[Building or Housing, Leased or Owned]=Table7[[#Headers],[Housing Leased]])*(SpaceInventory[[#Headers],[1990-91]:[2039-40]]=Table7[[#This Row],[Year]])*(SpaceInventory[[1990-91]:[2039-40]]))</f>
        <v>5353.9998900000001</v>
      </c>
      <c r="F10"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131561.98603695835</v>
      </c>
      <c r="G10"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117649.41727166669</v>
      </c>
      <c r="H10"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13912.568765291668</v>
      </c>
    </row>
    <row r="11" spans="1:8" x14ac:dyDescent="0.25">
      <c r="A11" s="13" t="s">
        <v>74</v>
      </c>
      <c r="B11" s="16">
        <f>SUMPRODUCT((SpaceInventory[Building or Housing, Leased or Owned]=Table7[[#Headers],[Building Owned]])*(SpaceInventory[[#Headers],[1990-91]:[2039-40]]=Table7[[#This Row],[Year]])*(SpaceInventory[[1990-91]:[2039-40]]))</f>
        <v>108434.24483100002</v>
      </c>
      <c r="C11" s="16">
        <f>SUMPRODUCT((SpaceInventory[Building or Housing, Leased or Owned]=Table7[[#Headers],[Building Leased]])*(SpaceInventory[[#Headers],[1990-91]:[2039-40]]=Table7[[#This Row],[Year]])*(SpaceInventory[[1990-91]:[2039-40]]))</f>
        <v>9785.0704103333319</v>
      </c>
      <c r="D11" s="16">
        <f>SUMPRODUCT((SpaceInventory[Building or Housing, Leased or Owned]=Table7[[#Headers],[Housing Owned]])*(SpaceInventory[[#Headers],[1990-91]:[2039-40]]=Table7[[#This Row],[Year]])*(SpaceInventory[[1990-91]:[2039-40]]))</f>
        <v>8247.2780189999994</v>
      </c>
      <c r="E11" s="16">
        <f>SUMPRODUCT((SpaceInventory[Building or Housing, Leased or Owned]=Table7[[#Headers],[Housing Leased]])*(SpaceInventory[[#Headers],[1990-91]:[2039-40]]=Table7[[#This Row],[Year]])*(SpaceInventory[[1990-91]:[2039-40]]))</f>
        <v>5934.6436400000002</v>
      </c>
      <c r="F11"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132401.23690033334</v>
      </c>
      <c r="G11"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116681.52285000002</v>
      </c>
      <c r="H11"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15719.714050333332</v>
      </c>
    </row>
    <row r="12" spans="1:8" x14ac:dyDescent="0.25">
      <c r="A12" s="13" t="s">
        <v>85</v>
      </c>
      <c r="B12" s="16">
        <f>SUMPRODUCT((SpaceInventory[Building or Housing, Leased or Owned]=Table7[[#Headers],[Building Owned]])*(SpaceInventory[[#Headers],[1990-91]:[2039-40]]=Table7[[#This Row],[Year]])*(SpaceInventory[[1990-91]:[2039-40]]))</f>
        <v>121936.14749766669</v>
      </c>
      <c r="C12" s="16">
        <f>SUMPRODUCT((SpaceInventory[Building or Housing, Leased or Owned]=Table7[[#Headers],[Building Leased]])*(SpaceInventory[[#Headers],[1990-91]:[2039-40]]=Table7[[#This Row],[Year]])*(SpaceInventory[[1990-91]:[2039-40]]))</f>
        <v>10100.321257</v>
      </c>
      <c r="D12" s="16">
        <f>SUMPRODUCT((SpaceInventory[Building or Housing, Leased or Owned]=Table7[[#Headers],[Housing Owned]])*(SpaceInventory[[#Headers],[1990-91]:[2039-40]]=Table7[[#This Row],[Year]])*(SpaceInventory[[1990-91]:[2039-40]]))</f>
        <v>8247.2780189999994</v>
      </c>
      <c r="E12" s="16">
        <f>SUMPRODUCT((SpaceInventory[Building or Housing, Leased or Owned]=Table7[[#Headers],[Housing Leased]])*(SpaceInventory[[#Headers],[1990-91]:[2039-40]]=Table7[[#This Row],[Year]])*(SpaceInventory[[1990-91]:[2039-40]]))</f>
        <v>5121.7423900000003</v>
      </c>
      <c r="F12"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145405.48916366667</v>
      </c>
      <c r="G12"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130183.4255166667</v>
      </c>
      <c r="H12"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15222.063646999999</v>
      </c>
    </row>
    <row r="13" spans="1:8" x14ac:dyDescent="0.25">
      <c r="A13" s="13" t="s">
        <v>86</v>
      </c>
      <c r="B13" s="16">
        <f>SUMPRODUCT((SpaceInventory[Building or Housing, Leased or Owned]=Table7[[#Headers],[Building Owned]])*(SpaceInventory[[#Headers],[1990-91]:[2039-40]]=Table7[[#This Row],[Year]])*(SpaceInventory[[1990-91]:[2039-40]]))</f>
        <v>125514.46138100002</v>
      </c>
      <c r="C13" s="16">
        <f>SUMPRODUCT((SpaceInventory[Building or Housing, Leased or Owned]=Table7[[#Headers],[Building Leased]])*(SpaceInventory[[#Headers],[1990-91]:[2039-40]]=Table7[[#This Row],[Year]])*(SpaceInventory[[1990-91]:[2039-40]]))</f>
        <v>10100.321257</v>
      </c>
      <c r="D13" s="16">
        <f>SUMPRODUCT((SpaceInventory[Building or Housing, Leased or Owned]=Table7[[#Headers],[Housing Owned]])*(SpaceInventory[[#Headers],[1990-91]:[2039-40]]=Table7[[#This Row],[Year]])*(SpaceInventory[[1990-91]:[2039-40]]))</f>
        <v>8247.2780189999994</v>
      </c>
      <c r="E13" s="16">
        <f>SUMPRODUCT((SpaceInventory[Building or Housing, Leased or Owned]=Table7[[#Headers],[Housing Leased]])*(SpaceInventory[[#Headers],[1990-91]:[2039-40]]=Table7[[#This Row],[Year]])*(SpaceInventory[[1990-91]:[2039-40]]))</f>
        <v>4541.0986400000002</v>
      </c>
      <c r="F13"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148403.15929700001</v>
      </c>
      <c r="G13"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133761.73940000002</v>
      </c>
      <c r="H13"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14641.419897</v>
      </c>
    </row>
    <row r="14" spans="1:8" x14ac:dyDescent="0.25">
      <c r="A14" s="13" t="s">
        <v>151</v>
      </c>
      <c r="B14" s="16">
        <f>SUMPRODUCT((SpaceInventory[Building or Housing, Leased or Owned]=Table7[[#Headers],[Building Owned]])*(SpaceInventory[[#Headers],[1990-91]:[2039-40]]=Table7[[#This Row],[Year]])*(SpaceInventory[[1990-91]:[2039-40]]))</f>
        <v>125514.46138100002</v>
      </c>
      <c r="C14" s="16">
        <f>SUMPRODUCT((SpaceInventory[Building or Housing, Leased or Owned]=Table7[[#Headers],[Building Leased]])*(SpaceInventory[[#Headers],[1990-91]:[2039-40]]=Table7[[#This Row],[Year]])*(SpaceInventory[[1990-91]:[2039-40]]))</f>
        <v>9587.8063736666663</v>
      </c>
      <c r="D14" s="16">
        <f>SUMPRODUCT((SpaceInventory[Building or Housing, Leased or Owned]=Table7[[#Headers],[Housing Owned]])*(SpaceInventory[[#Headers],[1990-91]:[2039-40]]=Table7[[#This Row],[Year]])*(SpaceInventory[[1990-91]:[2039-40]]))</f>
        <v>13449.846019000001</v>
      </c>
      <c r="E14" s="16">
        <f>SUMPRODUCT((SpaceInventory[Building or Housing, Leased or Owned]=Table7[[#Headers],[Housing Leased]])*(SpaceInventory[[#Headers],[1990-91]:[2039-40]]=Table7[[#This Row],[Year]])*(SpaceInventory[[1990-91]:[2039-40]]))</f>
        <v>4541.0986400000002</v>
      </c>
      <c r="F14" s="1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153093.21241366668</v>
      </c>
      <c r="G14" s="1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138964.30740000002</v>
      </c>
      <c r="H14" s="1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14128.905013666666</v>
      </c>
    </row>
    <row r="15" spans="1:8" x14ac:dyDescent="0.25">
      <c r="A15" s="13" t="s">
        <v>166</v>
      </c>
      <c r="B15" s="26">
        <f>SUMPRODUCT((SpaceInventory[Building or Housing, Leased or Owned]=Table7[[#Headers],[Building Owned]])*(SpaceInventory[[#Headers],[1990-91]:[2039-40]]=Table7[[#This Row],[Year]])*(SpaceInventory[[1990-91]:[2039-40]]))</f>
        <v>125514.46138100002</v>
      </c>
      <c r="C15" s="26">
        <f>SUMPRODUCT((SpaceInventory[Building or Housing, Leased or Owned]=Table7[[#Headers],[Building Leased]])*(SpaceInventory[[#Headers],[1990-91]:[2039-40]]=Table7[[#This Row],[Year]])*(SpaceInventory[[1990-91]:[2039-40]]))</f>
        <v>9835.5477069999997</v>
      </c>
      <c r="D15" s="26">
        <f>SUMPRODUCT((SpaceInventory[Building or Housing, Leased or Owned]=Table7[[#Headers],[Housing Owned]])*(SpaceInventory[[#Headers],[1990-91]:[2039-40]]=Table7[[#This Row],[Year]])*(SpaceInventory[[1990-91]:[2039-40]]))</f>
        <v>18652.414019</v>
      </c>
      <c r="E15" s="26">
        <f>SUMPRODUCT((SpaceInventory[Building or Housing, Leased or Owned]=Table7[[#Headers],[Housing Leased]])*(SpaceInventory[[#Headers],[1990-91]:[2039-40]]=Table7[[#This Row],[Year]])*(SpaceInventory[[1990-91]:[2039-40]]))</f>
        <v>4541.0986400000002</v>
      </c>
      <c r="F15" s="26">
        <f>SUMPRODUCT((SpaceInventory[Building or Housing, Leased or Owned]=Table7[[#Headers],[Building Owned]])*(SpaceInventory[[#Headers],[1990-91]:[2039-40]]=Table7[[#This Row],[Year]])*(SpaceInventory[[1990-91]:[2039-40]]))+SUMPRODUCT((SpaceInventory[Building or Housing, Leased or Owned]=Table7[[#Headers],[Building Leased]])*(SpaceInventory[[#Headers],[1990-91]:[2039-40]]=Table7[[#This Row],[Year]])*(SpaceInventory[[1990-91]:[2039-40]]))+SUMPRODUCT((SpaceInventory[Building or Housing, Leased or Owned]=Table7[[#Headers],[Housing Owned]])*(SpaceInventory[[#Headers],[1990-91]:[2039-40]]=Table7[[#This Row],[Year]])*(SpaceInventory[[1990-91]:[2039-40]]))+SUMPRODUCT((SpaceInventory[Building or Housing, Leased or Owned]=Table7[[#Headers],[Housing Leased]])*(SpaceInventory[[#Headers],[1990-91]:[2039-40]]=Table7[[#This Row],[Year]])*(SpaceInventory[[1990-91]:[2039-40]]))</f>
        <v>158543.52174700002</v>
      </c>
      <c r="G15" s="26">
        <f>SUMPRODUCT((SpaceInventory[Building or Housing, Leased or Owned]=Table7[[#Headers],[Building Owned]])*(SpaceInventory[[#Headers],[1990-91]:[2039-40]]=Table7[[#This Row],[Year]])*(SpaceInventory[[1990-91]:[2039-40]]))+SUMPRODUCT((SpaceInventory[Building or Housing, Leased or Owned]=Table7[[#Headers],[Housing Owned]])*(SpaceInventory[[#Headers],[1990-91]:[2039-40]]=Table7[[#This Row],[Year]])*(SpaceInventory[[1990-91]:[2039-40]]))</f>
        <v>144166.87540000002</v>
      </c>
      <c r="H15" s="26">
        <f>SUMPRODUCT((SpaceInventory[Building or Housing, Leased or Owned]=Table7[[#Headers],[Building Leased]])*(SpaceInventory[[#Headers],[1990-91]:[2039-40]]=Table7[[#This Row],[Year]])*(SpaceInventory[[1990-91]:[2039-40]]))+SUMPRODUCT((SpaceInventory[Building or Housing, Leased or Owned]=Table7[[#Headers],[Housing Leased]])*(SpaceInventory[[#Headers],[1990-91]:[2039-40]]=Table7[[#This Row],[Year]])*(SpaceInventory[[1990-91]:[2039-40]]))</f>
        <v>14376.646347</v>
      </c>
    </row>
    <row r="1048539" spans="16376:16376" x14ac:dyDescent="0.25">
      <c r="XEV1048539" t="s">
        <v>188</v>
      </c>
    </row>
    <row r="1048540" spans="16376:16376" x14ac:dyDescent="0.25">
      <c r="XEV1048540" t="s">
        <v>149</v>
      </c>
    </row>
    <row r="1048541" spans="16376:16376" x14ac:dyDescent="0.25">
      <c r="XEV1048541" t="s">
        <v>150</v>
      </c>
    </row>
    <row r="1048542" spans="16376:16376" x14ac:dyDescent="0.25">
      <c r="XEV1048542" t="s">
        <v>78</v>
      </c>
    </row>
    <row r="1048543" spans="16376:16376" x14ac:dyDescent="0.25">
      <c r="XEV1048543" t="s">
        <v>79</v>
      </c>
    </row>
    <row r="1048544" spans="16376:16376" x14ac:dyDescent="0.25">
      <c r="XEV1048544" t="s">
        <v>80</v>
      </c>
    </row>
    <row r="1048545" spans="16376:16376" x14ac:dyDescent="0.25">
      <c r="XEV1048545" t="s">
        <v>81</v>
      </c>
    </row>
    <row r="1048546" spans="16376:16376" x14ac:dyDescent="0.25">
      <c r="XEV1048546" t="s">
        <v>82</v>
      </c>
    </row>
    <row r="1048547" spans="16376:16376" x14ac:dyDescent="0.25">
      <c r="XEV1048547" t="s">
        <v>83</v>
      </c>
    </row>
    <row r="1048548" spans="16376:16376" x14ac:dyDescent="0.25">
      <c r="XEV1048548" t="s">
        <v>84</v>
      </c>
    </row>
    <row r="1048549" spans="16376:16376" x14ac:dyDescent="0.25">
      <c r="XEV1048549" t="s">
        <v>74</v>
      </c>
    </row>
    <row r="1048550" spans="16376:16376" x14ac:dyDescent="0.25">
      <c r="XEV1048550" t="s">
        <v>85</v>
      </c>
    </row>
    <row r="1048551" spans="16376:16376" x14ac:dyDescent="0.25">
      <c r="XEV1048551" t="s">
        <v>86</v>
      </c>
    </row>
    <row r="1048552" spans="16376:16376" x14ac:dyDescent="0.25">
      <c r="XEV1048552" t="s">
        <v>151</v>
      </c>
    </row>
    <row r="1048553" spans="16376:16376" x14ac:dyDescent="0.25">
      <c r="XEV1048553" t="s">
        <v>166</v>
      </c>
    </row>
    <row r="1048554" spans="16376:16376" x14ac:dyDescent="0.25">
      <c r="XEV1048554" t="s">
        <v>167</v>
      </c>
    </row>
    <row r="1048555" spans="16376:16376" x14ac:dyDescent="0.25">
      <c r="XEV1048555" t="s">
        <v>168</v>
      </c>
    </row>
    <row r="1048556" spans="16376:16376" x14ac:dyDescent="0.25">
      <c r="XEV1048556" t="s">
        <v>169</v>
      </c>
    </row>
    <row r="1048557" spans="16376:16376" x14ac:dyDescent="0.25">
      <c r="XEV1048557" t="s">
        <v>170</v>
      </c>
    </row>
    <row r="1048558" spans="16376:16376" x14ac:dyDescent="0.25">
      <c r="XEV1048558" t="s">
        <v>171</v>
      </c>
    </row>
    <row r="1048559" spans="16376:16376" x14ac:dyDescent="0.25">
      <c r="XEV1048559" t="s">
        <v>172</v>
      </c>
    </row>
    <row r="1048560" spans="16376:16376" x14ac:dyDescent="0.25">
      <c r="XEV1048560" t="s">
        <v>173</v>
      </c>
    </row>
    <row r="1048561" spans="16376:16376" x14ac:dyDescent="0.25">
      <c r="XEV1048561" t="s">
        <v>174</v>
      </c>
    </row>
    <row r="1048562" spans="16376:16376" x14ac:dyDescent="0.25">
      <c r="XEV1048562" t="s">
        <v>175</v>
      </c>
    </row>
    <row r="1048563" spans="16376:16376" x14ac:dyDescent="0.25">
      <c r="XEV1048563" t="s">
        <v>176</v>
      </c>
    </row>
    <row r="1048564" spans="16376:16376" x14ac:dyDescent="0.25">
      <c r="XEV1048564" t="s">
        <v>177</v>
      </c>
    </row>
    <row r="1048565" spans="16376:16376" x14ac:dyDescent="0.25">
      <c r="XEV1048565" t="s">
        <v>178</v>
      </c>
    </row>
    <row r="1048566" spans="16376:16376" x14ac:dyDescent="0.25">
      <c r="XEV1048566" t="s">
        <v>179</v>
      </c>
    </row>
    <row r="1048567" spans="16376:16376" x14ac:dyDescent="0.25">
      <c r="XEV1048567" t="s">
        <v>180</v>
      </c>
    </row>
    <row r="1048568" spans="16376:16376" x14ac:dyDescent="0.25">
      <c r="XEV1048568" t="s">
        <v>181</v>
      </c>
    </row>
    <row r="1048569" spans="16376:16376" x14ac:dyDescent="0.25">
      <c r="XEV1048569" t="s">
        <v>182</v>
      </c>
    </row>
    <row r="1048570" spans="16376:16376" x14ac:dyDescent="0.25">
      <c r="XEV1048570" t="s">
        <v>183</v>
      </c>
    </row>
    <row r="1048571" spans="16376:16376" x14ac:dyDescent="0.25">
      <c r="XEV1048571" t="s">
        <v>184</v>
      </c>
    </row>
    <row r="1048572" spans="16376:16376" x14ac:dyDescent="0.25">
      <c r="XEV1048572" t="s">
        <v>185</v>
      </c>
    </row>
    <row r="1048573" spans="16376:16376" x14ac:dyDescent="0.25">
      <c r="XEV1048573" t="s">
        <v>186</v>
      </c>
    </row>
    <row r="1048574" spans="16376:16376" x14ac:dyDescent="0.25">
      <c r="XEV1048574" t="s">
        <v>187</v>
      </c>
    </row>
  </sheetData>
  <dataValidations count="1">
    <dataValidation type="list" allowBlank="1" showInputMessage="1" showErrorMessage="1" sqref="A2:A1048576">
      <formula1>$XEV$1048540:$XFD$1048576</formula1>
    </dataValidation>
  </dataValidations>
  <pageMargins left="0.7" right="0.7" top="0.75" bottom="0.75" header="0.3" footer="0.3"/>
  <pageSetup orientation="portrait" r:id="rId1"/>
  <legacyDrawing r:id="rId2"/>
  <tableParts count="2">
    <tablePart r:id="rId3"/>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tabSelected="1" workbookViewId="0">
      <selection activeCell="G18" sqref="G18"/>
    </sheetView>
  </sheetViews>
  <sheetFormatPr defaultRowHeight="15" x14ac:dyDescent="0.25"/>
  <cols>
    <col min="1" max="1" width="12.5703125" bestFit="1" customWidth="1"/>
    <col min="2" max="2" width="19" bestFit="1" customWidth="1"/>
    <col min="3" max="3" width="18.7109375" bestFit="1" customWidth="1"/>
    <col min="4" max="4" width="18.85546875" bestFit="1" customWidth="1"/>
    <col min="5" max="5" width="18.5703125" bestFit="1" customWidth="1"/>
    <col min="6" max="6" width="22.7109375" bestFit="1" customWidth="1"/>
    <col min="7" max="7" width="21.85546875" bestFit="1" customWidth="1"/>
    <col min="8" max="8" width="21.5703125" bestFit="1" customWidth="1"/>
  </cols>
  <sheetData>
    <row r="1" spans="1:8 16384:16384" x14ac:dyDescent="0.25">
      <c r="A1" t="s">
        <v>188</v>
      </c>
      <c r="B1" s="16" t="s">
        <v>162</v>
      </c>
      <c r="C1" s="16" t="s">
        <v>163</v>
      </c>
      <c r="D1" s="16" t="s">
        <v>87</v>
      </c>
      <c r="E1" s="16" t="s">
        <v>88</v>
      </c>
      <c r="F1" s="16" t="s">
        <v>89</v>
      </c>
      <c r="G1" s="16" t="s">
        <v>90</v>
      </c>
      <c r="H1" s="16" t="s">
        <v>91</v>
      </c>
      <c r="XFD1" t="s">
        <v>188</v>
      </c>
    </row>
    <row r="2" spans="1:8 16384:16384" x14ac:dyDescent="0.25">
      <c r="A2" s="16" t="s">
        <v>151</v>
      </c>
      <c r="B2" s="16">
        <f>(VLOOKUP(Table85[[#This Row],[Fiscal Year]],Table7[#All],2,0))</f>
        <v>125514.46138100002</v>
      </c>
      <c r="C2" s="16">
        <f>VLOOKUP(Table85[[#This Row],[Fiscal Year]],Table7[#All],3,0)</f>
        <v>9587.8063736666663</v>
      </c>
      <c r="D2" s="16">
        <f>VLOOKUP(Table85[[#This Row],[Fiscal Year]],Table7[#All],4,0)</f>
        <v>13449.846019000001</v>
      </c>
      <c r="E2" s="16">
        <f>VLOOKUP(Table85[[#This Row],[Fiscal Year]],Table7[#All],5,0)</f>
        <v>4541.0986400000002</v>
      </c>
      <c r="F2" s="16">
        <f>VLOOKUP(Table85[[#This Row],[Fiscal Year]],Table7[#All],6,0)</f>
        <v>153093.21241366668</v>
      </c>
      <c r="G2" s="16">
        <f>VLOOKUP(Table85[[#This Row],[Fiscal Year]],Table7[#All],7,0)</f>
        <v>138964.30740000002</v>
      </c>
      <c r="H2" s="16">
        <f>VLOOKUP(Table85[[#This Row],[Fiscal Year]],Table7[#All],8,0)</f>
        <v>14128.905013666666</v>
      </c>
      <c r="XFD2" t="s">
        <v>149</v>
      </c>
    </row>
    <row r="3" spans="1:8 16384:16384" x14ac:dyDescent="0.25">
      <c r="A3" s="16" t="s">
        <v>166</v>
      </c>
      <c r="B3" s="16">
        <f>(VLOOKUP(Table85[[#This Row],[Fiscal Year]],Table7[#All],2,0))</f>
        <v>125514.46138100002</v>
      </c>
      <c r="C3" s="16">
        <f>VLOOKUP(Table85[[#This Row],[Fiscal Year]],Table7[#All],3,0)</f>
        <v>9835.5477069999997</v>
      </c>
      <c r="D3" s="16">
        <f>VLOOKUP(Table85[[#This Row],[Fiscal Year]],Table7[#All],4,0)</f>
        <v>18652.414019</v>
      </c>
      <c r="E3" s="16">
        <f>VLOOKUP(Table85[[#This Row],[Fiscal Year]],Table7[#All],5,0)</f>
        <v>4541.0986400000002</v>
      </c>
      <c r="F3" s="16">
        <f>VLOOKUP(Table85[[#This Row],[Fiscal Year]],Table7[#All],6,0)</f>
        <v>158543.52174700002</v>
      </c>
      <c r="G3" s="16">
        <f>VLOOKUP(Table85[[#This Row],[Fiscal Year]],Table7[#All],7,0)</f>
        <v>144166.87540000002</v>
      </c>
      <c r="H3" s="16">
        <f>VLOOKUP(Table85[[#This Row],[Fiscal Year]],Table7[#All],8,0)</f>
        <v>14376.646347</v>
      </c>
      <c r="XFD3" t="s">
        <v>150</v>
      </c>
    </row>
    <row r="4" spans="1:8 16384:16384" x14ac:dyDescent="0.25">
      <c r="A4" s="18" t="s">
        <v>189</v>
      </c>
      <c r="B4" s="17">
        <f>IF(B2=0,"",-(1-B3/B2))</f>
        <v>0</v>
      </c>
      <c r="C4" s="17">
        <f t="shared" ref="C4:H4" si="0">IF(C2=0,"",-(1-C3/C2))</f>
        <v>2.5839209061810697E-2</v>
      </c>
      <c r="D4" s="17">
        <f t="shared" si="0"/>
        <v>0.3868124581240977</v>
      </c>
      <c r="E4" s="17">
        <f t="shared" si="0"/>
        <v>0</v>
      </c>
      <c r="F4" s="17">
        <f t="shared" si="0"/>
        <v>3.5601247419162485E-2</v>
      </c>
      <c r="G4" s="17">
        <f t="shared" si="0"/>
        <v>3.7438160181842539E-2</v>
      </c>
      <c r="H4" s="17">
        <f t="shared" si="0"/>
        <v>1.7534361869776749E-2</v>
      </c>
      <c r="XFD4" t="s">
        <v>78</v>
      </c>
    </row>
    <row r="5" spans="1:8 16384:16384" x14ac:dyDescent="0.25">
      <c r="XFD5" t="s">
        <v>79</v>
      </c>
    </row>
    <row r="6" spans="1:8 16384:16384" x14ac:dyDescent="0.25">
      <c r="XFD6" t="s">
        <v>80</v>
      </c>
    </row>
    <row r="7" spans="1:8 16384:16384" x14ac:dyDescent="0.25">
      <c r="XFD7" t="s">
        <v>81</v>
      </c>
    </row>
    <row r="8" spans="1:8 16384:16384" x14ac:dyDescent="0.25">
      <c r="XFD8" t="s">
        <v>82</v>
      </c>
    </row>
    <row r="9" spans="1:8 16384:16384" x14ac:dyDescent="0.25">
      <c r="XFD9" t="s">
        <v>83</v>
      </c>
    </row>
    <row r="10" spans="1:8 16384:16384" x14ac:dyDescent="0.25">
      <c r="XFD10" t="s">
        <v>84</v>
      </c>
    </row>
    <row r="11" spans="1:8 16384:16384" x14ac:dyDescent="0.25">
      <c r="XFD11" t="s">
        <v>74</v>
      </c>
    </row>
    <row r="12" spans="1:8 16384:16384" x14ac:dyDescent="0.25">
      <c r="XFD12" t="s">
        <v>85</v>
      </c>
    </row>
    <row r="13" spans="1:8 16384:16384" x14ac:dyDescent="0.25">
      <c r="XFD13" t="s">
        <v>86</v>
      </c>
    </row>
    <row r="14" spans="1:8 16384:16384" x14ac:dyDescent="0.25">
      <c r="XFD14" t="s">
        <v>151</v>
      </c>
    </row>
    <row r="15" spans="1:8 16384:16384" x14ac:dyDescent="0.25">
      <c r="XFD15" t="s">
        <v>166</v>
      </c>
    </row>
    <row r="16" spans="1:8 16384:16384" x14ac:dyDescent="0.25">
      <c r="XFD16" t="s">
        <v>167</v>
      </c>
    </row>
    <row r="17" spans="16384:16384" x14ac:dyDescent="0.25">
      <c r="XFD17" t="s">
        <v>168</v>
      </c>
    </row>
    <row r="18" spans="16384:16384" x14ac:dyDescent="0.25">
      <c r="XFD18" t="s">
        <v>169</v>
      </c>
    </row>
    <row r="19" spans="16384:16384" x14ac:dyDescent="0.25">
      <c r="XFD19" t="s">
        <v>170</v>
      </c>
    </row>
    <row r="20" spans="16384:16384" x14ac:dyDescent="0.25">
      <c r="XFD20" t="s">
        <v>171</v>
      </c>
    </row>
    <row r="21" spans="16384:16384" x14ac:dyDescent="0.25">
      <c r="XFD21" t="s">
        <v>172</v>
      </c>
    </row>
    <row r="22" spans="16384:16384" x14ac:dyDescent="0.25">
      <c r="XFD22" t="s">
        <v>173</v>
      </c>
    </row>
    <row r="23" spans="16384:16384" x14ac:dyDescent="0.25">
      <c r="XFD23" t="s">
        <v>174</v>
      </c>
    </row>
    <row r="24" spans="16384:16384" x14ac:dyDescent="0.25">
      <c r="XFD24" t="s">
        <v>175</v>
      </c>
    </row>
    <row r="25" spans="16384:16384" x14ac:dyDescent="0.25">
      <c r="XFD25" t="s">
        <v>176</v>
      </c>
    </row>
    <row r="26" spans="16384:16384" x14ac:dyDescent="0.25">
      <c r="XFD26" t="s">
        <v>177</v>
      </c>
    </row>
    <row r="27" spans="16384:16384" x14ac:dyDescent="0.25">
      <c r="XFD27" t="s">
        <v>178</v>
      </c>
    </row>
    <row r="28" spans="16384:16384" x14ac:dyDescent="0.25">
      <c r="XFD28" t="s">
        <v>179</v>
      </c>
    </row>
    <row r="29" spans="16384:16384" x14ac:dyDescent="0.25">
      <c r="XFD29" t="s">
        <v>180</v>
      </c>
    </row>
    <row r="30" spans="16384:16384" x14ac:dyDescent="0.25">
      <c r="XFD30" t="s">
        <v>181</v>
      </c>
    </row>
    <row r="31" spans="16384:16384" x14ac:dyDescent="0.25">
      <c r="XFD31" t="s">
        <v>182</v>
      </c>
    </row>
    <row r="32" spans="16384:16384" x14ac:dyDescent="0.25">
      <c r="XFD32" t="s">
        <v>183</v>
      </c>
    </row>
    <row r="33" spans="16384:16384" x14ac:dyDescent="0.25">
      <c r="XFD33" t="s">
        <v>184</v>
      </c>
    </row>
    <row r="34" spans="16384:16384" x14ac:dyDescent="0.25">
      <c r="XFD34" t="s">
        <v>185</v>
      </c>
    </row>
    <row r="35" spans="16384:16384" x14ac:dyDescent="0.25">
      <c r="XFD35" t="s">
        <v>186</v>
      </c>
    </row>
    <row r="36" spans="16384:16384" x14ac:dyDescent="0.25">
      <c r="XFD36" t="s">
        <v>187</v>
      </c>
    </row>
  </sheetData>
  <dataValidations count="1">
    <dataValidation type="list" allowBlank="1" showInputMessage="1" showErrorMessage="1" sqref="A2:A3">
      <formula1>$XFD$2:$XFD$36</formula1>
    </dataValidation>
  </dataValidations>
  <pageMargins left="0.7" right="0.7" top="0.75" bottom="0.75" header="0.3" footer="0.3"/>
  <ignoredErrors>
    <ignoredError sqref="H4 B4" calculatedColumn="1"/>
    <ignoredError sqref="H2:H3 B2:B3" listDataValidation="1" calculatedColumn="1"/>
    <ignoredError sqref="A4 C2:G2 C3:G3" listDataValidation="1"/>
  </ignoredErrors>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Space Inentory</vt:lpstr>
      <vt:lpstr>Space Charts for Analysis</vt:lpstr>
      <vt:lpstr>Comparison Table</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Cory</dc:creator>
  <cp:lastModifiedBy>Maureen Hanlon</cp:lastModifiedBy>
  <dcterms:created xsi:type="dcterms:W3CDTF">2017-02-09T22:15:57Z</dcterms:created>
  <dcterms:modified xsi:type="dcterms:W3CDTF">2018-08-28T15:29:12Z</dcterms:modified>
</cp:coreProperties>
</file>