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aydel\Documents\Climate Action Plan\GHG Inventory\Inventories\"/>
    </mc:Choice>
  </mc:AlternateContent>
  <bookViews>
    <workbookView xWindow="0" yWindow="0" windowWidth="19200" windowHeight="11220" tabRatio="709" activeTab="2"/>
  </bookViews>
  <sheets>
    <sheet name="Input Summary" sheetId="2" r:id="rId1"/>
    <sheet name="Historical MERs" sheetId="20" r:id="rId2"/>
    <sheet name="Historical Summary" sheetId="21" r:id="rId3"/>
    <sheet name="GHG Summary" sheetId="17" r:id="rId4"/>
    <sheet name="CO Data" sheetId="23" r:id="rId5"/>
    <sheet name="Reference" sheetId="18" r:id="rId6"/>
    <sheet name="New Construction" sheetId="22" r:id="rId7"/>
    <sheet name="MER" sheetId="9" r:id="rId8"/>
    <sheet name="Oil" sheetId="6" r:id="rId9"/>
    <sheet name="Sunnyportal" sheetId="12" r:id="rId10"/>
    <sheet name="Diesel" sheetId="15" r:id="rId11"/>
    <sheet name="Hydrogen Fleet" sheetId="3" r:id="rId12"/>
    <sheet name="Refrigerants" sheetId="10" r:id="rId13"/>
    <sheet name="Fertilizers" sheetId="4" r:id="rId14"/>
    <sheet name="Student Commuting" sheetId="16" r:id="rId15"/>
    <sheet name="Employee Commuting" sheetId="13" r:id="rId16"/>
    <sheet name="Business Travel" sheetId="7" r:id="rId17"/>
    <sheet name="Business Mileage" sheetId="14" r:id="rId18"/>
    <sheet name="Waste Characterization" sheetId="11" r:id="rId19"/>
    <sheet name="Graphics" sheetId="24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Campus">'[1]Historical Campus Emissions '!$A$4:$A$27</definedName>
    <definedName name="Chemicals">[2]EF_GWP!$B$7:$B$84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1" l="1"/>
  <c r="C29" i="21"/>
  <c r="C28" i="21"/>
  <c r="C27" i="21"/>
  <c r="I3" i="12"/>
  <c r="I2" i="12"/>
  <c r="I11" i="12"/>
  <c r="I12" i="12"/>
  <c r="I13" i="12"/>
  <c r="I10" i="12"/>
  <c r="J10" i="12"/>
  <c r="J5" i="12"/>
  <c r="J6" i="12"/>
  <c r="J7" i="12"/>
  <c r="J8" i="12"/>
  <c r="J9" i="12"/>
  <c r="J4" i="12"/>
  <c r="G13" i="12"/>
  <c r="G12" i="12"/>
  <c r="C24" i="21"/>
  <c r="H14" i="12"/>
  <c r="O31" i="9"/>
  <c r="O24" i="9"/>
  <c r="O17" i="9"/>
  <c r="O10" i="9"/>
  <c r="O3" i="9"/>
  <c r="O30" i="9"/>
  <c r="O23" i="9"/>
  <c r="O16" i="9"/>
  <c r="O9" i="9"/>
  <c r="O2" i="9"/>
  <c r="I14" i="12" l="1"/>
  <c r="S3" i="17" l="1"/>
  <c r="S30" i="21" l="1"/>
  <c r="R30" i="21"/>
  <c r="S3" i="21"/>
  <c r="R3" i="21"/>
  <c r="S32" i="21"/>
  <c r="R32" i="21"/>
  <c r="S31" i="21"/>
  <c r="R31" i="21"/>
  <c r="H22" i="2"/>
  <c r="H21" i="2"/>
  <c r="H20" i="2"/>
  <c r="H19" i="2"/>
  <c r="H18" i="2"/>
  <c r="H17" i="2"/>
  <c r="Z470" i="20"/>
  <c r="BJ19" i="11" l="1"/>
  <c r="BK19" i="11"/>
  <c r="BL19" i="11"/>
  <c r="BM19" i="11"/>
  <c r="BN19" i="11"/>
  <c r="BO19" i="11"/>
  <c r="BP19" i="11"/>
  <c r="BQ19" i="11"/>
  <c r="BR19" i="11"/>
  <c r="BJ20" i="11"/>
  <c r="BK20" i="11"/>
  <c r="BL20" i="11"/>
  <c r="BM20" i="11"/>
  <c r="BN20" i="11"/>
  <c r="BO20" i="11"/>
  <c r="BP20" i="11"/>
  <c r="BQ20" i="11"/>
  <c r="BR20" i="11"/>
  <c r="D36" i="21" l="1"/>
  <c r="U30" i="17" l="1"/>
  <c r="D13" i="13" l="1"/>
  <c r="O21" i="21" l="1"/>
  <c r="O22" i="21"/>
  <c r="O23" i="21"/>
  <c r="O24" i="21"/>
  <c r="O25" i="21"/>
  <c r="O26" i="21"/>
  <c r="O27" i="21"/>
  <c r="O28" i="21"/>
  <c r="O29" i="21"/>
  <c r="O20" i="21"/>
  <c r="C15" i="21"/>
  <c r="AE434" i="20" l="1"/>
  <c r="AE435" i="20"/>
  <c r="AE436" i="20"/>
  <c r="AE437" i="20"/>
  <c r="AE438" i="20"/>
  <c r="AE439" i="20"/>
  <c r="AE440" i="20"/>
  <c r="AE441" i="20"/>
  <c r="AE442" i="20"/>
  <c r="AE443" i="20"/>
  <c r="AE444" i="20"/>
  <c r="AE445" i="20"/>
  <c r="AE446" i="20"/>
  <c r="AE447" i="20"/>
  <c r="AE448" i="20"/>
  <c r="AE449" i="20"/>
  <c r="AE450" i="20"/>
  <c r="AE451" i="20"/>
  <c r="AE452" i="20"/>
  <c r="AE453" i="20"/>
  <c r="AE454" i="20"/>
  <c r="AE455" i="20"/>
  <c r="AE456" i="20"/>
  <c r="AE457" i="20"/>
  <c r="AE458" i="20"/>
  <c r="AE459" i="20"/>
  <c r="AE460" i="20"/>
  <c r="AE461" i="20"/>
  <c r="AE462" i="20"/>
  <c r="AE463" i="20"/>
  <c r="AE464" i="20"/>
  <c r="AE465" i="20"/>
  <c r="AE466" i="20"/>
  <c r="AE467" i="20"/>
  <c r="AE468" i="20"/>
  <c r="AE469" i="20"/>
  <c r="AE122" i="20"/>
  <c r="AE123" i="20"/>
  <c r="AE124" i="20"/>
  <c r="AE125" i="20"/>
  <c r="AE126" i="20"/>
  <c r="AE127" i="20"/>
  <c r="AE128" i="20"/>
  <c r="AE129" i="20"/>
  <c r="AE130" i="20"/>
  <c r="AE131" i="20"/>
  <c r="AE132" i="20"/>
  <c r="AE133" i="20"/>
  <c r="AE134" i="20"/>
  <c r="AE135" i="20"/>
  <c r="AE136" i="20"/>
  <c r="AE137" i="20"/>
  <c r="AE138" i="20"/>
  <c r="AE139" i="20"/>
  <c r="AE140" i="20"/>
  <c r="AE141" i="20"/>
  <c r="AE142" i="20"/>
  <c r="AE143" i="20"/>
  <c r="AE144" i="20"/>
  <c r="AE145" i="20"/>
  <c r="AE146" i="20"/>
  <c r="AE147" i="20"/>
  <c r="AE148" i="20"/>
  <c r="AE149" i="20"/>
  <c r="AE150" i="20"/>
  <c r="AE151" i="20"/>
  <c r="AE152" i="20"/>
  <c r="AE153" i="20"/>
  <c r="AE154" i="20"/>
  <c r="AE155" i="20"/>
  <c r="AE156" i="20"/>
  <c r="AE157" i="20"/>
  <c r="AE158" i="20"/>
  <c r="AE159" i="20"/>
  <c r="AE160" i="20"/>
  <c r="AE161" i="20"/>
  <c r="AE162" i="20"/>
  <c r="AE163" i="20"/>
  <c r="AE164" i="20"/>
  <c r="AE165" i="20"/>
  <c r="AE166" i="20"/>
  <c r="AE167" i="20"/>
  <c r="AE168" i="20"/>
  <c r="AE169" i="20"/>
  <c r="AE170" i="20"/>
  <c r="AE171" i="20"/>
  <c r="AE172" i="20"/>
  <c r="AE173" i="20"/>
  <c r="AE174" i="20"/>
  <c r="AE175" i="20"/>
  <c r="AE176" i="20"/>
  <c r="AE177" i="20"/>
  <c r="AE178" i="20"/>
  <c r="AE179" i="20"/>
  <c r="AE180" i="20"/>
  <c r="AE181" i="20"/>
  <c r="AE182" i="20"/>
  <c r="AE183" i="20"/>
  <c r="AE184" i="20"/>
  <c r="AE185" i="20"/>
  <c r="AE186" i="20"/>
  <c r="AE187" i="20"/>
  <c r="AE188" i="20"/>
  <c r="AE189" i="20"/>
  <c r="AE190" i="20"/>
  <c r="AE191" i="20"/>
  <c r="AE192" i="20"/>
  <c r="AE193" i="20"/>
  <c r="AE194" i="20"/>
  <c r="AE195" i="20"/>
  <c r="AE196" i="20"/>
  <c r="AE197" i="20"/>
  <c r="AE198" i="20"/>
  <c r="AE199" i="20"/>
  <c r="AE200" i="20"/>
  <c r="AE201" i="20"/>
  <c r="AE202" i="20"/>
  <c r="AE203" i="20"/>
  <c r="AE204" i="20"/>
  <c r="AE205" i="20"/>
  <c r="AE206" i="20"/>
  <c r="AE207" i="20"/>
  <c r="AE208" i="20"/>
  <c r="AE209" i="20"/>
  <c r="AE210" i="20"/>
  <c r="AE211" i="20"/>
  <c r="AE212" i="20"/>
  <c r="AE213" i="20"/>
  <c r="AE214" i="20"/>
  <c r="AE215" i="20"/>
  <c r="AE216" i="20"/>
  <c r="AE217" i="20"/>
  <c r="AE218" i="20"/>
  <c r="AE219" i="20"/>
  <c r="AE220" i="20"/>
  <c r="AE221" i="20"/>
  <c r="AE222" i="20"/>
  <c r="AE223" i="20"/>
  <c r="AE224" i="20"/>
  <c r="AE225" i="20"/>
  <c r="AE226" i="20"/>
  <c r="AE227" i="20"/>
  <c r="AE228" i="20"/>
  <c r="AE229" i="20"/>
  <c r="AE230" i="20"/>
  <c r="AE231" i="20"/>
  <c r="AE232" i="20"/>
  <c r="AE233" i="20"/>
  <c r="AE234" i="20"/>
  <c r="AE235" i="20"/>
  <c r="AE236" i="20"/>
  <c r="AE237" i="20"/>
  <c r="AE238" i="20"/>
  <c r="AE239" i="20"/>
  <c r="AE240" i="20"/>
  <c r="AE241" i="20"/>
  <c r="AE242" i="20"/>
  <c r="AE243" i="20"/>
  <c r="AE244" i="20"/>
  <c r="AE245" i="20"/>
  <c r="AE246" i="20"/>
  <c r="AE247" i="20"/>
  <c r="AE248" i="20"/>
  <c r="AE249" i="20"/>
  <c r="AE250" i="20"/>
  <c r="AE251" i="20"/>
  <c r="AE252" i="20"/>
  <c r="AE253" i="20"/>
  <c r="AE254" i="20"/>
  <c r="AE255" i="20"/>
  <c r="AE256" i="20"/>
  <c r="AE257" i="20"/>
  <c r="AE258" i="20"/>
  <c r="AE259" i="20"/>
  <c r="AE260" i="20"/>
  <c r="AE261" i="20"/>
  <c r="AE262" i="20"/>
  <c r="AE263" i="20"/>
  <c r="AE264" i="20"/>
  <c r="AE265" i="20"/>
  <c r="AE266" i="20"/>
  <c r="AE267" i="20"/>
  <c r="AE268" i="20"/>
  <c r="AE269" i="20"/>
  <c r="AE270" i="20"/>
  <c r="AE271" i="20"/>
  <c r="AE272" i="20"/>
  <c r="AE273" i="20"/>
  <c r="AE274" i="20"/>
  <c r="AE275" i="20"/>
  <c r="AE276" i="20"/>
  <c r="AE277" i="20"/>
  <c r="AE278" i="20"/>
  <c r="AE279" i="20"/>
  <c r="AE280" i="20"/>
  <c r="AE281" i="20"/>
  <c r="AE282" i="20"/>
  <c r="AE283" i="20"/>
  <c r="AE284" i="20"/>
  <c r="AE285" i="20"/>
  <c r="AE286" i="20"/>
  <c r="AE287" i="20"/>
  <c r="AE288" i="20"/>
  <c r="AE289" i="20"/>
  <c r="AE290" i="20"/>
  <c r="AE291" i="20"/>
  <c r="AE292" i="20"/>
  <c r="AE293" i="20"/>
  <c r="AE294" i="20"/>
  <c r="AE295" i="20"/>
  <c r="AE296" i="20"/>
  <c r="AE297" i="20"/>
  <c r="AE298" i="20"/>
  <c r="AE299" i="20"/>
  <c r="AE300" i="20"/>
  <c r="AE301" i="20"/>
  <c r="AE302" i="20"/>
  <c r="AE303" i="20"/>
  <c r="AE304" i="20"/>
  <c r="AE305" i="20"/>
  <c r="AE306" i="20"/>
  <c r="AE307" i="20"/>
  <c r="AE308" i="20"/>
  <c r="AE309" i="20"/>
  <c r="AE310" i="20"/>
  <c r="AE311" i="20"/>
  <c r="AE312" i="20"/>
  <c r="AE313" i="20"/>
  <c r="AE314" i="20"/>
  <c r="AE315" i="20"/>
  <c r="AE316" i="20"/>
  <c r="AE317" i="20"/>
  <c r="AE318" i="20"/>
  <c r="AE319" i="20"/>
  <c r="AE320" i="20"/>
  <c r="AE321" i="20"/>
  <c r="AE322" i="20"/>
  <c r="AE323" i="20"/>
  <c r="AE324" i="20"/>
  <c r="AE325" i="20"/>
  <c r="AE326" i="20"/>
  <c r="AE327" i="20"/>
  <c r="AE328" i="20"/>
  <c r="AE329" i="20"/>
  <c r="AE330" i="20"/>
  <c r="AE331" i="20"/>
  <c r="AE332" i="20"/>
  <c r="AE333" i="20"/>
  <c r="AE334" i="20"/>
  <c r="AE335" i="20"/>
  <c r="AE336" i="20"/>
  <c r="AE337" i="20"/>
  <c r="AE338" i="20"/>
  <c r="AE339" i="20"/>
  <c r="AE340" i="20"/>
  <c r="AE341" i="20"/>
  <c r="AE342" i="20"/>
  <c r="AE343" i="20"/>
  <c r="AE344" i="20"/>
  <c r="AE345" i="20"/>
  <c r="AE346" i="20"/>
  <c r="AE347" i="20"/>
  <c r="AE348" i="20"/>
  <c r="AE349" i="20"/>
  <c r="AE350" i="20"/>
  <c r="AE351" i="20"/>
  <c r="AE352" i="20"/>
  <c r="AE353" i="20"/>
  <c r="AE354" i="20"/>
  <c r="AE355" i="20"/>
  <c r="AE356" i="20"/>
  <c r="AE357" i="20"/>
  <c r="AE358" i="20"/>
  <c r="AE359" i="20"/>
  <c r="AE360" i="20"/>
  <c r="AE361" i="20"/>
  <c r="AE362" i="20"/>
  <c r="AE363" i="20"/>
  <c r="AE364" i="20"/>
  <c r="AE365" i="20"/>
  <c r="AE366" i="20"/>
  <c r="AE367" i="20"/>
  <c r="AE368" i="20"/>
  <c r="AE369" i="20"/>
  <c r="AE370" i="20"/>
  <c r="AE371" i="20"/>
  <c r="AE372" i="20"/>
  <c r="AE373" i="20"/>
  <c r="AE374" i="20"/>
  <c r="AE375" i="20"/>
  <c r="AE376" i="20"/>
  <c r="AE377" i="20"/>
  <c r="AE378" i="20"/>
  <c r="AE379" i="20"/>
  <c r="AE380" i="20"/>
  <c r="AE381" i="20"/>
  <c r="AE382" i="20"/>
  <c r="AE383" i="20"/>
  <c r="AE384" i="20"/>
  <c r="AE385" i="20"/>
  <c r="AE386" i="20"/>
  <c r="AE387" i="20"/>
  <c r="AE388" i="20"/>
  <c r="AE389" i="20"/>
  <c r="AE390" i="20"/>
  <c r="AE391" i="20"/>
  <c r="AE392" i="20"/>
  <c r="AE393" i="20"/>
  <c r="AE394" i="20"/>
  <c r="AE395" i="20"/>
  <c r="AE396" i="20"/>
  <c r="AE397" i="20"/>
  <c r="AE398" i="20"/>
  <c r="AE399" i="20"/>
  <c r="AE400" i="20"/>
  <c r="AE401" i="20"/>
  <c r="AE402" i="20"/>
  <c r="AE403" i="20"/>
  <c r="AE404" i="20"/>
  <c r="AE405" i="20"/>
  <c r="AE406" i="20"/>
  <c r="AE407" i="20"/>
  <c r="AE408" i="20"/>
  <c r="AE409" i="20"/>
  <c r="AE410" i="20"/>
  <c r="AE411" i="20"/>
  <c r="AE412" i="20"/>
  <c r="AE413" i="20"/>
  <c r="AE414" i="20"/>
  <c r="AE415" i="20"/>
  <c r="AE416" i="20"/>
  <c r="AE417" i="20"/>
  <c r="AE418" i="20"/>
  <c r="AE419" i="20"/>
  <c r="AE420" i="20"/>
  <c r="AE421" i="20"/>
  <c r="AE422" i="20"/>
  <c r="AE423" i="20"/>
  <c r="AE424" i="20"/>
  <c r="AE425" i="20"/>
  <c r="AE426" i="20"/>
  <c r="AE427" i="20"/>
  <c r="AE428" i="20"/>
  <c r="AE429" i="20"/>
  <c r="AE430" i="20"/>
  <c r="AE431" i="20"/>
  <c r="AE432" i="20"/>
  <c r="AE433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E64" i="20"/>
  <c r="AE65" i="20"/>
  <c r="AE66" i="20"/>
  <c r="AE67" i="20"/>
  <c r="AE68" i="20"/>
  <c r="AE69" i="20"/>
  <c r="AE70" i="20"/>
  <c r="AE71" i="20"/>
  <c r="AE72" i="20"/>
  <c r="AE73" i="20"/>
  <c r="AE74" i="20"/>
  <c r="AE75" i="20"/>
  <c r="AE76" i="20"/>
  <c r="AE77" i="20"/>
  <c r="AE78" i="20"/>
  <c r="AE79" i="20"/>
  <c r="AE80" i="20"/>
  <c r="AE81" i="20"/>
  <c r="AE82" i="20"/>
  <c r="AE83" i="20"/>
  <c r="AE84" i="20"/>
  <c r="AE85" i="20"/>
  <c r="AE86" i="20"/>
  <c r="AE87" i="20"/>
  <c r="AE88" i="20"/>
  <c r="AE89" i="20"/>
  <c r="AE90" i="20"/>
  <c r="AE91" i="20"/>
  <c r="AE92" i="20"/>
  <c r="AE93" i="20"/>
  <c r="AE94" i="20"/>
  <c r="AE95" i="20"/>
  <c r="AE96" i="20"/>
  <c r="AE97" i="20"/>
  <c r="AE98" i="20"/>
  <c r="AE99" i="20"/>
  <c r="AE100" i="20"/>
  <c r="AE101" i="20"/>
  <c r="AE102" i="20"/>
  <c r="AE103" i="20"/>
  <c r="AE104" i="20"/>
  <c r="AE105" i="20"/>
  <c r="AE106" i="20"/>
  <c r="AE107" i="20"/>
  <c r="AE108" i="20"/>
  <c r="AE109" i="20"/>
  <c r="AE110" i="20"/>
  <c r="AE111" i="20"/>
  <c r="AE112" i="20"/>
  <c r="AE113" i="20"/>
  <c r="AE114" i="20"/>
  <c r="AE115" i="20"/>
  <c r="AE116" i="20"/>
  <c r="AE117" i="20"/>
  <c r="AE118" i="20"/>
  <c r="AE119" i="20"/>
  <c r="AE120" i="20"/>
  <c r="AE121" i="20"/>
  <c r="AE3" i="20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2" i="20"/>
  <c r="H35" i="2" l="1"/>
  <c r="H16" i="2"/>
  <c r="G16" i="2"/>
  <c r="F16" i="2"/>
  <c r="E16" i="2"/>
  <c r="H8" i="2"/>
  <c r="H7" i="2"/>
  <c r="H5" i="2"/>
  <c r="H4" i="2"/>
  <c r="E23" i="11"/>
  <c r="F23" i="11"/>
  <c r="U29" i="17" l="1"/>
  <c r="U28" i="17"/>
  <c r="F4" i="17"/>
  <c r="T4" i="17" s="1"/>
  <c r="F5" i="17"/>
  <c r="T5" i="17" s="1"/>
  <c r="F3" i="17"/>
  <c r="T3" i="17" s="1"/>
  <c r="E15" i="21"/>
  <c r="F15" i="17"/>
  <c r="L30" i="21"/>
  <c r="M30" i="21" s="1"/>
  <c r="L29" i="21"/>
  <c r="M29" i="21" s="1"/>
  <c r="L28" i="21"/>
  <c r="M28" i="21" s="1"/>
  <c r="L27" i="21"/>
  <c r="M27" i="21" s="1"/>
  <c r="L26" i="21"/>
  <c r="M26" i="21" s="1"/>
  <c r="L25" i="21"/>
  <c r="M25" i="21" s="1"/>
  <c r="L24" i="21"/>
  <c r="M24" i="21" s="1"/>
  <c r="L23" i="21"/>
  <c r="M23" i="21" s="1"/>
  <c r="L22" i="21"/>
  <c r="M22" i="21" s="1"/>
  <c r="L21" i="21"/>
  <c r="M21" i="21" s="1"/>
  <c r="L20" i="21"/>
  <c r="M20" i="21" s="1"/>
  <c r="J30" i="21"/>
  <c r="K30" i="21" s="1"/>
  <c r="J29" i="21"/>
  <c r="K29" i="21" s="1"/>
  <c r="J28" i="21"/>
  <c r="K28" i="21" s="1"/>
  <c r="J27" i="21"/>
  <c r="K27" i="21" s="1"/>
  <c r="J26" i="21"/>
  <c r="K26" i="21" s="1"/>
  <c r="J25" i="21"/>
  <c r="K25" i="21" s="1"/>
  <c r="J24" i="21"/>
  <c r="K24" i="21" s="1"/>
  <c r="J23" i="21"/>
  <c r="J22" i="21"/>
  <c r="J21" i="21"/>
  <c r="K21" i="21" s="1"/>
  <c r="J20" i="21"/>
  <c r="K20" i="21" s="1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C5" i="17"/>
  <c r="D4" i="17"/>
  <c r="C4" i="17"/>
  <c r="D3" i="17"/>
  <c r="C3" i="17"/>
  <c r="F15" i="2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F22" i="21"/>
  <c r="F21" i="21"/>
  <c r="G21" i="21" s="1"/>
  <c r="F20" i="21"/>
  <c r="G20" i="21" s="1"/>
  <c r="F19" i="21"/>
  <c r="F18" i="21"/>
  <c r="F17" i="21"/>
  <c r="F16" i="21"/>
  <c r="F14" i="21"/>
  <c r="F13" i="21"/>
  <c r="F12" i="21"/>
  <c r="F11" i="21"/>
  <c r="F10" i="21"/>
  <c r="F9" i="21"/>
  <c r="F8" i="21"/>
  <c r="F7" i="21"/>
  <c r="F6" i="2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4" i="21"/>
  <c r="E14" i="21" s="1"/>
  <c r="D13" i="21"/>
  <c r="E13" i="21" s="1"/>
  <c r="D12" i="21"/>
  <c r="E12" i="21" s="1"/>
  <c r="D11" i="21"/>
  <c r="E11" i="21" s="1"/>
  <c r="D10" i="21"/>
  <c r="E10" i="21" s="1"/>
  <c r="D9" i="21"/>
  <c r="E9" i="21" s="1"/>
  <c r="D8" i="21"/>
  <c r="E8" i="21" s="1"/>
  <c r="D7" i="21"/>
  <c r="E7" i="21" s="1"/>
  <c r="D6" i="21"/>
  <c r="E6" i="21" s="1"/>
  <c r="B30" i="21"/>
  <c r="B29" i="21"/>
  <c r="B28" i="21"/>
  <c r="B27" i="21"/>
  <c r="B26" i="21"/>
  <c r="C26" i="21" s="1"/>
  <c r="B25" i="21"/>
  <c r="C25" i="21" s="1"/>
  <c r="B24" i="21"/>
  <c r="B23" i="21"/>
  <c r="C23" i="21" s="1"/>
  <c r="B22" i="21"/>
  <c r="C22" i="21" s="1"/>
  <c r="B21" i="21"/>
  <c r="C21" i="21" s="1"/>
  <c r="B20" i="21"/>
  <c r="C20" i="21" s="1"/>
  <c r="B19" i="21"/>
  <c r="C19" i="21" s="1"/>
  <c r="B18" i="21"/>
  <c r="C18" i="21" s="1"/>
  <c r="B17" i="21"/>
  <c r="C17" i="21" s="1"/>
  <c r="B16" i="21"/>
  <c r="C16" i="21" s="1"/>
  <c r="B14" i="21"/>
  <c r="C14" i="21" s="1"/>
  <c r="B13" i="21"/>
  <c r="C13" i="21" s="1"/>
  <c r="B12" i="21"/>
  <c r="C12" i="21" s="1"/>
  <c r="B11" i="21"/>
  <c r="C11" i="21" s="1"/>
  <c r="B10" i="21"/>
  <c r="C10" i="21" s="1"/>
  <c r="B9" i="21"/>
  <c r="C9" i="21" s="1"/>
  <c r="B8" i="21"/>
  <c r="C8" i="21" s="1"/>
  <c r="B7" i="21"/>
  <c r="C7" i="21" s="1"/>
  <c r="B6" i="21"/>
  <c r="C6" i="21" s="1"/>
  <c r="G22" i="21" l="1"/>
  <c r="G23" i="21"/>
  <c r="M4" i="17"/>
  <c r="M3" i="17"/>
  <c r="M5" i="17"/>
  <c r="F27" i="17"/>
  <c r="F29" i="17"/>
  <c r="F28" i="17"/>
  <c r="F30" i="17"/>
  <c r="F25" i="17"/>
  <c r="F21" i="17"/>
  <c r="F17" i="17"/>
  <c r="F24" i="17"/>
  <c r="F20" i="17"/>
  <c r="F16" i="17"/>
  <c r="F13" i="17"/>
  <c r="F23" i="17"/>
  <c r="F19" i="17"/>
  <c r="F26" i="17"/>
  <c r="F22" i="17"/>
  <c r="F18" i="17"/>
  <c r="F14" i="17"/>
  <c r="F10" i="17"/>
  <c r="F9" i="17"/>
  <c r="F12" i="17"/>
  <c r="F8" i="17"/>
  <c r="F6" i="17"/>
  <c r="F11" i="17"/>
  <c r="F7" i="17"/>
  <c r="S4" i="17"/>
  <c r="W4" i="17" s="1"/>
  <c r="S5" i="17"/>
  <c r="W5" i="17" s="1"/>
  <c r="F470" i="20"/>
  <c r="W3" i="17" l="1"/>
  <c r="V3" i="17"/>
  <c r="V5" i="17"/>
  <c r="Y5" i="17" s="1"/>
  <c r="X4" i="17"/>
  <c r="V4" i="17"/>
  <c r="Y4" i="17" s="1"/>
  <c r="X3" i="17"/>
  <c r="X5" i="17"/>
  <c r="G22" i="2"/>
  <c r="G21" i="2"/>
  <c r="G18" i="2"/>
  <c r="G19" i="2"/>
  <c r="G20" i="2"/>
  <c r="G17" i="2"/>
  <c r="F22" i="2"/>
  <c r="F21" i="2"/>
  <c r="F18" i="2"/>
  <c r="F19" i="2"/>
  <c r="F20" i="2"/>
  <c r="F17" i="2"/>
  <c r="N30" i="21"/>
  <c r="O30" i="21" s="1"/>
  <c r="AA468" i="20"/>
  <c r="V43" i="17" l="1"/>
  <c r="Z43" i="17" s="1"/>
  <c r="V44" i="17" s="1"/>
  <c r="Y3" i="17"/>
  <c r="D30" i="17"/>
  <c r="I471" i="20"/>
  <c r="F471" i="20"/>
  <c r="Z469" i="20"/>
  <c r="Z471" i="20"/>
  <c r="W469" i="20"/>
  <c r="W470" i="20"/>
  <c r="W471" i="20"/>
  <c r="V45" i="17" l="1"/>
  <c r="V46" i="17" s="1"/>
  <c r="V47" i="17" s="1"/>
  <c r="V48" i="17" s="1"/>
  <c r="V49" i="17" s="1"/>
  <c r="V50" i="17" s="1"/>
  <c r="V51" i="17" s="1"/>
  <c r="V52" i="17" s="1"/>
  <c r="C30" i="17"/>
  <c r="M30" i="17" s="1"/>
  <c r="M33" i="17" s="1"/>
  <c r="M34" i="17" s="1"/>
  <c r="S30" i="17" l="1"/>
  <c r="T30" i="17"/>
  <c r="T28" i="17"/>
  <c r="W30" i="17" l="1"/>
  <c r="V30" i="17"/>
  <c r="L30" i="17"/>
  <c r="N30" i="17" s="1"/>
  <c r="X30" i="17"/>
  <c r="T27" i="17"/>
  <c r="T29" i="17"/>
  <c r="R30" i="17" l="1"/>
  <c r="B30" i="17"/>
  <c r="Y30" i="17"/>
  <c r="Z41" i="17"/>
  <c r="V42" i="17" s="1"/>
  <c r="V41" i="17" s="1"/>
  <c r="V40" i="17" s="1"/>
  <c r="V39" i="17" s="1"/>
  <c r="V38" i="17" s="1"/>
  <c r="V37" i="17" s="1"/>
  <c r="V36" i="17" s="1"/>
  <c r="V35" i="17" s="1"/>
  <c r="V34" i="17" s="1"/>
  <c r="V33" i="17" s="1"/>
  <c r="V32" i="17" s="1"/>
  <c r="V31" i="17" s="1"/>
  <c r="Z57" i="17" l="1"/>
  <c r="W31" i="17" s="1"/>
  <c r="G9" i="22"/>
  <c r="W32" i="17" l="1"/>
  <c r="W33" i="17" s="1"/>
  <c r="W34" i="17" s="1"/>
  <c r="W35" i="17" s="1"/>
  <c r="W36" i="17" s="1"/>
  <c r="W37" i="17" s="1"/>
  <c r="W38" i="17" s="1"/>
  <c r="W39" i="17" s="1"/>
  <c r="W40" i="17" s="1"/>
  <c r="W41" i="17" s="1"/>
  <c r="W42" i="17" s="1"/>
  <c r="W43" i="17" s="1"/>
  <c r="W44" i="17" s="1"/>
  <c r="W45" i="17" s="1"/>
  <c r="W46" i="17" s="1"/>
  <c r="W47" i="17" s="1"/>
  <c r="W48" i="17" s="1"/>
  <c r="W49" i="17" s="1"/>
  <c r="W50" i="17" s="1"/>
  <c r="W51" i="17" s="1"/>
  <c r="W52" i="17" s="1"/>
  <c r="W53" i="17" s="1"/>
  <c r="W54" i="17" s="1"/>
  <c r="W55" i="17" s="1"/>
  <c r="W56" i="17" s="1"/>
  <c r="W57" i="17" s="1"/>
  <c r="G15" i="22"/>
  <c r="F15" i="22"/>
  <c r="G13" i="22"/>
  <c r="F13" i="22"/>
  <c r="G12" i="22"/>
  <c r="F12" i="22"/>
  <c r="G11" i="22"/>
  <c r="G16" i="22" s="1"/>
  <c r="F11" i="22"/>
  <c r="F9" i="22"/>
  <c r="F16" i="22" l="1"/>
  <c r="C4" i="22"/>
  <c r="E4" i="22" l="1"/>
  <c r="F4" i="22"/>
  <c r="B4" i="22"/>
  <c r="I4" i="22"/>
  <c r="G4" i="22"/>
  <c r="H4" i="22"/>
  <c r="D4" i="22" l="1"/>
  <c r="F32" i="2" l="1"/>
  <c r="F33" i="2"/>
  <c r="F31" i="2"/>
  <c r="F30" i="2"/>
  <c r="D2" i="7"/>
  <c r="F29" i="2"/>
  <c r="D3" i="14"/>
  <c r="C2" i="7" s="1"/>
  <c r="D4" i="7" s="1"/>
  <c r="D4" i="14"/>
  <c r="D5" i="14"/>
  <c r="H29" i="2" s="1"/>
  <c r="D2" i="14"/>
  <c r="B2" i="7" s="1"/>
  <c r="T26" i="17"/>
  <c r="T25" i="17"/>
  <c r="T24" i="17"/>
  <c r="T23" i="17"/>
  <c r="T22" i="17"/>
  <c r="D21" i="17"/>
  <c r="T21" i="17"/>
  <c r="D20" i="17"/>
  <c r="T20" i="17"/>
  <c r="C19" i="17"/>
  <c r="T19" i="17"/>
  <c r="C18" i="17"/>
  <c r="T18" i="17"/>
  <c r="C17" i="17"/>
  <c r="T17" i="17"/>
  <c r="C16" i="17"/>
  <c r="T16" i="17"/>
  <c r="C15" i="17"/>
  <c r="T15" i="17"/>
  <c r="C14" i="17"/>
  <c r="T14" i="17"/>
  <c r="C13" i="17"/>
  <c r="T13" i="17"/>
  <c r="C12" i="17"/>
  <c r="T12" i="17"/>
  <c r="C11" i="17"/>
  <c r="T11" i="17"/>
  <c r="C10" i="17"/>
  <c r="T10" i="17"/>
  <c r="C9" i="17"/>
  <c r="T9" i="17"/>
  <c r="C8" i="17"/>
  <c r="T8" i="17"/>
  <c r="C7" i="17"/>
  <c r="C6" i="17"/>
  <c r="T6" i="17"/>
  <c r="I469" i="20"/>
  <c r="F469" i="20"/>
  <c r="Z468" i="20"/>
  <c r="W468" i="20"/>
  <c r="I468" i="20"/>
  <c r="F468" i="20"/>
  <c r="Z467" i="20"/>
  <c r="W467" i="20"/>
  <c r="I467" i="20"/>
  <c r="F467" i="20"/>
  <c r="Z466" i="20"/>
  <c r="W466" i="20"/>
  <c r="I466" i="20"/>
  <c r="F466" i="20"/>
  <c r="Z465" i="20"/>
  <c r="W465" i="20"/>
  <c r="I465" i="20"/>
  <c r="F465" i="20"/>
  <c r="Z464" i="20"/>
  <c r="W464" i="20"/>
  <c r="I464" i="20"/>
  <c r="F464" i="20"/>
  <c r="Z463" i="20"/>
  <c r="W463" i="20"/>
  <c r="I463" i="20"/>
  <c r="F463" i="20"/>
  <c r="Z462" i="20"/>
  <c r="W462" i="20"/>
  <c r="I462" i="20"/>
  <c r="F462" i="20"/>
  <c r="Z461" i="20"/>
  <c r="W461" i="20"/>
  <c r="I461" i="20"/>
  <c r="F461" i="20"/>
  <c r="Z460" i="20"/>
  <c r="W460" i="20"/>
  <c r="I460" i="20"/>
  <c r="F460" i="20"/>
  <c r="Z459" i="20"/>
  <c r="W459" i="20"/>
  <c r="I459" i="20"/>
  <c r="F459" i="20"/>
  <c r="Z458" i="20"/>
  <c r="W458" i="20"/>
  <c r="I458" i="20"/>
  <c r="F458" i="20"/>
  <c r="Z457" i="20"/>
  <c r="W457" i="20"/>
  <c r="I457" i="20"/>
  <c r="F457" i="20"/>
  <c r="Z456" i="20"/>
  <c r="W456" i="20"/>
  <c r="I456" i="20"/>
  <c r="F456" i="20"/>
  <c r="Z455" i="20"/>
  <c r="W455" i="20"/>
  <c r="I455" i="20"/>
  <c r="F455" i="20"/>
  <c r="Z454" i="20"/>
  <c r="W454" i="20"/>
  <c r="I454" i="20"/>
  <c r="F454" i="20"/>
  <c r="Z453" i="20"/>
  <c r="W453" i="20"/>
  <c r="I453" i="20"/>
  <c r="F453" i="20"/>
  <c r="Z452" i="20"/>
  <c r="W452" i="20"/>
  <c r="I452" i="20"/>
  <c r="F452" i="20"/>
  <c r="Z451" i="20"/>
  <c r="W451" i="20"/>
  <c r="I451" i="20"/>
  <c r="F451" i="20"/>
  <c r="Z450" i="20"/>
  <c r="W450" i="20"/>
  <c r="I450" i="20"/>
  <c r="F450" i="20"/>
  <c r="Z449" i="20"/>
  <c r="W449" i="20"/>
  <c r="I449" i="20"/>
  <c r="F449" i="20"/>
  <c r="Z448" i="20"/>
  <c r="W448" i="20"/>
  <c r="I448" i="20"/>
  <c r="F448" i="20"/>
  <c r="Z447" i="20"/>
  <c r="W447" i="20"/>
  <c r="I447" i="20"/>
  <c r="F447" i="20"/>
  <c r="Z446" i="20"/>
  <c r="W446" i="20"/>
  <c r="I446" i="20"/>
  <c r="F446" i="20"/>
  <c r="Z445" i="20"/>
  <c r="W445" i="20"/>
  <c r="I445" i="20"/>
  <c r="F445" i="20"/>
  <c r="Z444" i="20"/>
  <c r="W444" i="20"/>
  <c r="I444" i="20"/>
  <c r="F444" i="20"/>
  <c r="Z443" i="20"/>
  <c r="W443" i="20"/>
  <c r="I443" i="20"/>
  <c r="F443" i="20"/>
  <c r="Z442" i="20"/>
  <c r="W442" i="20"/>
  <c r="I442" i="20"/>
  <c r="F442" i="20"/>
  <c r="Z441" i="20"/>
  <c r="W441" i="20"/>
  <c r="I441" i="20"/>
  <c r="F441" i="20"/>
  <c r="Z440" i="20"/>
  <c r="W440" i="20"/>
  <c r="I440" i="20"/>
  <c r="F440" i="20"/>
  <c r="Z439" i="20"/>
  <c r="W439" i="20"/>
  <c r="I439" i="20"/>
  <c r="F439" i="20"/>
  <c r="Z438" i="20"/>
  <c r="W438" i="20"/>
  <c r="I438" i="20"/>
  <c r="F438" i="20"/>
  <c r="Z437" i="20"/>
  <c r="W437" i="20"/>
  <c r="I437" i="20"/>
  <c r="F437" i="20"/>
  <c r="Z436" i="20"/>
  <c r="W436" i="20"/>
  <c r="I436" i="20"/>
  <c r="F436" i="20"/>
  <c r="Z435" i="20"/>
  <c r="W435" i="20"/>
  <c r="I435" i="20"/>
  <c r="F435" i="20"/>
  <c r="Z434" i="20"/>
  <c r="W434" i="20"/>
  <c r="I434" i="20"/>
  <c r="F434" i="20"/>
  <c r="Z433" i="20"/>
  <c r="W433" i="20"/>
  <c r="I433" i="20"/>
  <c r="F433" i="20"/>
  <c r="Z432" i="20"/>
  <c r="W432" i="20"/>
  <c r="I432" i="20"/>
  <c r="F432" i="20"/>
  <c r="Z431" i="20"/>
  <c r="W431" i="20"/>
  <c r="I431" i="20"/>
  <c r="F431" i="20"/>
  <c r="Z430" i="20"/>
  <c r="W430" i="20"/>
  <c r="I430" i="20"/>
  <c r="F430" i="20"/>
  <c r="Z429" i="20"/>
  <c r="W429" i="20"/>
  <c r="I429" i="20"/>
  <c r="F429" i="20"/>
  <c r="Z428" i="20"/>
  <c r="W428" i="20"/>
  <c r="I428" i="20"/>
  <c r="F428" i="20"/>
  <c r="Z427" i="20"/>
  <c r="W427" i="20"/>
  <c r="I427" i="20"/>
  <c r="F427" i="20"/>
  <c r="Z426" i="20"/>
  <c r="W426" i="20"/>
  <c r="I426" i="20"/>
  <c r="F426" i="20"/>
  <c r="Z425" i="20"/>
  <c r="W425" i="20"/>
  <c r="I425" i="20"/>
  <c r="F425" i="20"/>
  <c r="Z424" i="20"/>
  <c r="W424" i="20"/>
  <c r="I424" i="20"/>
  <c r="F424" i="20"/>
  <c r="Z423" i="20"/>
  <c r="W423" i="20"/>
  <c r="I423" i="20"/>
  <c r="F423" i="20"/>
  <c r="Z422" i="20"/>
  <c r="W422" i="20"/>
  <c r="I422" i="20"/>
  <c r="F422" i="20"/>
  <c r="Z421" i="20"/>
  <c r="W421" i="20"/>
  <c r="I421" i="20"/>
  <c r="F421" i="20"/>
  <c r="Z420" i="20"/>
  <c r="W420" i="20"/>
  <c r="I420" i="20"/>
  <c r="F420" i="20"/>
  <c r="Z419" i="20"/>
  <c r="W419" i="20"/>
  <c r="I419" i="20"/>
  <c r="F419" i="20"/>
  <c r="Z418" i="20"/>
  <c r="W418" i="20"/>
  <c r="I418" i="20"/>
  <c r="F418" i="20"/>
  <c r="Z417" i="20"/>
  <c r="W417" i="20"/>
  <c r="I417" i="20"/>
  <c r="F417" i="20"/>
  <c r="Z416" i="20"/>
  <c r="W416" i="20"/>
  <c r="I416" i="20"/>
  <c r="F416" i="20"/>
  <c r="Z415" i="20"/>
  <c r="W415" i="20"/>
  <c r="I415" i="20"/>
  <c r="F415" i="20"/>
  <c r="Z414" i="20"/>
  <c r="W414" i="20"/>
  <c r="I414" i="20"/>
  <c r="F414" i="20"/>
  <c r="Z413" i="20"/>
  <c r="W413" i="20"/>
  <c r="I413" i="20"/>
  <c r="F413" i="20"/>
  <c r="Z412" i="20"/>
  <c r="W412" i="20"/>
  <c r="I412" i="20"/>
  <c r="F412" i="20"/>
  <c r="Z411" i="20"/>
  <c r="W411" i="20"/>
  <c r="I411" i="20"/>
  <c r="F411" i="20"/>
  <c r="Z410" i="20"/>
  <c r="W410" i="20"/>
  <c r="I410" i="20"/>
  <c r="F410" i="20"/>
  <c r="Z409" i="20"/>
  <c r="W409" i="20"/>
  <c r="I409" i="20"/>
  <c r="F409" i="20"/>
  <c r="Z408" i="20"/>
  <c r="W408" i="20"/>
  <c r="I408" i="20"/>
  <c r="F408" i="20"/>
  <c r="Z407" i="20"/>
  <c r="W407" i="20"/>
  <c r="I407" i="20"/>
  <c r="F407" i="20"/>
  <c r="Z406" i="20"/>
  <c r="W406" i="20"/>
  <c r="I406" i="20"/>
  <c r="F406" i="20"/>
  <c r="Z405" i="20"/>
  <c r="W405" i="20"/>
  <c r="I405" i="20"/>
  <c r="F405" i="20"/>
  <c r="Z404" i="20"/>
  <c r="W404" i="20"/>
  <c r="I404" i="20"/>
  <c r="F404" i="20"/>
  <c r="Z403" i="20"/>
  <c r="W403" i="20"/>
  <c r="I403" i="20"/>
  <c r="F403" i="20"/>
  <c r="Z402" i="20"/>
  <c r="W402" i="20"/>
  <c r="I402" i="20"/>
  <c r="F402" i="20"/>
  <c r="Z401" i="20"/>
  <c r="W401" i="20"/>
  <c r="I401" i="20"/>
  <c r="F401" i="20"/>
  <c r="Z400" i="20"/>
  <c r="W400" i="20"/>
  <c r="I400" i="20"/>
  <c r="F400" i="20"/>
  <c r="Z399" i="20"/>
  <c r="W399" i="20"/>
  <c r="I399" i="20"/>
  <c r="F399" i="20"/>
  <c r="Z398" i="20"/>
  <c r="W398" i="20"/>
  <c r="I398" i="20"/>
  <c r="F398" i="20"/>
  <c r="Z397" i="20"/>
  <c r="W397" i="20"/>
  <c r="I397" i="20"/>
  <c r="F397" i="20"/>
  <c r="Z396" i="20"/>
  <c r="W396" i="20"/>
  <c r="I396" i="20"/>
  <c r="F396" i="20"/>
  <c r="Z395" i="20"/>
  <c r="W395" i="20"/>
  <c r="I395" i="20"/>
  <c r="F395" i="20"/>
  <c r="Z394" i="20"/>
  <c r="W394" i="20"/>
  <c r="I394" i="20"/>
  <c r="F394" i="20"/>
  <c r="Z393" i="20"/>
  <c r="W393" i="20"/>
  <c r="I393" i="20"/>
  <c r="F393" i="20"/>
  <c r="Z392" i="20"/>
  <c r="W392" i="20"/>
  <c r="I392" i="20"/>
  <c r="F392" i="20"/>
  <c r="Z391" i="20"/>
  <c r="W391" i="20"/>
  <c r="I391" i="20"/>
  <c r="F391" i="20"/>
  <c r="Z390" i="20"/>
  <c r="W390" i="20"/>
  <c r="I390" i="20"/>
  <c r="F390" i="20"/>
  <c r="Z389" i="20"/>
  <c r="W389" i="20"/>
  <c r="I389" i="20"/>
  <c r="F389" i="20"/>
  <c r="Z388" i="20"/>
  <c r="W388" i="20"/>
  <c r="I388" i="20"/>
  <c r="F388" i="20"/>
  <c r="Z387" i="20"/>
  <c r="W387" i="20"/>
  <c r="I387" i="20"/>
  <c r="F387" i="20"/>
  <c r="Z386" i="20"/>
  <c r="W386" i="20"/>
  <c r="I386" i="20"/>
  <c r="F386" i="20"/>
  <c r="Z385" i="20"/>
  <c r="W385" i="20"/>
  <c r="I385" i="20"/>
  <c r="F385" i="20"/>
  <c r="Z384" i="20"/>
  <c r="W384" i="20"/>
  <c r="I384" i="20"/>
  <c r="F384" i="20"/>
  <c r="Z383" i="20"/>
  <c r="W383" i="20"/>
  <c r="I383" i="20"/>
  <c r="F383" i="20"/>
  <c r="Z382" i="20"/>
  <c r="W382" i="20"/>
  <c r="I382" i="20"/>
  <c r="F382" i="20"/>
  <c r="Z381" i="20"/>
  <c r="W381" i="20"/>
  <c r="I381" i="20"/>
  <c r="F381" i="20"/>
  <c r="Z380" i="20"/>
  <c r="W380" i="20"/>
  <c r="I380" i="20"/>
  <c r="F380" i="20"/>
  <c r="Z379" i="20"/>
  <c r="W379" i="20"/>
  <c r="I379" i="20"/>
  <c r="F379" i="20"/>
  <c r="Z378" i="20"/>
  <c r="W378" i="20"/>
  <c r="I378" i="20"/>
  <c r="F378" i="20"/>
  <c r="Z377" i="20"/>
  <c r="W377" i="20"/>
  <c r="I377" i="20"/>
  <c r="F377" i="20"/>
  <c r="Z376" i="20"/>
  <c r="W376" i="20"/>
  <c r="I376" i="20"/>
  <c r="F376" i="20"/>
  <c r="Z375" i="20"/>
  <c r="W375" i="20"/>
  <c r="I375" i="20"/>
  <c r="F375" i="20"/>
  <c r="Z374" i="20"/>
  <c r="W374" i="20"/>
  <c r="I374" i="20"/>
  <c r="F374" i="20"/>
  <c r="Z373" i="20"/>
  <c r="W373" i="20"/>
  <c r="I373" i="20"/>
  <c r="F373" i="20"/>
  <c r="Z372" i="20"/>
  <c r="W372" i="20"/>
  <c r="I372" i="20"/>
  <c r="F372" i="20"/>
  <c r="Z371" i="20"/>
  <c r="W371" i="20"/>
  <c r="I371" i="20"/>
  <c r="F371" i="20"/>
  <c r="Z370" i="20"/>
  <c r="W370" i="20"/>
  <c r="I370" i="20"/>
  <c r="F370" i="20"/>
  <c r="Z369" i="20"/>
  <c r="W369" i="20"/>
  <c r="I369" i="20"/>
  <c r="F369" i="20"/>
  <c r="Z368" i="20"/>
  <c r="W368" i="20"/>
  <c r="I368" i="20"/>
  <c r="F368" i="20"/>
  <c r="Z367" i="20"/>
  <c r="W367" i="20"/>
  <c r="I367" i="20"/>
  <c r="F367" i="20"/>
  <c r="Z366" i="20"/>
  <c r="W366" i="20"/>
  <c r="I366" i="20"/>
  <c r="F366" i="20"/>
  <c r="Z365" i="20"/>
  <c r="W365" i="20"/>
  <c r="I365" i="20"/>
  <c r="F365" i="20"/>
  <c r="Z364" i="20"/>
  <c r="W364" i="20"/>
  <c r="I364" i="20"/>
  <c r="F364" i="20"/>
  <c r="Z363" i="20"/>
  <c r="W363" i="20"/>
  <c r="I363" i="20"/>
  <c r="F363" i="20"/>
  <c r="Z362" i="20"/>
  <c r="W362" i="20"/>
  <c r="I362" i="20"/>
  <c r="F362" i="20"/>
  <c r="Z361" i="20"/>
  <c r="W361" i="20"/>
  <c r="I361" i="20"/>
  <c r="F361" i="20"/>
  <c r="Z360" i="20"/>
  <c r="W360" i="20"/>
  <c r="I360" i="20"/>
  <c r="F360" i="20"/>
  <c r="Z359" i="20"/>
  <c r="W359" i="20"/>
  <c r="I359" i="20"/>
  <c r="F359" i="20"/>
  <c r="Z358" i="20"/>
  <c r="W358" i="20"/>
  <c r="I358" i="20"/>
  <c r="F358" i="20"/>
  <c r="Z357" i="20"/>
  <c r="W357" i="20"/>
  <c r="I357" i="20"/>
  <c r="F357" i="20"/>
  <c r="Z356" i="20"/>
  <c r="W356" i="20"/>
  <c r="I356" i="20"/>
  <c r="F356" i="20"/>
  <c r="Z355" i="20"/>
  <c r="W355" i="20"/>
  <c r="I355" i="20"/>
  <c r="F355" i="20"/>
  <c r="Z354" i="20"/>
  <c r="W354" i="20"/>
  <c r="I354" i="20"/>
  <c r="F354" i="20"/>
  <c r="Z353" i="20"/>
  <c r="W353" i="20"/>
  <c r="I353" i="20"/>
  <c r="F353" i="20"/>
  <c r="Z352" i="20"/>
  <c r="W352" i="20"/>
  <c r="I352" i="20"/>
  <c r="F352" i="20"/>
  <c r="Z351" i="20"/>
  <c r="W351" i="20"/>
  <c r="I351" i="20"/>
  <c r="F351" i="20"/>
  <c r="Z350" i="20"/>
  <c r="W350" i="20"/>
  <c r="I350" i="20"/>
  <c r="F350" i="20"/>
  <c r="Z349" i="20"/>
  <c r="W349" i="20"/>
  <c r="I349" i="20"/>
  <c r="F349" i="20"/>
  <c r="Z348" i="20"/>
  <c r="W348" i="20"/>
  <c r="I348" i="20"/>
  <c r="F348" i="20"/>
  <c r="Z347" i="20"/>
  <c r="W347" i="20"/>
  <c r="I347" i="20"/>
  <c r="F347" i="20"/>
  <c r="Z346" i="20"/>
  <c r="W346" i="20"/>
  <c r="I346" i="20"/>
  <c r="F346" i="20"/>
  <c r="Z345" i="20"/>
  <c r="W345" i="20"/>
  <c r="I345" i="20"/>
  <c r="F345" i="20"/>
  <c r="Z344" i="20"/>
  <c r="W344" i="20"/>
  <c r="I344" i="20"/>
  <c r="F344" i="20"/>
  <c r="Z343" i="20"/>
  <c r="W343" i="20"/>
  <c r="I343" i="20"/>
  <c r="F343" i="20"/>
  <c r="Z342" i="20"/>
  <c r="W342" i="20"/>
  <c r="I342" i="20"/>
  <c r="F342" i="20"/>
  <c r="Z341" i="20"/>
  <c r="W341" i="20"/>
  <c r="I341" i="20"/>
  <c r="F341" i="20"/>
  <c r="Z340" i="20"/>
  <c r="W340" i="20"/>
  <c r="I340" i="20"/>
  <c r="F340" i="20"/>
  <c r="Z339" i="20"/>
  <c r="W339" i="20"/>
  <c r="I339" i="20"/>
  <c r="F339" i="20"/>
  <c r="Z338" i="20"/>
  <c r="W338" i="20"/>
  <c r="I338" i="20"/>
  <c r="F338" i="20"/>
  <c r="Z337" i="20"/>
  <c r="W337" i="20"/>
  <c r="I337" i="20"/>
  <c r="F337" i="20"/>
  <c r="Z336" i="20"/>
  <c r="W336" i="20"/>
  <c r="I336" i="20"/>
  <c r="F336" i="20"/>
  <c r="Z335" i="20"/>
  <c r="W335" i="20"/>
  <c r="I335" i="20"/>
  <c r="F335" i="20"/>
  <c r="Z334" i="20"/>
  <c r="W334" i="20"/>
  <c r="I334" i="20"/>
  <c r="F334" i="20"/>
  <c r="Z333" i="20"/>
  <c r="W333" i="20"/>
  <c r="I333" i="20"/>
  <c r="F333" i="20"/>
  <c r="Z332" i="20"/>
  <c r="W332" i="20"/>
  <c r="I332" i="20"/>
  <c r="F332" i="20"/>
  <c r="Z331" i="20"/>
  <c r="W331" i="20"/>
  <c r="I331" i="20"/>
  <c r="F331" i="20"/>
  <c r="Z330" i="20"/>
  <c r="W330" i="20"/>
  <c r="I330" i="20"/>
  <c r="F330" i="20"/>
  <c r="Z329" i="20"/>
  <c r="W329" i="20"/>
  <c r="I329" i="20"/>
  <c r="F329" i="20"/>
  <c r="Z328" i="20"/>
  <c r="W328" i="20"/>
  <c r="I328" i="20"/>
  <c r="F328" i="20"/>
  <c r="Z327" i="20"/>
  <c r="W327" i="20"/>
  <c r="I327" i="20"/>
  <c r="F327" i="20"/>
  <c r="Z326" i="20"/>
  <c r="W326" i="20"/>
  <c r="I326" i="20"/>
  <c r="F326" i="20"/>
  <c r="Z325" i="20"/>
  <c r="W325" i="20"/>
  <c r="I325" i="20"/>
  <c r="F325" i="20"/>
  <c r="Z324" i="20"/>
  <c r="W324" i="20"/>
  <c r="I324" i="20"/>
  <c r="F324" i="20"/>
  <c r="Z323" i="20"/>
  <c r="W323" i="20"/>
  <c r="I323" i="20"/>
  <c r="F323" i="20"/>
  <c r="Z322" i="20"/>
  <c r="W322" i="20"/>
  <c r="I322" i="20"/>
  <c r="F322" i="20"/>
  <c r="Z321" i="20"/>
  <c r="W321" i="20"/>
  <c r="I321" i="20"/>
  <c r="F321" i="20"/>
  <c r="Z320" i="20"/>
  <c r="W320" i="20"/>
  <c r="I320" i="20"/>
  <c r="F320" i="20"/>
  <c r="Z319" i="20"/>
  <c r="W319" i="20"/>
  <c r="I319" i="20"/>
  <c r="F319" i="20"/>
  <c r="Z318" i="20"/>
  <c r="W318" i="20"/>
  <c r="I318" i="20"/>
  <c r="F318" i="20"/>
  <c r="Z317" i="20"/>
  <c r="W317" i="20"/>
  <c r="I317" i="20"/>
  <c r="F317" i="20"/>
  <c r="Z316" i="20"/>
  <c r="W316" i="20"/>
  <c r="I316" i="20"/>
  <c r="F316" i="20"/>
  <c r="Z315" i="20"/>
  <c r="W315" i="20"/>
  <c r="I315" i="20"/>
  <c r="F315" i="20"/>
  <c r="Z314" i="20"/>
  <c r="W314" i="20"/>
  <c r="I314" i="20"/>
  <c r="F314" i="20"/>
  <c r="Z313" i="20"/>
  <c r="W313" i="20"/>
  <c r="I313" i="20"/>
  <c r="F313" i="20"/>
  <c r="Z312" i="20"/>
  <c r="W312" i="20"/>
  <c r="I312" i="20"/>
  <c r="F312" i="20"/>
  <c r="Z311" i="20"/>
  <c r="W311" i="20"/>
  <c r="I311" i="20"/>
  <c r="F311" i="20"/>
  <c r="Z310" i="20"/>
  <c r="W310" i="20"/>
  <c r="I310" i="20"/>
  <c r="F310" i="20"/>
  <c r="Z309" i="20"/>
  <c r="W309" i="20"/>
  <c r="I309" i="20"/>
  <c r="F309" i="20"/>
  <c r="Z308" i="20"/>
  <c r="W308" i="20"/>
  <c r="I308" i="20"/>
  <c r="F308" i="20"/>
  <c r="Z307" i="20"/>
  <c r="W307" i="20"/>
  <c r="I307" i="20"/>
  <c r="F307" i="20"/>
  <c r="Z306" i="20"/>
  <c r="W306" i="20"/>
  <c r="I306" i="20"/>
  <c r="F306" i="20"/>
  <c r="Z305" i="20"/>
  <c r="W305" i="20"/>
  <c r="I305" i="20"/>
  <c r="F305" i="20"/>
  <c r="Z304" i="20"/>
  <c r="W304" i="20"/>
  <c r="I304" i="20"/>
  <c r="F304" i="20"/>
  <c r="Z303" i="20"/>
  <c r="W303" i="20"/>
  <c r="I303" i="20"/>
  <c r="F303" i="20"/>
  <c r="Z302" i="20"/>
  <c r="W302" i="20"/>
  <c r="I302" i="20"/>
  <c r="F302" i="20"/>
  <c r="Z301" i="20"/>
  <c r="W301" i="20"/>
  <c r="I301" i="20"/>
  <c r="F301" i="20"/>
  <c r="Z300" i="20"/>
  <c r="W300" i="20"/>
  <c r="I300" i="20"/>
  <c r="F300" i="20"/>
  <c r="Z299" i="20"/>
  <c r="W299" i="20"/>
  <c r="I299" i="20"/>
  <c r="F299" i="20"/>
  <c r="Z298" i="20"/>
  <c r="W298" i="20"/>
  <c r="I298" i="20"/>
  <c r="F298" i="20"/>
  <c r="Z297" i="20"/>
  <c r="W297" i="20"/>
  <c r="I297" i="20"/>
  <c r="F297" i="20"/>
  <c r="Z296" i="20"/>
  <c r="W296" i="20"/>
  <c r="I296" i="20"/>
  <c r="F296" i="20"/>
  <c r="Z295" i="20"/>
  <c r="W295" i="20"/>
  <c r="I295" i="20"/>
  <c r="F295" i="20"/>
  <c r="Z294" i="20"/>
  <c r="W294" i="20"/>
  <c r="I294" i="20"/>
  <c r="F294" i="20"/>
  <c r="Z293" i="20"/>
  <c r="W293" i="20"/>
  <c r="I293" i="20"/>
  <c r="F293" i="20"/>
  <c r="Z292" i="20"/>
  <c r="W292" i="20"/>
  <c r="I292" i="20"/>
  <c r="F292" i="20"/>
  <c r="Z291" i="20"/>
  <c r="W291" i="20"/>
  <c r="I291" i="20"/>
  <c r="F291" i="20"/>
  <c r="Z290" i="20"/>
  <c r="W290" i="20"/>
  <c r="I290" i="20"/>
  <c r="F290" i="20"/>
  <c r="Z289" i="20"/>
  <c r="W289" i="20"/>
  <c r="I289" i="20"/>
  <c r="F289" i="20"/>
  <c r="Z288" i="20"/>
  <c r="W288" i="20"/>
  <c r="I288" i="20"/>
  <c r="F288" i="20"/>
  <c r="Z287" i="20"/>
  <c r="W287" i="20"/>
  <c r="I287" i="20"/>
  <c r="F287" i="20"/>
  <c r="W286" i="20"/>
  <c r="I286" i="20"/>
  <c r="F286" i="20"/>
  <c r="W285" i="20"/>
  <c r="I285" i="20"/>
  <c r="F285" i="20"/>
  <c r="W284" i="20"/>
  <c r="I284" i="20"/>
  <c r="F284" i="20"/>
  <c r="Z283" i="20"/>
  <c r="W283" i="20"/>
  <c r="I283" i="20"/>
  <c r="F283" i="20"/>
  <c r="Z282" i="20"/>
  <c r="W282" i="20"/>
  <c r="I282" i="20"/>
  <c r="F282" i="20"/>
  <c r="Z281" i="20"/>
  <c r="W281" i="20"/>
  <c r="I281" i="20"/>
  <c r="F281" i="20"/>
  <c r="Z280" i="20"/>
  <c r="W280" i="20"/>
  <c r="I280" i="20"/>
  <c r="F280" i="20"/>
  <c r="Z279" i="20"/>
  <c r="W279" i="20"/>
  <c r="I279" i="20"/>
  <c r="F279" i="20"/>
  <c r="Z278" i="20"/>
  <c r="W278" i="20"/>
  <c r="I278" i="20"/>
  <c r="F278" i="20"/>
  <c r="Z277" i="20"/>
  <c r="W277" i="20"/>
  <c r="I277" i="20"/>
  <c r="F277" i="20"/>
  <c r="Z276" i="20"/>
  <c r="W276" i="20"/>
  <c r="I276" i="20"/>
  <c r="F276" i="20"/>
  <c r="Z275" i="20"/>
  <c r="W275" i="20"/>
  <c r="I275" i="20"/>
  <c r="F275" i="20"/>
  <c r="Z274" i="20"/>
  <c r="W274" i="20"/>
  <c r="I274" i="20"/>
  <c r="F274" i="20"/>
  <c r="Z273" i="20"/>
  <c r="W273" i="20"/>
  <c r="I273" i="20"/>
  <c r="F273" i="20"/>
  <c r="Z272" i="20"/>
  <c r="W272" i="20"/>
  <c r="I272" i="20"/>
  <c r="F272" i="20"/>
  <c r="Z271" i="20"/>
  <c r="W271" i="20"/>
  <c r="I271" i="20"/>
  <c r="F271" i="20"/>
  <c r="Z270" i="20"/>
  <c r="W270" i="20"/>
  <c r="I270" i="20"/>
  <c r="F270" i="20"/>
  <c r="Z269" i="20"/>
  <c r="W269" i="20"/>
  <c r="I269" i="20"/>
  <c r="F269" i="20"/>
  <c r="Z268" i="20"/>
  <c r="W268" i="20"/>
  <c r="I268" i="20"/>
  <c r="F268" i="20"/>
  <c r="Z267" i="20"/>
  <c r="W267" i="20"/>
  <c r="I267" i="20"/>
  <c r="F267" i="20"/>
  <c r="Z266" i="20"/>
  <c r="W266" i="20"/>
  <c r="I266" i="20"/>
  <c r="F266" i="20"/>
  <c r="Z265" i="20"/>
  <c r="W265" i="20"/>
  <c r="I265" i="20"/>
  <c r="F265" i="20"/>
  <c r="Z264" i="20"/>
  <c r="W264" i="20"/>
  <c r="I264" i="20"/>
  <c r="F264" i="20"/>
  <c r="Z263" i="20"/>
  <c r="W263" i="20"/>
  <c r="I263" i="20"/>
  <c r="F263" i="20"/>
  <c r="Z262" i="20"/>
  <c r="W262" i="20"/>
  <c r="I262" i="20"/>
  <c r="F262" i="20"/>
  <c r="Z261" i="20"/>
  <c r="W261" i="20"/>
  <c r="I261" i="20"/>
  <c r="F261" i="20"/>
  <c r="Z260" i="20"/>
  <c r="W260" i="20"/>
  <c r="I260" i="20"/>
  <c r="F260" i="20"/>
  <c r="Z259" i="20"/>
  <c r="W259" i="20"/>
  <c r="I259" i="20"/>
  <c r="F259" i="20"/>
  <c r="Z258" i="20"/>
  <c r="W258" i="20"/>
  <c r="I258" i="20"/>
  <c r="F258" i="20"/>
  <c r="Z257" i="20"/>
  <c r="W257" i="20"/>
  <c r="I257" i="20"/>
  <c r="F257" i="20"/>
  <c r="Z256" i="20"/>
  <c r="W256" i="20"/>
  <c r="I256" i="20"/>
  <c r="F256" i="20"/>
  <c r="Z255" i="20"/>
  <c r="W255" i="20"/>
  <c r="I255" i="20"/>
  <c r="F255" i="20"/>
  <c r="Z254" i="20"/>
  <c r="W254" i="20"/>
  <c r="I254" i="20"/>
  <c r="F254" i="20"/>
  <c r="Z253" i="20"/>
  <c r="W253" i="20"/>
  <c r="I253" i="20"/>
  <c r="F253" i="20"/>
  <c r="Z252" i="20"/>
  <c r="W252" i="20"/>
  <c r="I252" i="20"/>
  <c r="F252" i="20"/>
  <c r="Z251" i="20"/>
  <c r="W251" i="20"/>
  <c r="I251" i="20"/>
  <c r="F251" i="20"/>
  <c r="Z250" i="20"/>
  <c r="W250" i="20"/>
  <c r="I250" i="20"/>
  <c r="F250" i="20"/>
  <c r="Z249" i="20"/>
  <c r="W249" i="20"/>
  <c r="I249" i="20"/>
  <c r="F249" i="20"/>
  <c r="Z248" i="20"/>
  <c r="W248" i="20"/>
  <c r="I248" i="20"/>
  <c r="F248" i="20"/>
  <c r="Z247" i="20"/>
  <c r="W247" i="20"/>
  <c r="I247" i="20"/>
  <c r="F247" i="20"/>
  <c r="Z246" i="20"/>
  <c r="W246" i="20"/>
  <c r="I246" i="20"/>
  <c r="F246" i="20"/>
  <c r="Z245" i="20"/>
  <c r="W245" i="20"/>
  <c r="I245" i="20"/>
  <c r="F245" i="20"/>
  <c r="Z244" i="20"/>
  <c r="W244" i="20"/>
  <c r="I244" i="20"/>
  <c r="F244" i="20"/>
  <c r="Z243" i="20"/>
  <c r="W243" i="20"/>
  <c r="I243" i="20"/>
  <c r="F243" i="20"/>
  <c r="Z242" i="20"/>
  <c r="W242" i="20"/>
  <c r="I242" i="20"/>
  <c r="F242" i="20"/>
  <c r="Z241" i="20"/>
  <c r="W241" i="20"/>
  <c r="I241" i="20"/>
  <c r="F241" i="20"/>
  <c r="Z240" i="20"/>
  <c r="W240" i="20"/>
  <c r="I240" i="20"/>
  <c r="F240" i="20"/>
  <c r="Z239" i="20"/>
  <c r="W239" i="20"/>
  <c r="I239" i="20"/>
  <c r="F239" i="20"/>
  <c r="Z238" i="20"/>
  <c r="W238" i="20"/>
  <c r="I238" i="20"/>
  <c r="F238" i="20"/>
  <c r="Z237" i="20"/>
  <c r="W237" i="20"/>
  <c r="I237" i="20"/>
  <c r="F237" i="20"/>
  <c r="Z236" i="20"/>
  <c r="W236" i="20"/>
  <c r="I236" i="20"/>
  <c r="F236" i="20"/>
  <c r="Z235" i="20"/>
  <c r="W235" i="20"/>
  <c r="I235" i="20"/>
  <c r="F235" i="20"/>
  <c r="Z234" i="20"/>
  <c r="W234" i="20"/>
  <c r="I234" i="20"/>
  <c r="F234" i="20"/>
  <c r="Z233" i="20"/>
  <c r="W233" i="20"/>
  <c r="I233" i="20"/>
  <c r="F233" i="20"/>
  <c r="Z232" i="20"/>
  <c r="W232" i="20"/>
  <c r="I232" i="20"/>
  <c r="F232" i="20"/>
  <c r="Z231" i="20"/>
  <c r="W231" i="20"/>
  <c r="I231" i="20"/>
  <c r="F231" i="20"/>
  <c r="Z230" i="20"/>
  <c r="W230" i="20"/>
  <c r="I230" i="20"/>
  <c r="F230" i="20"/>
  <c r="Z229" i="20"/>
  <c r="W229" i="20"/>
  <c r="I229" i="20"/>
  <c r="F229" i="20"/>
  <c r="Z228" i="20"/>
  <c r="W228" i="20"/>
  <c r="I228" i="20"/>
  <c r="F228" i="20"/>
  <c r="Z227" i="20"/>
  <c r="W227" i="20"/>
  <c r="I227" i="20"/>
  <c r="F227" i="20"/>
  <c r="Z226" i="20"/>
  <c r="W226" i="20"/>
  <c r="I226" i="20"/>
  <c r="F226" i="20"/>
  <c r="Z225" i="20"/>
  <c r="W225" i="20"/>
  <c r="I225" i="20"/>
  <c r="F225" i="20"/>
  <c r="Z224" i="20"/>
  <c r="W224" i="20"/>
  <c r="I224" i="20"/>
  <c r="F224" i="20"/>
  <c r="Z223" i="20"/>
  <c r="W223" i="20"/>
  <c r="I223" i="20"/>
  <c r="F223" i="20"/>
  <c r="Z222" i="20"/>
  <c r="W222" i="20"/>
  <c r="I222" i="20"/>
  <c r="F222" i="20"/>
  <c r="Z221" i="20"/>
  <c r="W221" i="20"/>
  <c r="I221" i="20"/>
  <c r="F221" i="20"/>
  <c r="Z220" i="20"/>
  <c r="W220" i="20"/>
  <c r="I220" i="20"/>
  <c r="F220" i="20"/>
  <c r="Z219" i="20"/>
  <c r="W219" i="20"/>
  <c r="I219" i="20"/>
  <c r="F219" i="20"/>
  <c r="Z218" i="20"/>
  <c r="W218" i="20"/>
  <c r="I218" i="20"/>
  <c r="F218" i="20"/>
  <c r="Z217" i="20"/>
  <c r="W217" i="20"/>
  <c r="I217" i="20"/>
  <c r="F217" i="20"/>
  <c r="Z216" i="20"/>
  <c r="W216" i="20"/>
  <c r="I216" i="20"/>
  <c r="F216" i="20"/>
  <c r="Z215" i="20"/>
  <c r="W215" i="20"/>
  <c r="I215" i="20"/>
  <c r="F215" i="20"/>
  <c r="Z214" i="20"/>
  <c r="W214" i="20"/>
  <c r="I214" i="20"/>
  <c r="F214" i="20"/>
  <c r="Z213" i="20"/>
  <c r="W213" i="20"/>
  <c r="I213" i="20"/>
  <c r="F213" i="20"/>
  <c r="Z212" i="20"/>
  <c r="W212" i="20"/>
  <c r="I212" i="20"/>
  <c r="F212" i="20"/>
  <c r="Z211" i="20"/>
  <c r="W211" i="20"/>
  <c r="I211" i="20"/>
  <c r="F211" i="20"/>
  <c r="Z210" i="20"/>
  <c r="W210" i="20"/>
  <c r="I210" i="20"/>
  <c r="F210" i="20"/>
  <c r="Z209" i="20"/>
  <c r="W209" i="20"/>
  <c r="I209" i="20"/>
  <c r="F209" i="20"/>
  <c r="Z208" i="20"/>
  <c r="W208" i="20"/>
  <c r="I208" i="20"/>
  <c r="F208" i="20"/>
  <c r="Z207" i="20"/>
  <c r="W207" i="20"/>
  <c r="I207" i="20"/>
  <c r="F207" i="20"/>
  <c r="Z206" i="20"/>
  <c r="W206" i="20"/>
  <c r="I206" i="20"/>
  <c r="F206" i="20"/>
  <c r="Z205" i="20"/>
  <c r="W205" i="20"/>
  <c r="I205" i="20"/>
  <c r="T205" i="20" s="1"/>
  <c r="F205" i="20"/>
  <c r="Z204" i="20"/>
  <c r="W204" i="20"/>
  <c r="I204" i="20"/>
  <c r="T204" i="20" s="1"/>
  <c r="F204" i="20"/>
  <c r="Z203" i="20"/>
  <c r="W203" i="20"/>
  <c r="I203" i="20"/>
  <c r="T203" i="20" s="1"/>
  <c r="F203" i="20"/>
  <c r="Z202" i="20"/>
  <c r="W202" i="20"/>
  <c r="I202" i="20"/>
  <c r="T202" i="20" s="1"/>
  <c r="F202" i="20"/>
  <c r="Z201" i="20"/>
  <c r="W201" i="20"/>
  <c r="I201" i="20"/>
  <c r="T201" i="20" s="1"/>
  <c r="F201" i="20"/>
  <c r="Z200" i="20"/>
  <c r="W200" i="20"/>
  <c r="I200" i="20"/>
  <c r="T200" i="20" s="1"/>
  <c r="F200" i="20"/>
  <c r="Z199" i="20"/>
  <c r="W199" i="20"/>
  <c r="I199" i="20"/>
  <c r="T199" i="20" s="1"/>
  <c r="F199" i="20"/>
  <c r="Z198" i="20"/>
  <c r="W198" i="20"/>
  <c r="I198" i="20"/>
  <c r="T198" i="20" s="1"/>
  <c r="F198" i="20"/>
  <c r="Z197" i="20"/>
  <c r="W197" i="20"/>
  <c r="I197" i="20"/>
  <c r="T197" i="20" s="1"/>
  <c r="F197" i="20"/>
  <c r="Z196" i="20"/>
  <c r="W196" i="20"/>
  <c r="T196" i="20"/>
  <c r="I196" i="20"/>
  <c r="F196" i="20"/>
  <c r="Z195" i="20"/>
  <c r="W195" i="20"/>
  <c r="I195" i="20"/>
  <c r="T195" i="20" s="1"/>
  <c r="F195" i="20"/>
  <c r="Z194" i="20"/>
  <c r="W194" i="20"/>
  <c r="T194" i="20"/>
  <c r="I194" i="20"/>
  <c r="F194" i="20"/>
  <c r="Z193" i="20"/>
  <c r="W193" i="20"/>
  <c r="I193" i="20"/>
  <c r="T193" i="20" s="1"/>
  <c r="F193" i="20"/>
  <c r="Z192" i="20"/>
  <c r="W192" i="20"/>
  <c r="I192" i="20"/>
  <c r="T192" i="20" s="1"/>
  <c r="F192" i="20"/>
  <c r="Z191" i="20"/>
  <c r="W191" i="20"/>
  <c r="I191" i="20"/>
  <c r="T191" i="20" s="1"/>
  <c r="F191" i="20"/>
  <c r="Z190" i="20"/>
  <c r="W190" i="20"/>
  <c r="I190" i="20"/>
  <c r="T190" i="20" s="1"/>
  <c r="F190" i="20"/>
  <c r="Z189" i="20"/>
  <c r="W189" i="20"/>
  <c r="I189" i="20"/>
  <c r="T189" i="20" s="1"/>
  <c r="F189" i="20"/>
  <c r="Z188" i="20"/>
  <c r="W188" i="20"/>
  <c r="I188" i="20"/>
  <c r="T188" i="20" s="1"/>
  <c r="F188" i="20"/>
  <c r="Z187" i="20"/>
  <c r="W187" i="20"/>
  <c r="I187" i="20"/>
  <c r="T187" i="20" s="1"/>
  <c r="F187" i="20"/>
  <c r="Z186" i="20"/>
  <c r="W186" i="20"/>
  <c r="I186" i="20"/>
  <c r="T186" i="20" s="1"/>
  <c r="F186" i="20"/>
  <c r="Z185" i="20"/>
  <c r="W185" i="20"/>
  <c r="I185" i="20"/>
  <c r="T185" i="20" s="1"/>
  <c r="F185" i="20"/>
  <c r="Z184" i="20"/>
  <c r="W184" i="20"/>
  <c r="I184" i="20"/>
  <c r="T184" i="20" s="1"/>
  <c r="F184" i="20"/>
  <c r="Z183" i="20"/>
  <c r="W183" i="20"/>
  <c r="I183" i="20"/>
  <c r="T183" i="20" s="1"/>
  <c r="F183" i="20"/>
  <c r="Z182" i="20"/>
  <c r="W182" i="20"/>
  <c r="I182" i="20"/>
  <c r="T182" i="20" s="1"/>
  <c r="F182" i="20"/>
  <c r="Z181" i="20"/>
  <c r="W181" i="20"/>
  <c r="T181" i="20"/>
  <c r="I181" i="20"/>
  <c r="F181" i="20"/>
  <c r="Z180" i="20"/>
  <c r="W180" i="20"/>
  <c r="T180" i="20"/>
  <c r="I180" i="20"/>
  <c r="F180" i="20"/>
  <c r="Z179" i="20"/>
  <c r="W179" i="20"/>
  <c r="T179" i="20"/>
  <c r="I179" i="20"/>
  <c r="F179" i="20"/>
  <c r="Z178" i="20"/>
  <c r="W178" i="20"/>
  <c r="T178" i="20"/>
  <c r="I178" i="20"/>
  <c r="F178" i="20"/>
  <c r="Z177" i="20"/>
  <c r="W177" i="20"/>
  <c r="T177" i="20"/>
  <c r="I177" i="20"/>
  <c r="F177" i="20"/>
  <c r="Z176" i="20"/>
  <c r="W176" i="20"/>
  <c r="T176" i="20"/>
  <c r="I176" i="20"/>
  <c r="F176" i="20"/>
  <c r="Z175" i="20"/>
  <c r="W175" i="20"/>
  <c r="T175" i="20"/>
  <c r="I175" i="20"/>
  <c r="F175" i="20"/>
  <c r="Z174" i="20"/>
  <c r="W174" i="20"/>
  <c r="T174" i="20"/>
  <c r="I174" i="20"/>
  <c r="F174" i="20"/>
  <c r="Z173" i="20"/>
  <c r="W173" i="20"/>
  <c r="T173" i="20"/>
  <c r="I173" i="20"/>
  <c r="F173" i="20"/>
  <c r="Z172" i="20"/>
  <c r="W172" i="20"/>
  <c r="T172" i="20"/>
  <c r="I172" i="20"/>
  <c r="F172" i="20"/>
  <c r="Z171" i="20"/>
  <c r="W171" i="20"/>
  <c r="T171" i="20"/>
  <c r="I171" i="20"/>
  <c r="F171" i="20"/>
  <c r="Z170" i="20"/>
  <c r="W170" i="20"/>
  <c r="T170" i="20"/>
  <c r="I170" i="20"/>
  <c r="F170" i="20"/>
  <c r="W128" i="20"/>
  <c r="T128" i="20"/>
  <c r="I128" i="20"/>
  <c r="F128" i="20"/>
  <c r="W127" i="20"/>
  <c r="T127" i="20"/>
  <c r="I127" i="20"/>
  <c r="F127" i="20"/>
  <c r="W126" i="20"/>
  <c r="T126" i="20"/>
  <c r="I126" i="20"/>
  <c r="F126" i="20"/>
  <c r="W125" i="20"/>
  <c r="T125" i="20"/>
  <c r="I125" i="20"/>
  <c r="F125" i="20"/>
  <c r="W124" i="20"/>
  <c r="T124" i="20"/>
  <c r="I124" i="20"/>
  <c r="F124" i="20"/>
  <c r="W123" i="20"/>
  <c r="T123" i="20"/>
  <c r="I123" i="20"/>
  <c r="F123" i="20"/>
  <c r="W122" i="20"/>
  <c r="T122" i="20"/>
  <c r="I122" i="20"/>
  <c r="F122" i="20"/>
  <c r="W121" i="20"/>
  <c r="T121" i="20"/>
  <c r="I121" i="20"/>
  <c r="F121" i="20"/>
  <c r="W120" i="20"/>
  <c r="T120" i="20"/>
  <c r="I120" i="20"/>
  <c r="F120" i="20"/>
  <c r="W119" i="20"/>
  <c r="T119" i="20"/>
  <c r="I119" i="20"/>
  <c r="F119" i="20"/>
  <c r="W118" i="20"/>
  <c r="T118" i="20"/>
  <c r="I118" i="20"/>
  <c r="F118" i="20"/>
  <c r="W117" i="20"/>
  <c r="T117" i="20"/>
  <c r="I117" i="20"/>
  <c r="F117" i="20"/>
  <c r="W116" i="20"/>
  <c r="T116" i="20"/>
  <c r="I116" i="20"/>
  <c r="F116" i="20"/>
  <c r="W115" i="20"/>
  <c r="T115" i="20"/>
  <c r="I115" i="20"/>
  <c r="F115" i="20"/>
  <c r="W114" i="20"/>
  <c r="T114" i="20"/>
  <c r="I114" i="20"/>
  <c r="F114" i="20"/>
  <c r="W113" i="20"/>
  <c r="T113" i="20"/>
  <c r="I113" i="20"/>
  <c r="F113" i="20"/>
  <c r="W112" i="20"/>
  <c r="T112" i="20"/>
  <c r="I112" i="20"/>
  <c r="F112" i="20"/>
  <c r="W111" i="20"/>
  <c r="T111" i="20"/>
  <c r="I111" i="20"/>
  <c r="F111" i="20"/>
  <c r="W110" i="20"/>
  <c r="T110" i="20"/>
  <c r="I110" i="20"/>
  <c r="F110" i="20"/>
  <c r="W109" i="20"/>
  <c r="T109" i="20"/>
  <c r="I109" i="20"/>
  <c r="F109" i="20"/>
  <c r="W108" i="20"/>
  <c r="T108" i="20"/>
  <c r="I108" i="20"/>
  <c r="F108" i="20"/>
  <c r="W107" i="20"/>
  <c r="T107" i="20"/>
  <c r="I107" i="20"/>
  <c r="F107" i="20"/>
  <c r="W106" i="20"/>
  <c r="T106" i="20"/>
  <c r="I106" i="20"/>
  <c r="F106" i="20"/>
  <c r="W105" i="20"/>
  <c r="T105" i="20"/>
  <c r="I105" i="20"/>
  <c r="F105" i="20"/>
  <c r="W104" i="20"/>
  <c r="T104" i="20"/>
  <c r="I104" i="20"/>
  <c r="F104" i="20"/>
  <c r="W103" i="20"/>
  <c r="T103" i="20"/>
  <c r="I103" i="20"/>
  <c r="F103" i="20"/>
  <c r="W102" i="20"/>
  <c r="T102" i="20"/>
  <c r="I102" i="20"/>
  <c r="F102" i="20"/>
  <c r="W101" i="20"/>
  <c r="T101" i="20"/>
  <c r="I101" i="20"/>
  <c r="F101" i="20"/>
  <c r="W100" i="20"/>
  <c r="T100" i="20"/>
  <c r="I100" i="20"/>
  <c r="F100" i="20"/>
  <c r="W99" i="20"/>
  <c r="T99" i="20"/>
  <c r="I99" i="20"/>
  <c r="F99" i="20"/>
  <c r="W98" i="20"/>
  <c r="T98" i="20"/>
  <c r="I98" i="20"/>
  <c r="F98" i="20"/>
  <c r="W97" i="20"/>
  <c r="T97" i="20"/>
  <c r="I97" i="20"/>
  <c r="F97" i="20"/>
  <c r="W96" i="20"/>
  <c r="T96" i="20"/>
  <c r="I96" i="20"/>
  <c r="F96" i="20"/>
  <c r="W95" i="20"/>
  <c r="T95" i="20"/>
  <c r="I95" i="20"/>
  <c r="F95" i="20"/>
  <c r="W94" i="20"/>
  <c r="T94" i="20"/>
  <c r="I94" i="20"/>
  <c r="F94" i="20"/>
  <c r="W93" i="20"/>
  <c r="T93" i="20"/>
  <c r="I93" i="20"/>
  <c r="F93" i="20"/>
  <c r="W92" i="20"/>
  <c r="T92" i="20"/>
  <c r="I92" i="20"/>
  <c r="F92" i="20"/>
  <c r="W91" i="20"/>
  <c r="T91" i="20"/>
  <c r="I91" i="20"/>
  <c r="F91" i="20"/>
  <c r="W90" i="20"/>
  <c r="T90" i="20"/>
  <c r="I90" i="20"/>
  <c r="F90" i="20"/>
  <c r="W89" i="20"/>
  <c r="T89" i="20"/>
  <c r="I89" i="20"/>
  <c r="F89" i="20"/>
  <c r="W88" i="20"/>
  <c r="T88" i="20"/>
  <c r="I88" i="20"/>
  <c r="F88" i="20"/>
  <c r="W87" i="20"/>
  <c r="T87" i="20"/>
  <c r="I87" i="20"/>
  <c r="F87" i="20"/>
  <c r="W86" i="20"/>
  <c r="T86" i="20"/>
  <c r="I86" i="20"/>
  <c r="F86" i="20"/>
  <c r="W85" i="20"/>
  <c r="T85" i="20"/>
  <c r="I85" i="20"/>
  <c r="F85" i="20"/>
  <c r="W84" i="20"/>
  <c r="T84" i="20"/>
  <c r="I84" i="20"/>
  <c r="F84" i="20"/>
  <c r="W83" i="20"/>
  <c r="T83" i="20"/>
  <c r="I83" i="20"/>
  <c r="F83" i="20"/>
  <c r="W82" i="20"/>
  <c r="T82" i="20"/>
  <c r="I82" i="20"/>
  <c r="F82" i="20"/>
  <c r="W81" i="20"/>
  <c r="T81" i="20"/>
  <c r="I81" i="20"/>
  <c r="F81" i="20"/>
  <c r="W80" i="20"/>
  <c r="T80" i="20"/>
  <c r="I80" i="20"/>
  <c r="F80" i="20"/>
  <c r="W79" i="20"/>
  <c r="T79" i="20"/>
  <c r="I79" i="20"/>
  <c r="F79" i="20"/>
  <c r="W78" i="20"/>
  <c r="T78" i="20"/>
  <c r="I78" i="20"/>
  <c r="F78" i="20"/>
  <c r="W77" i="20"/>
  <c r="T77" i="20"/>
  <c r="I77" i="20"/>
  <c r="F77" i="20"/>
  <c r="W76" i="20"/>
  <c r="T76" i="20"/>
  <c r="I76" i="20"/>
  <c r="F76" i="20"/>
  <c r="W75" i="20"/>
  <c r="T75" i="20"/>
  <c r="I75" i="20"/>
  <c r="F75" i="20"/>
  <c r="W74" i="20"/>
  <c r="T74" i="20"/>
  <c r="I74" i="20"/>
  <c r="F74" i="20"/>
  <c r="W73" i="20"/>
  <c r="T73" i="20"/>
  <c r="I73" i="20"/>
  <c r="F73" i="20"/>
  <c r="W72" i="20"/>
  <c r="T72" i="20"/>
  <c r="I72" i="20"/>
  <c r="F72" i="20"/>
  <c r="W71" i="20"/>
  <c r="T71" i="20"/>
  <c r="I71" i="20"/>
  <c r="F71" i="20"/>
  <c r="W70" i="20"/>
  <c r="T70" i="20"/>
  <c r="I70" i="20"/>
  <c r="F70" i="20"/>
  <c r="W69" i="20"/>
  <c r="T69" i="20"/>
  <c r="I69" i="20"/>
  <c r="F69" i="20"/>
  <c r="W68" i="20"/>
  <c r="T68" i="20"/>
  <c r="I68" i="20"/>
  <c r="F68" i="20"/>
  <c r="W67" i="20"/>
  <c r="T67" i="20"/>
  <c r="I67" i="20"/>
  <c r="F67" i="20"/>
  <c r="W66" i="20"/>
  <c r="T66" i="20"/>
  <c r="I66" i="20"/>
  <c r="F66" i="20"/>
  <c r="W65" i="20"/>
  <c r="T65" i="20"/>
  <c r="I65" i="20"/>
  <c r="F65" i="20"/>
  <c r="W64" i="20"/>
  <c r="T64" i="20"/>
  <c r="I64" i="20"/>
  <c r="F64" i="20"/>
  <c r="W63" i="20"/>
  <c r="T63" i="20"/>
  <c r="I63" i="20"/>
  <c r="F63" i="20"/>
  <c r="W62" i="20"/>
  <c r="T62" i="20"/>
  <c r="I62" i="20"/>
  <c r="F62" i="20"/>
  <c r="W61" i="20"/>
  <c r="T61" i="20"/>
  <c r="I61" i="20"/>
  <c r="F61" i="20"/>
  <c r="W60" i="20"/>
  <c r="T60" i="20"/>
  <c r="I60" i="20"/>
  <c r="F60" i="20"/>
  <c r="W59" i="20"/>
  <c r="T59" i="20"/>
  <c r="I59" i="20"/>
  <c r="F59" i="20"/>
  <c r="W58" i="20"/>
  <c r="T58" i="20"/>
  <c r="I58" i="20"/>
  <c r="F58" i="20"/>
  <c r="W57" i="20"/>
  <c r="T57" i="20"/>
  <c r="I57" i="20"/>
  <c r="F57" i="20"/>
  <c r="W56" i="20"/>
  <c r="T56" i="20"/>
  <c r="I56" i="20"/>
  <c r="F56" i="20"/>
  <c r="W55" i="20"/>
  <c r="T55" i="20"/>
  <c r="I55" i="20"/>
  <c r="F55" i="20"/>
  <c r="W54" i="20"/>
  <c r="T54" i="20"/>
  <c r="I54" i="20"/>
  <c r="F54" i="20"/>
  <c r="W53" i="20"/>
  <c r="T53" i="20"/>
  <c r="I53" i="20"/>
  <c r="F53" i="20"/>
  <c r="W52" i="20"/>
  <c r="T52" i="20"/>
  <c r="I52" i="20"/>
  <c r="F52" i="20"/>
  <c r="W51" i="20"/>
  <c r="T51" i="20"/>
  <c r="I51" i="20"/>
  <c r="F51" i="20"/>
  <c r="W50" i="20"/>
  <c r="T50" i="20"/>
  <c r="I50" i="20"/>
  <c r="F50" i="20"/>
  <c r="W49" i="20"/>
  <c r="T49" i="20"/>
  <c r="I49" i="20"/>
  <c r="F49" i="20"/>
  <c r="W48" i="20"/>
  <c r="T48" i="20"/>
  <c r="I48" i="20"/>
  <c r="F48" i="20"/>
  <c r="W47" i="20"/>
  <c r="T47" i="20"/>
  <c r="I47" i="20"/>
  <c r="F47" i="20"/>
  <c r="W46" i="20"/>
  <c r="T46" i="20"/>
  <c r="I46" i="20"/>
  <c r="F46" i="20"/>
  <c r="W45" i="20"/>
  <c r="T45" i="20"/>
  <c r="I45" i="20"/>
  <c r="F45" i="20"/>
  <c r="W44" i="20"/>
  <c r="T44" i="20"/>
  <c r="I44" i="20"/>
  <c r="F44" i="20"/>
  <c r="W43" i="20"/>
  <c r="T43" i="20"/>
  <c r="I43" i="20"/>
  <c r="W42" i="20"/>
  <c r="T42" i="20"/>
  <c r="I42" i="20"/>
  <c r="F42" i="20"/>
  <c r="F43" i="20" s="1"/>
  <c r="W41" i="20"/>
  <c r="T41" i="20"/>
  <c r="I41" i="20"/>
  <c r="F41" i="20"/>
  <c r="W40" i="20"/>
  <c r="T40" i="20"/>
  <c r="I40" i="20"/>
  <c r="F40" i="20"/>
  <c r="W39" i="20"/>
  <c r="T39" i="20"/>
  <c r="I39" i="20"/>
  <c r="F39" i="20"/>
  <c r="W38" i="20"/>
  <c r="T38" i="20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I8" i="20"/>
  <c r="F8" i="20"/>
  <c r="I7" i="20"/>
  <c r="F7" i="20"/>
  <c r="I6" i="20"/>
  <c r="F6" i="20"/>
  <c r="I5" i="20"/>
  <c r="F5" i="20"/>
  <c r="I4" i="20"/>
  <c r="F4" i="20"/>
  <c r="I3" i="20"/>
  <c r="F3" i="20"/>
  <c r="I2" i="20"/>
  <c r="F2" i="20"/>
  <c r="N30" i="10"/>
  <c r="N20" i="10"/>
  <c r="T5" i="10" s="1"/>
  <c r="N10" i="10"/>
  <c r="N5" i="10"/>
  <c r="S7" i="17" l="1"/>
  <c r="X7" i="17" s="1"/>
  <c r="M7" i="17"/>
  <c r="S9" i="17"/>
  <c r="W9" i="17" s="1"/>
  <c r="M9" i="17"/>
  <c r="S13" i="17"/>
  <c r="W13" i="17" s="1"/>
  <c r="M13" i="17"/>
  <c r="S19" i="17"/>
  <c r="V19" i="17" s="1"/>
  <c r="Y19" i="17" s="1"/>
  <c r="M19" i="17"/>
  <c r="S8" i="17"/>
  <c r="X8" i="17" s="1"/>
  <c r="M8" i="17"/>
  <c r="S10" i="17"/>
  <c r="W10" i="17" s="1"/>
  <c r="M10" i="17"/>
  <c r="S12" i="17"/>
  <c r="X12" i="17" s="1"/>
  <c r="M12" i="17"/>
  <c r="S14" i="17"/>
  <c r="V14" i="17" s="1"/>
  <c r="Y14" i="17" s="1"/>
  <c r="M14" i="17"/>
  <c r="S16" i="17"/>
  <c r="W16" i="17" s="1"/>
  <c r="M16" i="17"/>
  <c r="S18" i="17"/>
  <c r="W18" i="17" s="1"/>
  <c r="M18" i="17"/>
  <c r="S11" i="17"/>
  <c r="W11" i="17" s="1"/>
  <c r="M11" i="17"/>
  <c r="S15" i="17"/>
  <c r="X15" i="17" s="1"/>
  <c r="M15" i="17"/>
  <c r="S17" i="17"/>
  <c r="V17" i="17" s="1"/>
  <c r="Y17" i="17" s="1"/>
  <c r="M17" i="17"/>
  <c r="S6" i="17"/>
  <c r="X6" i="17" s="1"/>
  <c r="M6" i="17"/>
  <c r="W8" i="17"/>
  <c r="W12" i="17"/>
  <c r="W14" i="17"/>
  <c r="W17" i="17"/>
  <c r="V13" i="17"/>
  <c r="Y13" i="17" s="1"/>
  <c r="V15" i="17"/>
  <c r="Y15" i="17" s="1"/>
  <c r="V16" i="17"/>
  <c r="Y16" i="17" s="1"/>
  <c r="V6" i="17"/>
  <c r="Y6" i="17" s="1"/>
  <c r="D27" i="17"/>
  <c r="C28" i="17"/>
  <c r="C25" i="17"/>
  <c r="D29" i="17"/>
  <c r="D25" i="17"/>
  <c r="D28" i="17"/>
  <c r="C29" i="17"/>
  <c r="X18" i="17"/>
  <c r="C20" i="17"/>
  <c r="C21" i="17"/>
  <c r="C24" i="17"/>
  <c r="C26" i="17"/>
  <c r="D22" i="17"/>
  <c r="D23" i="17"/>
  <c r="D24" i="17"/>
  <c r="D26" i="17"/>
  <c r="C27" i="17"/>
  <c r="I470" i="20"/>
  <c r="E29" i="2"/>
  <c r="E2" i="7"/>
  <c r="B7" i="7"/>
  <c r="E33" i="2" s="1"/>
  <c r="D7" i="7"/>
  <c r="G33" i="2" s="1"/>
  <c r="E5" i="7"/>
  <c r="E6" i="7"/>
  <c r="H32" i="2" s="1"/>
  <c r="D6" i="7"/>
  <c r="G32" i="2" s="1"/>
  <c r="E4" i="7"/>
  <c r="H31" i="2" s="1"/>
  <c r="B6" i="7"/>
  <c r="E32" i="2" s="1"/>
  <c r="B3" i="7"/>
  <c r="E30" i="2" s="1"/>
  <c r="B5" i="7"/>
  <c r="E7" i="7"/>
  <c r="H33" i="2" s="1"/>
  <c r="D5" i="7"/>
  <c r="G31" i="2" s="1"/>
  <c r="E3" i="7"/>
  <c r="H30" i="2" s="1"/>
  <c r="D3" i="7"/>
  <c r="G30" i="2" s="1"/>
  <c r="B4" i="7"/>
  <c r="E31" i="2" s="1"/>
  <c r="K22" i="21"/>
  <c r="C22" i="17" s="1"/>
  <c r="T7" i="17"/>
  <c r="W7" i="17" s="1"/>
  <c r="K23" i="21"/>
  <c r="X16" i="17" l="1"/>
  <c r="X13" i="17"/>
  <c r="V12" i="17"/>
  <c r="Y12" i="17" s="1"/>
  <c r="X11" i="17"/>
  <c r="M26" i="17"/>
  <c r="W6" i="17"/>
  <c r="M22" i="17"/>
  <c r="V8" i="17"/>
  <c r="Y8" i="17" s="1"/>
  <c r="V11" i="17"/>
  <c r="Y11" i="17" s="1"/>
  <c r="X17" i="17"/>
  <c r="X19" i="17"/>
  <c r="V10" i="17"/>
  <c r="Y10" i="17" s="1"/>
  <c r="V18" i="17"/>
  <c r="Y18" i="17" s="1"/>
  <c r="W15" i="17"/>
  <c r="M27" i="17"/>
  <c r="X10" i="17"/>
  <c r="L28" i="17"/>
  <c r="N28" i="17" s="1"/>
  <c r="V9" i="17"/>
  <c r="Y9" i="17" s="1"/>
  <c r="M25" i="17"/>
  <c r="S21" i="17"/>
  <c r="W21" i="17" s="1"/>
  <c r="M21" i="17"/>
  <c r="X14" i="17"/>
  <c r="M29" i="17"/>
  <c r="X9" i="17"/>
  <c r="M28" i="17"/>
  <c r="W19" i="17"/>
  <c r="M24" i="17"/>
  <c r="S20" i="17"/>
  <c r="W20" i="17" s="1"/>
  <c r="M20" i="17"/>
  <c r="AC4" i="17"/>
  <c r="AC5" i="17"/>
  <c r="V20" i="17"/>
  <c r="Y20" i="17" s="1"/>
  <c r="V7" i="17"/>
  <c r="Y7" i="17" s="1"/>
  <c r="S27" i="17"/>
  <c r="W27" i="17" s="1"/>
  <c r="S25" i="17"/>
  <c r="W25" i="17" s="1"/>
  <c r="C23" i="17"/>
  <c r="S28" i="17"/>
  <c r="W28" i="17" s="1"/>
  <c r="S22" i="17"/>
  <c r="W22" i="17" s="1"/>
  <c r="S24" i="17"/>
  <c r="W24" i="17" s="1"/>
  <c r="S26" i="17"/>
  <c r="W26" i="17" s="1"/>
  <c r="L29" i="17"/>
  <c r="N29" i="17" s="1"/>
  <c r="S29" i="17"/>
  <c r="W29" i="17" s="1"/>
  <c r="F3" i="2"/>
  <c r="C19" i="6"/>
  <c r="C18" i="6"/>
  <c r="C17" i="6"/>
  <c r="C16" i="6"/>
  <c r="C6" i="6"/>
  <c r="C7" i="6"/>
  <c r="C8" i="6"/>
  <c r="C9" i="6"/>
  <c r="C10" i="6"/>
  <c r="C11" i="6"/>
  <c r="C12" i="6"/>
  <c r="C13" i="6"/>
  <c r="C14" i="6"/>
  <c r="C15" i="6"/>
  <c r="C5" i="6"/>
  <c r="N11" i="9"/>
  <c r="N4" i="9"/>
  <c r="N25" i="9"/>
  <c r="N18" i="9"/>
  <c r="N32" i="9"/>
  <c r="B21" i="6"/>
  <c r="D3" i="2" s="1"/>
  <c r="D21" i="6"/>
  <c r="E2" i="2"/>
  <c r="F2" i="2"/>
  <c r="G2" i="2"/>
  <c r="H2" i="2"/>
  <c r="D2" i="2"/>
  <c r="F21" i="6"/>
  <c r="H3" i="2" s="1"/>
  <c r="E21" i="6"/>
  <c r="G3" i="2" s="1"/>
  <c r="B28" i="17" l="1"/>
  <c r="X21" i="17"/>
  <c r="X20" i="17"/>
  <c r="V21" i="17"/>
  <c r="Y21" i="17" s="1"/>
  <c r="S23" i="17"/>
  <c r="W23" i="17" s="1"/>
  <c r="M23" i="17"/>
  <c r="Y55" i="17"/>
  <c r="R29" i="17"/>
  <c r="B29" i="17"/>
  <c r="R28" i="17"/>
  <c r="Y58" i="17"/>
  <c r="Y32" i="17"/>
  <c r="Y31" i="17" s="1"/>
  <c r="V26" i="17"/>
  <c r="Y26" i="17" s="1"/>
  <c r="V24" i="17"/>
  <c r="Y24" i="17" s="1"/>
  <c r="V27" i="17"/>
  <c r="Y27" i="17" s="1"/>
  <c r="V28" i="17"/>
  <c r="Y28" i="17" s="1"/>
  <c r="V29" i="17"/>
  <c r="Y29" i="17" s="1"/>
  <c r="X25" i="17"/>
  <c r="V25" i="17"/>
  <c r="Y25" i="17" s="1"/>
  <c r="X22" i="17"/>
  <c r="V22" i="17"/>
  <c r="Y22" i="17" s="1"/>
  <c r="X26" i="17"/>
  <c r="X24" i="17"/>
  <c r="X27" i="17"/>
  <c r="X28" i="17"/>
  <c r="Y33" i="17"/>
  <c r="Y41" i="17"/>
  <c r="Y38" i="17"/>
  <c r="Y53" i="17"/>
  <c r="Y34" i="17"/>
  <c r="Y51" i="17"/>
  <c r="Y35" i="17"/>
  <c r="Y40" i="17"/>
  <c r="Y36" i="17"/>
  <c r="Y48" i="17"/>
  <c r="Y45" i="17"/>
  <c r="Y57" i="17"/>
  <c r="Y43" i="17"/>
  <c r="Y47" i="17"/>
  <c r="Y52" i="17"/>
  <c r="Y56" i="17"/>
  <c r="Y54" i="17"/>
  <c r="Y42" i="17"/>
  <c r="Y49" i="17"/>
  <c r="Y50" i="17"/>
  <c r="Y37" i="17"/>
  <c r="Y46" i="17"/>
  <c r="Y44" i="17"/>
  <c r="Y39" i="17"/>
  <c r="X29" i="17"/>
  <c r="C21" i="6"/>
  <c r="E3" i="2" s="1"/>
  <c r="N35" i="9"/>
  <c r="N34" i="9"/>
  <c r="N33" i="9"/>
  <c r="N31" i="9"/>
  <c r="N30" i="9"/>
  <c r="BI19" i="11"/>
  <c r="BI20" i="11"/>
  <c r="F25" i="11"/>
  <c r="F24" i="11"/>
  <c r="H34" i="2" s="1"/>
  <c r="BG19" i="11"/>
  <c r="BH19" i="11"/>
  <c r="BG20" i="11"/>
  <c r="BH20" i="11"/>
  <c r="BF19" i="11"/>
  <c r="BF20" i="11"/>
  <c r="BE19" i="11"/>
  <c r="BE20" i="11"/>
  <c r="BD19" i="11"/>
  <c r="BD20" i="11"/>
  <c r="BC19" i="11"/>
  <c r="BC20" i="11"/>
  <c r="BB19" i="11"/>
  <c r="BB20" i="11"/>
  <c r="BA19" i="11"/>
  <c r="BA20" i="11"/>
  <c r="AZ19" i="11"/>
  <c r="AZ20" i="11"/>
  <c r="AY19" i="11"/>
  <c r="AY20" i="11"/>
  <c r="AX19" i="11"/>
  <c r="AX20" i="11"/>
  <c r="AW19" i="11"/>
  <c r="AW20" i="11"/>
  <c r="AV19" i="11"/>
  <c r="AV20" i="11"/>
  <c r="AU19" i="11"/>
  <c r="AU20" i="11"/>
  <c r="AT19" i="11"/>
  <c r="AT20" i="11"/>
  <c r="AS19" i="11"/>
  <c r="AS20" i="11"/>
  <c r="AR19" i="11"/>
  <c r="AR20" i="11"/>
  <c r="AQ19" i="11"/>
  <c r="AQ20" i="11"/>
  <c r="AP19" i="11"/>
  <c r="AP20" i="11"/>
  <c r="AO19" i="11"/>
  <c r="AO20" i="11"/>
  <c r="AN19" i="11"/>
  <c r="AN20" i="11"/>
  <c r="AM19" i="11"/>
  <c r="AM20" i="11"/>
  <c r="X23" i="17" l="1"/>
  <c r="V23" i="17"/>
  <c r="Y23" i="17" s="1"/>
  <c r="AB5" i="17"/>
  <c r="AB4" i="17"/>
  <c r="X37" i="17" s="1"/>
  <c r="F26" i="11"/>
  <c r="N29" i="10"/>
  <c r="N28" i="10"/>
  <c r="N27" i="10"/>
  <c r="X39" i="17" l="1"/>
  <c r="X33" i="17"/>
  <c r="X32" i="17"/>
  <c r="X31" i="17" s="1"/>
  <c r="X53" i="17"/>
  <c r="X50" i="17"/>
  <c r="X43" i="17"/>
  <c r="X34" i="17"/>
  <c r="X40" i="17"/>
  <c r="X57" i="17"/>
  <c r="X58" i="17"/>
  <c r="X48" i="17"/>
  <c r="X51" i="17"/>
  <c r="X47" i="17"/>
  <c r="X42" i="17"/>
  <c r="X44" i="17"/>
  <c r="X54" i="17"/>
  <c r="X45" i="17"/>
  <c r="X41" i="17"/>
  <c r="X56" i="17"/>
  <c r="X35" i="17"/>
  <c r="X38" i="17"/>
  <c r="X55" i="17"/>
  <c r="X52" i="17"/>
  <c r="X46" i="17"/>
  <c r="X36" i="17"/>
  <c r="X49" i="17"/>
  <c r="N25" i="10"/>
  <c r="D24" i="10"/>
  <c r="C24" i="10"/>
  <c r="N23" i="10"/>
  <c r="U3" i="10" s="1"/>
  <c r="H9" i="2" s="1"/>
  <c r="N22" i="10"/>
  <c r="U2" i="10" s="1"/>
  <c r="H11" i="2" s="1"/>
  <c r="N19" i="10"/>
  <c r="T4" i="10" s="1"/>
  <c r="G10" i="2" s="1"/>
  <c r="N18" i="10"/>
  <c r="T3" i="10" s="1"/>
  <c r="G9" i="2" s="1"/>
  <c r="N17" i="10"/>
  <c r="T2" i="10" s="1"/>
  <c r="G11" i="2" s="1"/>
  <c r="E15" i="10"/>
  <c r="N15" i="10" s="1"/>
  <c r="S5" i="10" s="1"/>
  <c r="F12" i="2" s="1"/>
  <c r="F14" i="10"/>
  <c r="E14" i="10"/>
  <c r="N13" i="10"/>
  <c r="S3" i="10" s="1"/>
  <c r="F9" i="2" s="1"/>
  <c r="K12" i="10"/>
  <c r="N12" i="10" s="1"/>
  <c r="S2" i="10" s="1"/>
  <c r="F11" i="2" s="1"/>
  <c r="M9" i="10"/>
  <c r="E9" i="10"/>
  <c r="C9" i="10"/>
  <c r="M8" i="10"/>
  <c r="N8" i="10" s="1"/>
  <c r="R3" i="10" s="1"/>
  <c r="E9" i="2" s="1"/>
  <c r="E7" i="10"/>
  <c r="N7" i="10" s="1"/>
  <c r="R2" i="10" s="1"/>
  <c r="E11" i="2" s="1"/>
  <c r="N4" i="10"/>
  <c r="Q4" i="10" s="1"/>
  <c r="D10" i="2" s="1"/>
  <c r="N3" i="10"/>
  <c r="Q3" i="10" s="1"/>
  <c r="D9" i="2" s="1"/>
  <c r="N2" i="10"/>
  <c r="Q2" i="10" s="1"/>
  <c r="D11" i="2" s="1"/>
  <c r="G12" i="2" l="1"/>
  <c r="U5" i="10"/>
  <c r="H12" i="2" s="1"/>
  <c r="Q5" i="10"/>
  <c r="D12" i="2" s="1"/>
  <c r="R5" i="10"/>
  <c r="E12" i="2" s="1"/>
  <c r="N24" i="10"/>
  <c r="U4" i="10" s="1"/>
  <c r="H10" i="2" s="1"/>
  <c r="N14" i="10"/>
  <c r="S4" i="10" s="1"/>
  <c r="F10" i="2" s="1"/>
  <c r="N9" i="10"/>
  <c r="R4" i="10" s="1"/>
  <c r="E10" i="2" s="1"/>
  <c r="U6" i="10" l="1"/>
  <c r="Q6" i="10"/>
  <c r="T6" i="10"/>
  <c r="R6" i="10" l="1"/>
  <c r="S6" i="10"/>
  <c r="C17" i="16"/>
  <c r="C18" i="16" s="1"/>
  <c r="B17" i="16"/>
  <c r="B18" i="16" s="1"/>
  <c r="D13" i="16"/>
  <c r="C13" i="16"/>
  <c r="D11" i="16"/>
  <c r="C11" i="16"/>
  <c r="B11" i="16"/>
  <c r="F8" i="16"/>
  <c r="H28" i="2" s="1"/>
  <c r="D8" i="16"/>
  <c r="G28" i="2" s="1"/>
  <c r="F7" i="16"/>
  <c r="H27" i="2" s="1"/>
  <c r="D7" i="16"/>
  <c r="G27" i="2" s="1"/>
  <c r="F6" i="16"/>
  <c r="H26" i="2" s="1"/>
  <c r="D6" i="16"/>
  <c r="G26" i="2" s="1"/>
  <c r="F5" i="16"/>
  <c r="H25" i="2" s="1"/>
  <c r="D5" i="16"/>
  <c r="G25" i="2" s="1"/>
  <c r="F4" i="16"/>
  <c r="H24" i="2" s="1"/>
  <c r="D4" i="16"/>
  <c r="G24" i="2" s="1"/>
  <c r="F3" i="16"/>
  <c r="H23" i="2" s="1"/>
  <c r="D3" i="16"/>
  <c r="G23" i="2" s="1"/>
  <c r="L4" i="18" l="1"/>
  <c r="L3" i="18"/>
  <c r="L2" i="18"/>
  <c r="B13" i="13" l="1"/>
  <c r="C13" i="13"/>
  <c r="C14" i="12" l="1"/>
  <c r="D14" i="12"/>
  <c r="D6" i="2" s="1"/>
  <c r="E14" i="12"/>
  <c r="E6" i="2" s="1"/>
  <c r="F14" i="12"/>
  <c r="F6" i="2" s="1"/>
  <c r="G14" i="12"/>
  <c r="G6" i="2" s="1"/>
  <c r="H6" i="2"/>
  <c r="B14" i="12"/>
  <c r="G29" i="2" l="1"/>
  <c r="C5" i="4" l="1"/>
  <c r="G13" i="2" s="1"/>
  <c r="D5" i="4"/>
  <c r="H13" i="2" s="1"/>
  <c r="B5" i="4"/>
  <c r="F13" i="2" s="1"/>
  <c r="C8" i="4" l="1"/>
  <c r="C10" i="4"/>
  <c r="B8" i="4"/>
  <c r="D8" i="4"/>
  <c r="C9" i="4"/>
  <c r="B9" i="4"/>
  <c r="D10" i="4"/>
  <c r="B10" i="4"/>
  <c r="D9" i="4"/>
  <c r="M5" i="3"/>
  <c r="M4" i="3"/>
  <c r="M3" i="3"/>
  <c r="L3" i="3"/>
  <c r="M6" i="3" l="1"/>
  <c r="M15" i="3"/>
  <c r="M16" i="3" s="1"/>
  <c r="N24" i="9" l="1"/>
  <c r="N26" i="9"/>
  <c r="N27" i="9"/>
  <c r="N28" i="9"/>
  <c r="N23" i="9"/>
  <c r="N17" i="9"/>
  <c r="N19" i="9"/>
  <c r="N21" i="9"/>
  <c r="N16" i="9"/>
  <c r="N9" i="9"/>
  <c r="N2" i="9"/>
  <c r="G35" i="2" l="1"/>
  <c r="G8" i="2"/>
  <c r="G7" i="2"/>
  <c r="G5" i="2"/>
  <c r="G4" i="2"/>
  <c r="G15" i="2"/>
  <c r="D15" i="2"/>
  <c r="N14" i="9"/>
  <c r="N13" i="9"/>
  <c r="N12" i="9"/>
  <c r="N10" i="9"/>
  <c r="N3" i="9"/>
  <c r="N5" i="9"/>
  <c r="N6" i="9"/>
  <c r="N7" i="9"/>
  <c r="Z10" i="11" l="1"/>
  <c r="Z17" i="11" s="1"/>
  <c r="AA10" i="11"/>
  <c r="AA17" i="11" s="1"/>
  <c r="AB10" i="11"/>
  <c r="AB17" i="11" s="1"/>
  <c r="AC10" i="11"/>
  <c r="AC17" i="11" s="1"/>
  <c r="AD10" i="11"/>
  <c r="AD17" i="11" s="1"/>
  <c r="AE10" i="11"/>
  <c r="AE17" i="11" s="1"/>
  <c r="AF10" i="11"/>
  <c r="AF17" i="11" s="1"/>
  <c r="AG10" i="11"/>
  <c r="AH10" i="11"/>
  <c r="AH17" i="11" s="1"/>
  <c r="AI10" i="11"/>
  <c r="AI17" i="11"/>
  <c r="AJ10" i="11"/>
  <c r="AJ17" i="11" s="1"/>
  <c r="N10" i="11"/>
  <c r="N17" i="11" s="1"/>
  <c r="O10" i="11"/>
  <c r="O17" i="11"/>
  <c r="P10" i="11"/>
  <c r="P17" i="11" s="1"/>
  <c r="Q10" i="11"/>
  <c r="Q17" i="11" s="1"/>
  <c r="R10" i="11"/>
  <c r="R17" i="11" s="1"/>
  <c r="R19" i="11" s="1"/>
  <c r="S10" i="11"/>
  <c r="S17" i="11" s="1"/>
  <c r="T10" i="11"/>
  <c r="T17" i="11" s="1"/>
  <c r="U10" i="11"/>
  <c r="U17" i="11"/>
  <c r="V10" i="11"/>
  <c r="V17" i="11" s="1"/>
  <c r="W10" i="11"/>
  <c r="W17" i="11" s="1"/>
  <c r="X10" i="11"/>
  <c r="X17" i="11" s="1"/>
  <c r="Y10" i="11"/>
  <c r="Y17" i="11" s="1"/>
  <c r="Y19" i="11" s="1"/>
  <c r="B10" i="11"/>
  <c r="B17" i="11" s="1"/>
  <c r="C10" i="11"/>
  <c r="C17" i="11" s="1"/>
  <c r="D10" i="11"/>
  <c r="D17" i="11" s="1"/>
  <c r="E10" i="11"/>
  <c r="E12" i="11" s="1"/>
  <c r="E17" i="11"/>
  <c r="F10" i="11"/>
  <c r="F17" i="11" s="1"/>
  <c r="G10" i="11"/>
  <c r="G17" i="11"/>
  <c r="H10" i="11"/>
  <c r="H17" i="11" s="1"/>
  <c r="I10" i="11"/>
  <c r="I17" i="11" s="1"/>
  <c r="J10" i="11"/>
  <c r="J17" i="11" s="1"/>
  <c r="K10" i="11"/>
  <c r="K17" i="11" s="1"/>
  <c r="L10" i="11"/>
  <c r="L17" i="11" s="1"/>
  <c r="M10" i="11"/>
  <c r="M17" i="11"/>
  <c r="Z4" i="11"/>
  <c r="Z18" i="11" s="1"/>
  <c r="Z20" i="11" s="1"/>
  <c r="AA4" i="11"/>
  <c r="AA6" i="11" s="1"/>
  <c r="AA9" i="11"/>
  <c r="AA11" i="11" s="1"/>
  <c r="AA13" i="11" s="1"/>
  <c r="AB4" i="11"/>
  <c r="AB6" i="11" s="1"/>
  <c r="AB9" i="11"/>
  <c r="AC4" i="11"/>
  <c r="AC6" i="11" s="1"/>
  <c r="AC9" i="11"/>
  <c r="AD4" i="11"/>
  <c r="AD6" i="11" s="1"/>
  <c r="AD9" i="11"/>
  <c r="AD16" i="11" s="1"/>
  <c r="AE4" i="11"/>
  <c r="AE9" i="11"/>
  <c r="AE11" i="11" s="1"/>
  <c r="AE13" i="11" s="1"/>
  <c r="AF4" i="11"/>
  <c r="AF6" i="11" s="1"/>
  <c r="AF9" i="11"/>
  <c r="AG9" i="11"/>
  <c r="AG16" i="11" s="1"/>
  <c r="AH9" i="11"/>
  <c r="AH11" i="11" s="1"/>
  <c r="AH13" i="11" s="1"/>
  <c r="AI9" i="11"/>
  <c r="AI11" i="11" s="1"/>
  <c r="AJ9" i="11"/>
  <c r="B4" i="11"/>
  <c r="B9" i="11"/>
  <c r="C4" i="11"/>
  <c r="C9" i="11"/>
  <c r="C11" i="11" s="1"/>
  <c r="C13" i="11" s="1"/>
  <c r="D4" i="11"/>
  <c r="D9" i="11"/>
  <c r="E4" i="11"/>
  <c r="E9" i="11"/>
  <c r="E16" i="11" s="1"/>
  <c r="F4" i="11"/>
  <c r="F9" i="11"/>
  <c r="F16" i="11" s="1"/>
  <c r="G4" i="11"/>
  <c r="G9" i="11"/>
  <c r="G11" i="11" s="1"/>
  <c r="G13" i="11" s="1"/>
  <c r="H4" i="11"/>
  <c r="H9" i="11"/>
  <c r="H16" i="11" s="1"/>
  <c r="I4" i="11"/>
  <c r="I9" i="11"/>
  <c r="I16" i="11" s="1"/>
  <c r="J4" i="11"/>
  <c r="J9" i="11"/>
  <c r="J12" i="11" s="1"/>
  <c r="K4" i="11"/>
  <c r="K6" i="11" s="1"/>
  <c r="K9" i="11"/>
  <c r="K11" i="11" s="1"/>
  <c r="K13" i="11" s="1"/>
  <c r="L4" i="11"/>
  <c r="L9" i="11"/>
  <c r="L16" i="11" s="1"/>
  <c r="M4" i="11"/>
  <c r="M9" i="11"/>
  <c r="M16" i="11" s="1"/>
  <c r="N4" i="11"/>
  <c r="N6" i="11" s="1"/>
  <c r="N9" i="11"/>
  <c r="N11" i="11" s="1"/>
  <c r="N13" i="11" s="1"/>
  <c r="O4" i="11"/>
  <c r="O6" i="11" s="1"/>
  <c r="O9" i="11"/>
  <c r="O16" i="11" s="1"/>
  <c r="O11" i="11"/>
  <c r="O13" i="11" s="1"/>
  <c r="P4" i="11"/>
  <c r="P9" i="11"/>
  <c r="Q4" i="11"/>
  <c r="Q6" i="11" s="1"/>
  <c r="Q9" i="11"/>
  <c r="Q16" i="11" s="1"/>
  <c r="S4" i="11"/>
  <c r="S9" i="11"/>
  <c r="S11" i="11"/>
  <c r="S13" i="11" s="1"/>
  <c r="T4" i="11"/>
  <c r="T6" i="11" s="1"/>
  <c r="T9" i="11"/>
  <c r="T16" i="11" s="1"/>
  <c r="U4" i="11"/>
  <c r="U9" i="11"/>
  <c r="U16" i="11" s="1"/>
  <c r="U11" i="11"/>
  <c r="U13" i="11" s="1"/>
  <c r="V4" i="11"/>
  <c r="V9" i="11"/>
  <c r="V16" i="11" s="1"/>
  <c r="W4" i="11"/>
  <c r="W9" i="11"/>
  <c r="W11" i="11" s="1"/>
  <c r="W13" i="11" s="1"/>
  <c r="X4" i="11"/>
  <c r="X6" i="11" s="1"/>
  <c r="X9" i="11"/>
  <c r="X16" i="11" s="1"/>
  <c r="AL5" i="11"/>
  <c r="AL6" i="11"/>
  <c r="AL12" i="11"/>
  <c r="AL13" i="11"/>
  <c r="AL16" i="11"/>
  <c r="AL17" i="11"/>
  <c r="E24" i="11" s="1"/>
  <c r="G34" i="2" s="1"/>
  <c r="AL18" i="11"/>
  <c r="E25" i="11" s="1"/>
  <c r="AL20" i="11"/>
  <c r="AK10" i="11"/>
  <c r="AK17" i="11" s="1"/>
  <c r="AK19" i="11" s="1"/>
  <c r="N16" i="11"/>
  <c r="P16" i="11"/>
  <c r="R16" i="11"/>
  <c r="S16" i="11"/>
  <c r="Y16" i="11"/>
  <c r="Z16" i="11"/>
  <c r="AK16" i="11"/>
  <c r="B16" i="11"/>
  <c r="AK18" i="11"/>
  <c r="AK20" i="11" s="1"/>
  <c r="Y18" i="11"/>
  <c r="Y20" i="11"/>
  <c r="R18" i="11"/>
  <c r="R20" i="11" s="1"/>
  <c r="AK13" i="11"/>
  <c r="Z13" i="11"/>
  <c r="Y13" i="11"/>
  <c r="R13" i="11"/>
  <c r="AK12" i="11"/>
  <c r="AI12" i="11"/>
  <c r="AA12" i="11"/>
  <c r="U12" i="11"/>
  <c r="T12" i="11"/>
  <c r="I12" i="11"/>
  <c r="D12" i="11"/>
  <c r="AK6" i="11"/>
  <c r="AJ6" i="11"/>
  <c r="AI6" i="11"/>
  <c r="AH6" i="11"/>
  <c r="AG6" i="11"/>
  <c r="AE6" i="11"/>
  <c r="Y6" i="11"/>
  <c r="W6" i="11"/>
  <c r="V6" i="11"/>
  <c r="U6" i="11"/>
  <c r="S6" i="11"/>
  <c r="R6" i="11"/>
  <c r="G6" i="11"/>
  <c r="C6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G5" i="11"/>
  <c r="F5" i="11"/>
  <c r="E5" i="11"/>
  <c r="D5" i="11"/>
  <c r="C5" i="11"/>
  <c r="B5" i="11"/>
  <c r="F35" i="2"/>
  <c r="E35" i="2"/>
  <c r="D35" i="2"/>
  <c r="A10" i="4"/>
  <c r="A9" i="4"/>
  <c r="A8" i="4"/>
  <c r="F15" i="2"/>
  <c r="E15" i="2"/>
  <c r="F8" i="2"/>
  <c r="E8" i="2"/>
  <c r="D8" i="2"/>
  <c r="F7" i="2"/>
  <c r="E7" i="2"/>
  <c r="D7" i="2"/>
  <c r="N20" i="9"/>
  <c r="E5" i="2"/>
  <c r="D5" i="2"/>
  <c r="F4" i="2"/>
  <c r="E4" i="2"/>
  <c r="D4" i="2"/>
  <c r="L5" i="3"/>
  <c r="L4" i="3"/>
  <c r="O12" i="11" l="1"/>
  <c r="Y12" i="11"/>
  <c r="K16" i="11"/>
  <c r="L12" i="11"/>
  <c r="S12" i="11"/>
  <c r="E19" i="11"/>
  <c r="AG11" i="11"/>
  <c r="AG18" i="11" s="1"/>
  <c r="AG20" i="11" s="1"/>
  <c r="AH16" i="11"/>
  <c r="F11" i="11"/>
  <c r="F13" i="11" s="1"/>
  <c r="J16" i="11"/>
  <c r="B11" i="11"/>
  <c r="B13" i="11" s="1"/>
  <c r="K19" i="11"/>
  <c r="F12" i="11"/>
  <c r="R12" i="11"/>
  <c r="V12" i="11"/>
  <c r="E26" i="11"/>
  <c r="U18" i="11"/>
  <c r="U20" i="11" s="1"/>
  <c r="P12" i="11"/>
  <c r="H4" i="4"/>
  <c r="F4" i="4"/>
  <c r="G4" i="4"/>
  <c r="G5" i="4"/>
  <c r="H5" i="4"/>
  <c r="F5" i="4"/>
  <c r="F6" i="4" s="1"/>
  <c r="F14" i="2" s="1"/>
  <c r="AL19" i="11"/>
  <c r="X11" i="11"/>
  <c r="X13" i="11" s="1"/>
  <c r="D11" i="11"/>
  <c r="D13" i="11" s="1"/>
  <c r="AJ12" i="11"/>
  <c r="O19" i="11"/>
  <c r="F3" i="4"/>
  <c r="G3" i="4"/>
  <c r="H3" i="4"/>
  <c r="H6" i="4" s="1"/>
  <c r="H14" i="2" s="1"/>
  <c r="Z6" i="11"/>
  <c r="B12" i="11"/>
  <c r="X12" i="11"/>
  <c r="W16" i="11"/>
  <c r="C23" i="11" s="1"/>
  <c r="L11" i="11"/>
  <c r="L13" i="11" s="1"/>
  <c r="AF12" i="11"/>
  <c r="AB12" i="11"/>
  <c r="W19" i="11"/>
  <c r="S19" i="11"/>
  <c r="G12" i="11"/>
  <c r="M12" i="11"/>
  <c r="W12" i="11"/>
  <c r="G16" i="11"/>
  <c r="G19" i="11" s="1"/>
  <c r="T11" i="11"/>
  <c r="T13" i="11" s="1"/>
  <c r="P11" i="11"/>
  <c r="P13" i="11" s="1"/>
  <c r="J11" i="11"/>
  <c r="J13" i="11" s="1"/>
  <c r="D16" i="11"/>
  <c r="D19" i="11" s="1"/>
  <c r="AG12" i="11"/>
  <c r="L6" i="3"/>
  <c r="L15" i="3" s="1"/>
  <c r="L16" i="3" s="1"/>
  <c r="F5" i="2"/>
  <c r="P6" i="11"/>
  <c r="H12" i="11"/>
  <c r="Q12" i="11"/>
  <c r="X18" i="11"/>
  <c r="X20" i="11" s="1"/>
  <c r="V11" i="11"/>
  <c r="V13" i="11" s="1"/>
  <c r="T18" i="11"/>
  <c r="T20" i="11" s="1"/>
  <c r="Q11" i="11"/>
  <c r="Q13" i="11" s="1"/>
  <c r="O18" i="11"/>
  <c r="O20" i="11" s="1"/>
  <c r="M19" i="11"/>
  <c r="H11" i="11"/>
  <c r="H13" i="11" s="1"/>
  <c r="AA16" i="11"/>
  <c r="AG17" i="11"/>
  <c r="D24" i="11" s="1"/>
  <c r="F34" i="2" s="1"/>
  <c r="AE12" i="11"/>
  <c r="I19" i="11"/>
  <c r="C12" i="11"/>
  <c r="K12" i="11"/>
  <c r="C16" i="11"/>
  <c r="C19" i="11" s="1"/>
  <c r="W18" i="11"/>
  <c r="S18" i="11"/>
  <c r="S20" i="11" s="1"/>
  <c r="N18" i="11"/>
  <c r="N20" i="11" s="1"/>
  <c r="AE16" i="11"/>
  <c r="AE19" i="11" s="1"/>
  <c r="L19" i="11"/>
  <c r="J19" i="11"/>
  <c r="H19" i="11"/>
  <c r="F19" i="11"/>
  <c r="X19" i="11"/>
  <c r="V19" i="11"/>
  <c r="T19" i="11"/>
  <c r="P19" i="11"/>
  <c r="AI13" i="11"/>
  <c r="AI18" i="11"/>
  <c r="M11" i="11"/>
  <c r="M13" i="11" s="1"/>
  <c r="K18" i="11"/>
  <c r="I11" i="11"/>
  <c r="I13" i="11" s="1"/>
  <c r="G18" i="11"/>
  <c r="G20" i="11" s="1"/>
  <c r="E11" i="11"/>
  <c r="E13" i="11" s="1"/>
  <c r="C18" i="11"/>
  <c r="AI16" i="11"/>
  <c r="AI19" i="11" s="1"/>
  <c r="AH18" i="11"/>
  <c r="AH19" i="11"/>
  <c r="N12" i="11"/>
  <c r="Z12" i="11"/>
  <c r="AH12" i="11"/>
  <c r="M18" i="11"/>
  <c r="M20" i="11" s="1"/>
  <c r="B24" i="11"/>
  <c r="D34" i="2" s="1"/>
  <c r="F18" i="11"/>
  <c r="F20" i="11" s="1"/>
  <c r="AC11" i="11"/>
  <c r="AC13" i="11" s="1"/>
  <c r="U19" i="11"/>
  <c r="Q19" i="11"/>
  <c r="C24" i="11"/>
  <c r="E34" i="2" s="1"/>
  <c r="N19" i="11"/>
  <c r="Z19" i="11"/>
  <c r="AE18" i="11"/>
  <c r="AA18" i="11"/>
  <c r="AD19" i="11"/>
  <c r="E6" i="11"/>
  <c r="I6" i="11"/>
  <c r="M6" i="11"/>
  <c r="AC12" i="11"/>
  <c r="AG13" i="11"/>
  <c r="AC16" i="11"/>
  <c r="AC19" i="11" s="1"/>
  <c r="B6" i="11"/>
  <c r="F6" i="11"/>
  <c r="J6" i="11"/>
  <c r="AD12" i="11"/>
  <c r="B19" i="11"/>
  <c r="AJ16" i="11"/>
  <c r="AJ19" i="11" s="1"/>
  <c r="AF16" i="11"/>
  <c r="AF19" i="11" s="1"/>
  <c r="AB16" i="11"/>
  <c r="AB19" i="11" s="1"/>
  <c r="AJ11" i="11"/>
  <c r="AF11" i="11"/>
  <c r="AF13" i="11" s="1"/>
  <c r="AD11" i="11"/>
  <c r="AD13" i="11" s="1"/>
  <c r="AB11" i="11"/>
  <c r="AB13" i="11" s="1"/>
  <c r="H5" i="11"/>
  <c r="D6" i="11"/>
  <c r="H6" i="11"/>
  <c r="L6" i="11"/>
  <c r="AH20" i="11" l="1"/>
  <c r="K20" i="11"/>
  <c r="G6" i="4"/>
  <c r="G14" i="2" s="1"/>
  <c r="V18" i="11"/>
  <c r="V20" i="11" s="1"/>
  <c r="L18" i="11"/>
  <c r="L20" i="11" s="1"/>
  <c r="W20" i="11"/>
  <c r="J18" i="11"/>
  <c r="J20" i="11" s="1"/>
  <c r="AC18" i="11"/>
  <c r="AC20" i="11" s="1"/>
  <c r="B18" i="11"/>
  <c r="B20" i="11" s="1"/>
  <c r="AG19" i="11"/>
  <c r="D18" i="11"/>
  <c r="D20" i="11" s="1"/>
  <c r="D23" i="11"/>
  <c r="P18" i="11"/>
  <c r="P20" i="11" s="1"/>
  <c r="AA19" i="11"/>
  <c r="AB18" i="11"/>
  <c r="AB20" i="11" s="1"/>
  <c r="B23" i="11"/>
  <c r="H18" i="11"/>
  <c r="H20" i="11" s="1"/>
  <c r="AE20" i="11"/>
  <c r="I18" i="11"/>
  <c r="I20" i="11" s="1"/>
  <c r="C20" i="11"/>
  <c r="Q18" i="11"/>
  <c r="AD18" i="11"/>
  <c r="AD20" i="11" s="1"/>
  <c r="E18" i="11"/>
  <c r="E20" i="11" s="1"/>
  <c r="AI20" i="11"/>
  <c r="AF18" i="11"/>
  <c r="AF20" i="11" s="1"/>
  <c r="AA20" i="11"/>
  <c r="AJ13" i="11"/>
  <c r="AJ18" i="11"/>
  <c r="AJ20" i="11" s="1"/>
  <c r="D25" i="11" l="1"/>
  <c r="D26" i="11" s="1"/>
  <c r="Q20" i="11"/>
  <c r="C25" i="11"/>
  <c r="C26" i="11" s="1"/>
  <c r="B25" i="11"/>
  <c r="B26" i="11" s="1"/>
  <c r="G6" i="16" l="1"/>
  <c r="G7" i="16"/>
  <c r="G4" i="16"/>
  <c r="G8" i="16" l="1"/>
  <c r="G3" i="16"/>
  <c r="G5" i="16"/>
  <c r="B13" i="16" l="1"/>
  <c r="C6" i="16" l="1"/>
  <c r="C7" i="16"/>
  <c r="C3" i="16"/>
  <c r="C4" i="16"/>
  <c r="B4" i="16" l="1"/>
  <c r="F24" i="2" s="1"/>
  <c r="B6" i="16"/>
  <c r="F26" i="2" s="1"/>
  <c r="B7" i="16"/>
  <c r="F27" i="2" s="1"/>
  <c r="C8" i="16"/>
  <c r="C5" i="16"/>
  <c r="E6" i="16"/>
  <c r="E7" i="16"/>
  <c r="E4" i="16" l="1"/>
  <c r="B8" i="16"/>
  <c r="F28" i="2" s="1"/>
  <c r="B5" i="16"/>
  <c r="F25" i="2" s="1"/>
  <c r="B3" i="16"/>
  <c r="F23" i="2" s="1"/>
  <c r="E5" i="16"/>
  <c r="E3" i="16"/>
  <c r="E8" i="16"/>
</calcChain>
</file>

<file path=xl/comments1.xml><?xml version="1.0" encoding="utf-8"?>
<comments xmlns="http://schemas.openxmlformats.org/spreadsheetml/2006/main">
  <authors>
    <author>Haydel, Brad</author>
  </authors>
  <commentList>
    <comment ref="F458" authorId="0" shapeId="0">
      <text>
        <r>
          <rPr>
            <b/>
            <sz val="9"/>
            <color indexed="81"/>
            <rFont val="Tahoma"/>
            <family val="2"/>
          </rPr>
          <t>Haydel, Brad:</t>
        </r>
        <r>
          <rPr>
            <sz val="9"/>
            <color indexed="81"/>
            <rFont val="Tahoma"/>
            <family val="2"/>
          </rPr>
          <t xml:space="preserve">
Low due to credit application from May and June overcharges</t>
        </r>
      </text>
    </comment>
  </commentList>
</comments>
</file>

<file path=xl/sharedStrings.xml><?xml version="1.0" encoding="utf-8"?>
<sst xmlns="http://schemas.openxmlformats.org/spreadsheetml/2006/main" count="1280" uniqueCount="477">
  <si>
    <t>Residual Oil</t>
  </si>
  <si>
    <t>Distillate Oil</t>
  </si>
  <si>
    <t>Natural Gas</t>
  </si>
  <si>
    <t>Attributable Solar</t>
  </si>
  <si>
    <t>Gasoline Fleet</t>
  </si>
  <si>
    <t>Diesel Fleet</t>
  </si>
  <si>
    <t>HFC-134a</t>
  </si>
  <si>
    <t>R-404a</t>
  </si>
  <si>
    <t>HCFC-22</t>
  </si>
  <si>
    <t>2013-14</t>
  </si>
  <si>
    <t>2014-15</t>
  </si>
  <si>
    <t>2015-16</t>
  </si>
  <si>
    <t>Propane (LPG)</t>
  </si>
  <si>
    <t>Purchased Electricity</t>
  </si>
  <si>
    <t>Faculty/Staff Commuting</t>
  </si>
  <si>
    <t>Automobile</t>
  </si>
  <si>
    <t>Commuter Rail</t>
  </si>
  <si>
    <t>Bus</t>
  </si>
  <si>
    <t>Air Travel</t>
  </si>
  <si>
    <t>Train</t>
  </si>
  <si>
    <t>Taxi/Ferry/Rental Car</t>
  </si>
  <si>
    <t>Solid Waste</t>
  </si>
  <si>
    <t>Wastewater</t>
  </si>
  <si>
    <t>Offsets</t>
  </si>
  <si>
    <t>Personal Mileage</t>
  </si>
  <si>
    <t>kWh</t>
  </si>
  <si>
    <t>Gallons</t>
  </si>
  <si>
    <t>Vehicle 364</t>
  </si>
  <si>
    <t>Vehicle 163</t>
  </si>
  <si>
    <t>Vehicle 160</t>
  </si>
  <si>
    <t>Totals Kg</t>
  </si>
  <si>
    <t xml:space="preserve">date </t>
  </si>
  <si>
    <t>time</t>
  </si>
  <si>
    <t>Kg</t>
  </si>
  <si>
    <t>Total</t>
  </si>
  <si>
    <t>Distillate Oil (#1-4)</t>
  </si>
  <si>
    <t>Residual Oil #5</t>
  </si>
  <si>
    <t>Year</t>
  </si>
  <si>
    <t>Mode</t>
  </si>
  <si>
    <t>$ Amount</t>
  </si>
  <si>
    <t>Taxi</t>
  </si>
  <si>
    <t>Airfare</t>
  </si>
  <si>
    <t>Rental</t>
  </si>
  <si>
    <t>FY 2013-14</t>
  </si>
  <si>
    <t>FY 2014-15</t>
  </si>
  <si>
    <t>FY 2015-16</t>
  </si>
  <si>
    <t>Conformed Data</t>
  </si>
  <si>
    <t>Unit</t>
  </si>
  <si>
    <t>gallons</t>
  </si>
  <si>
    <t>Hydrogen (Original Data)</t>
  </si>
  <si>
    <t>Vehicle</t>
  </si>
  <si>
    <t>Notes</t>
  </si>
  <si>
    <t>Transportation car - purchased ?</t>
  </si>
  <si>
    <t>Public Saftey - purchased ?</t>
  </si>
  <si>
    <t>Station car (blue) - purchased ?</t>
  </si>
  <si>
    <t>MER</t>
  </si>
  <si>
    <t>Utility (Unit)</t>
  </si>
  <si>
    <t>FY 13-14</t>
  </si>
  <si>
    <t>Electricity (kWh)</t>
  </si>
  <si>
    <t>Natural Gas (Thms)</t>
  </si>
  <si>
    <t>Diesel (Gallon)</t>
  </si>
  <si>
    <t>Gasoline (Gallon)</t>
  </si>
  <si>
    <t>Propane (Gallon)</t>
  </si>
  <si>
    <t>Sewer (CCF)</t>
  </si>
  <si>
    <t>FY 14-15</t>
  </si>
  <si>
    <t>FY 15-16</t>
  </si>
  <si>
    <t>Therms</t>
  </si>
  <si>
    <t>Sewer</t>
  </si>
  <si>
    <t>Landfill</t>
  </si>
  <si>
    <t>tons</t>
  </si>
  <si>
    <t>R22 (lbs)</t>
  </si>
  <si>
    <t>R134A (lbs)</t>
  </si>
  <si>
    <t>R404 (lbs)</t>
  </si>
  <si>
    <t>AQMD annual reports (AER)</t>
  </si>
  <si>
    <t>lbs</t>
  </si>
  <si>
    <t>$</t>
  </si>
  <si>
    <t>Front Loader Totals (Tons/%)</t>
  </si>
  <si>
    <t>Front Loader Tons Collected</t>
  </si>
  <si>
    <t>Front Loader Tons Landfilled</t>
  </si>
  <si>
    <t>Front Loader Tons Recycled</t>
  </si>
  <si>
    <t>Front Loader Percent Landfilled</t>
  </si>
  <si>
    <t>Front Loader Percent Recycled</t>
  </si>
  <si>
    <t>Roll Off Totals (Tons/%)</t>
  </si>
  <si>
    <t>Roll Off Tons Collected</t>
  </si>
  <si>
    <t>Roll Off Tons Landfilled</t>
  </si>
  <si>
    <t>Roll Off Tons Recycled</t>
  </si>
  <si>
    <t>Roll Off Percent Landfilled</t>
  </si>
  <si>
    <t>Roll Off Percent Recycled</t>
  </si>
  <si>
    <t>Totals (Tons/%)</t>
  </si>
  <si>
    <t>Total Tons Collected</t>
  </si>
  <si>
    <t>Total Tons Landfilled</t>
  </si>
  <si>
    <t>Total Tons Recycled</t>
  </si>
  <si>
    <t>Total Percent Landfilled</t>
  </si>
  <si>
    <t>Diversion Rate</t>
  </si>
  <si>
    <t>Total Percent Recycled</t>
  </si>
  <si>
    <t>Miles</t>
  </si>
  <si>
    <t>Student Transportation Survey</t>
  </si>
  <si>
    <t>Sunnyportal.com</t>
  </si>
  <si>
    <t>KWh</t>
  </si>
  <si>
    <t>Student Commuting</t>
  </si>
  <si>
    <t>Fertilizer</t>
  </si>
  <si>
    <t>"Other"</t>
  </si>
  <si>
    <t>TOTAL</t>
  </si>
  <si>
    <t>2016-17</t>
  </si>
  <si>
    <t>FY 2016-17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</si>
  <si>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</si>
  <si>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</si>
  <si>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</si>
  <si>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</si>
  <si>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</si>
  <si>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</si>
  <si>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</si>
  <si>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</si>
  <si>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</si>
  <si>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</si>
  <si>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</si>
  <si>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</si>
  <si>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FY 16-17</t>
  </si>
  <si>
    <t>2017-18</t>
  </si>
  <si>
    <t>Rose &amp; Flower (28.57%N)</t>
  </si>
  <si>
    <t>All purpose fertilizer (33.33%N)</t>
  </si>
  <si>
    <t>Turf supreme and trimec (53.33%N)</t>
  </si>
  <si>
    <t>Total Miles</t>
  </si>
  <si>
    <t>Mileage Rate</t>
  </si>
  <si>
    <t>Year (Jan-Dec)</t>
  </si>
  <si>
    <t>FY 17-18</t>
  </si>
  <si>
    <t>Diesel (gallons)</t>
  </si>
  <si>
    <t>FY Total</t>
  </si>
  <si>
    <t>2011-12</t>
  </si>
  <si>
    <t>2012-13</t>
  </si>
  <si>
    <t>% Nitrogen</t>
  </si>
  <si>
    <t>Fertilizer (lbs)</t>
  </si>
  <si>
    <t>Total Nitrogen %</t>
  </si>
  <si>
    <t>Richard Valenzuela</t>
  </si>
  <si>
    <t>Andrew Wilson</t>
  </si>
  <si>
    <t>MTA Employee Commute Survey</t>
  </si>
  <si>
    <t>Libby Kent</t>
  </si>
  <si>
    <t>Southland/WARE</t>
  </si>
  <si>
    <t>3Degrees</t>
  </si>
  <si>
    <t>Data Source</t>
  </si>
  <si>
    <t>Response Rate</t>
  </si>
  <si>
    <t>SCOPE 2</t>
  </si>
  <si>
    <t>SCOPE 3</t>
  </si>
  <si>
    <t>SCOPE 1</t>
  </si>
  <si>
    <t>Directly Financed Travel
(Business Travel)</t>
  </si>
  <si>
    <t>1 lb hydrogen = 51,892 BTU with steam as product</t>
  </si>
  <si>
    <t>https://www.google.com/url?sa=t&amp;rct=j&amp;q=&amp;esrc=s&amp;source=web&amp;cd=16&amp;cad=rja&amp;uact=8&amp;ved=0ahUKEwit0IPxpa7aAhUCYK0KHeS8BfUQFgifATAP&amp;url=http%3A%2F%2Fwww.uigi.com%2Fh2_conv.html&amp;usg=AOvVaw0DJ2_riIIzDeTiY91OJsO4</t>
  </si>
  <si>
    <t>Totals Lbs</t>
  </si>
  <si>
    <t>Total BTUs</t>
  </si>
  <si>
    <t>1 kg =</t>
  </si>
  <si>
    <t>1 lb =</t>
  </si>
  <si>
    <t>BTUs</t>
  </si>
  <si>
    <t>Synthetic Fertlizer (lbs)</t>
  </si>
  <si>
    <t>% of Trips</t>
  </si>
  <si>
    <t>Miles/Trip</t>
  </si>
  <si>
    <t>Bike</t>
  </si>
  <si>
    <t>Carpool</t>
  </si>
  <si>
    <t>Public Bus</t>
  </si>
  <si>
    <t>Walk</t>
  </si>
  <si>
    <t>Completed Surveys</t>
  </si>
  <si>
    <t>Employee Count</t>
  </si>
  <si>
    <t>MTA Results</t>
  </si>
  <si>
    <t>Survey Results</t>
  </si>
  <si>
    <t>School Days</t>
  </si>
  <si>
    <t>School Weeks</t>
  </si>
  <si>
    <t>% School Days/Year</t>
  </si>
  <si>
    <t>Refrigerants &amp; Chemicals</t>
  </si>
  <si>
    <t>(lbs CO2/MWh)</t>
  </si>
  <si>
    <t>% Change from 1990</t>
  </si>
  <si>
    <t>Conversion Factors</t>
  </si>
  <si>
    <t>Units</t>
  </si>
  <si>
    <t>CAMX - WECC California</t>
  </si>
  <si>
    <t>lb/kWh</t>
  </si>
  <si>
    <t>kg/kWh</t>
  </si>
  <si>
    <t>Carbon dioxide (CO2)</t>
  </si>
  <si>
    <t>Methane (CH4)</t>
  </si>
  <si>
    <t>Nitrous oxide (N2O)</t>
  </si>
  <si>
    <t>Total Student FTE</t>
  </si>
  <si>
    <t>2017 Power Strategic Long-Term Resource Plan</t>
  </si>
  <si>
    <t>Avg Miles/Trip</t>
  </si>
  <si>
    <t>FTES</t>
  </si>
  <si>
    <t>Academic Calendar</t>
  </si>
  <si>
    <t>Quarter</t>
  </si>
  <si>
    <t>Semester</t>
  </si>
  <si>
    <t>FY Summary</t>
  </si>
  <si>
    <t>NOTES</t>
  </si>
  <si>
    <t>R404 same as R-404A: HFC-125 (44%), HFC-143a (52%), HFC-134a (4%)</t>
  </si>
  <si>
    <t>R22 same as HCFC-22</t>
  </si>
  <si>
    <t>"Other" includes R-12, R-410 and R-502</t>
  </si>
  <si>
    <t>FY 18-19</t>
  </si>
  <si>
    <t>Light Blue Months = AQMD Annual Report Data, Light Green = BSE Refrigerant Log</t>
  </si>
  <si>
    <t>AER/Refrigerant Log</t>
  </si>
  <si>
    <t>%</t>
  </si>
  <si>
    <t>FY 2017-18</t>
  </si>
  <si>
    <t>M gallons</t>
  </si>
  <si>
    <t>Total (M gallons)</t>
  </si>
  <si>
    <t>Stationary Fuels</t>
  </si>
  <si>
    <t>Transport Fuels</t>
  </si>
  <si>
    <t>RECs</t>
  </si>
  <si>
    <t>Estimated from 2015 data</t>
  </si>
  <si>
    <t>Mileage</t>
  </si>
  <si>
    <t>Campus Fleet</t>
  </si>
  <si>
    <t>Refrigerants</t>
  </si>
  <si>
    <t>Scope 1</t>
  </si>
  <si>
    <t>Scope 2</t>
  </si>
  <si>
    <t>Scope 3</t>
  </si>
  <si>
    <t>Employee Commuting</t>
  </si>
  <si>
    <t>R410A (lbs)</t>
  </si>
  <si>
    <t>Fiscal Year</t>
  </si>
  <si>
    <t>Month</t>
  </si>
  <si>
    <t>KWH</t>
  </si>
  <si>
    <t>ELEC $</t>
  </si>
  <si>
    <t>$/KWH</t>
  </si>
  <si>
    <t>GAS THERM</t>
  </si>
  <si>
    <t>GAS $</t>
  </si>
  <si>
    <t>$/THERM</t>
  </si>
  <si>
    <t>EM DIESEL GALS</t>
  </si>
  <si>
    <t>EM DIESEL $</t>
  </si>
  <si>
    <t>GAS GALS</t>
  </si>
  <si>
    <t>FL DIESEL GALS</t>
  </si>
  <si>
    <t>FL DIESEL $</t>
  </si>
  <si>
    <t>PROPANE GALS</t>
  </si>
  <si>
    <t>PROPANE $</t>
  </si>
  <si>
    <t>OIL GALS</t>
  </si>
  <si>
    <t>OIL $</t>
  </si>
  <si>
    <t>$/GAL</t>
  </si>
  <si>
    <t>WATER CCF</t>
  </si>
  <si>
    <t>WATER $</t>
  </si>
  <si>
    <t>WATER $/CCF</t>
  </si>
  <si>
    <t>SEWAGE CCF</t>
  </si>
  <si>
    <t>SEWAGE $</t>
  </si>
  <si>
    <t>SEWAGE $/CCF</t>
  </si>
  <si>
    <t>TRASH TONS</t>
  </si>
  <si>
    <t>TRASH $</t>
  </si>
  <si>
    <t>DIVERSION %</t>
  </si>
  <si>
    <t>GSF</t>
  </si>
  <si>
    <t>FTE</t>
  </si>
  <si>
    <t xml:space="preserve"> </t>
  </si>
  <si>
    <t>FY 90-91</t>
  </si>
  <si>
    <t>FY 91-92</t>
  </si>
  <si>
    <t>FY 92-93</t>
  </si>
  <si>
    <t>FY 93-94</t>
  </si>
  <si>
    <t>FY 94-95</t>
  </si>
  <si>
    <t>FY 95-96</t>
  </si>
  <si>
    <t>FY 96-97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</si>
  <si>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</si>
  <si>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</si>
  <si>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</si>
  <si>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</si>
  <si>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</si>
  <si>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</si>
  <si>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</si>
  <si>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</si>
  <si>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05-06</t>
  </si>
  <si>
    <t>FY 06-07</t>
  </si>
  <si>
    <t>FY 07-08</t>
  </si>
  <si>
    <t>FY 08-09</t>
  </si>
  <si>
    <t>FY 09-10</t>
  </si>
  <si>
    <t>FY 10-11</t>
  </si>
  <si>
    <t>FY 11-12</t>
  </si>
  <si>
    <t>FY 12-13</t>
  </si>
  <si>
    <t xml:space="preserve">FY </t>
  </si>
  <si>
    <t>Electricity</t>
  </si>
  <si>
    <t>Propane</t>
  </si>
  <si>
    <t>Gasoline</t>
  </si>
  <si>
    <t>intercept</t>
  </si>
  <si>
    <t>slope</t>
  </si>
  <si>
    <t>Scope 1 BAU</t>
  </si>
  <si>
    <t>Scope 2 BAU</t>
  </si>
  <si>
    <t>Scope 3 Targets</t>
  </si>
  <si>
    <t>Tennis Center</t>
  </si>
  <si>
    <t>Total MTCO2e</t>
  </si>
  <si>
    <t>Net Change (MTCO2e)</t>
  </si>
  <si>
    <t>SHE</t>
  </si>
  <si>
    <t>Physical Sciences</t>
  </si>
  <si>
    <t>Structure E</t>
  </si>
  <si>
    <t>King Hall</t>
  </si>
  <si>
    <t>Library</t>
  </si>
  <si>
    <t>BioScience</t>
  </si>
  <si>
    <t>Admin</t>
  </si>
  <si>
    <t>Voyager Gasoline</t>
  </si>
  <si>
    <t>Voyager Diesel</t>
  </si>
  <si>
    <t>Scopes 1 &amp; 2 Targets</t>
  </si>
  <si>
    <t>MTCO2e</t>
  </si>
  <si>
    <t>https://www.sunnyportal.com/Templates/PublicPage.aspx?page=c808553b-d904-45d1-bcd3-5732c7c98c85</t>
  </si>
  <si>
    <t>Estimated/based on CO data</t>
  </si>
  <si>
    <t>Includes purchase of RECs</t>
  </si>
  <si>
    <t>VoyaGer Diesel</t>
  </si>
  <si>
    <t>VoyaGer Gasoline</t>
  </si>
  <si>
    <t>Table C-1: LADWP Electricity CO2 Intensity Metric</t>
  </si>
  <si>
    <t>Carbon Dioxide (CO2) Factors</t>
  </si>
  <si>
    <t>Pounds CO2</t>
  </si>
  <si>
    <t>lbs to kg</t>
  </si>
  <si>
    <t>kg to lbs</t>
  </si>
  <si>
    <t>MT to lbs</t>
  </si>
  <si>
    <t>pounds/gallon</t>
  </si>
  <si>
    <t>metric tons/therm</t>
  </si>
  <si>
    <t>Diesel Fuel</t>
  </si>
  <si>
    <t>KEY</t>
  </si>
  <si>
    <t>lbs to MT</t>
  </si>
  <si>
    <t>Gals</t>
  </si>
  <si>
    <t>Fleet Diesel</t>
  </si>
  <si>
    <t>Fleet Gasoline</t>
  </si>
  <si>
    <t>Campus:</t>
  </si>
  <si>
    <t>Los Angeles</t>
  </si>
  <si>
    <t>YEAR</t>
  </si>
  <si>
    <t>Non-Cogen Natural Gas</t>
  </si>
  <si>
    <t>Purchased Power</t>
  </si>
  <si>
    <t>Campus Diesel</t>
  </si>
  <si>
    <t>Campus Gasoline</t>
  </si>
  <si>
    <t>Grand Total</t>
  </si>
  <si>
    <t>Estimated based on 2015-16 data and Personal Mileage</t>
  </si>
  <si>
    <t>Southland</t>
  </si>
  <si>
    <t>WARE</t>
  </si>
  <si>
    <t>#</t>
  </si>
  <si>
    <t>Resilience Strategies</t>
  </si>
  <si>
    <t>Responsibility</t>
  </si>
  <si>
    <t>EH</t>
  </si>
  <si>
    <t>SF</t>
  </si>
  <si>
    <t>DC</t>
  </si>
  <si>
    <t>WA</t>
  </si>
  <si>
    <t>Integrate Resilience and Sustainability into Master Plan</t>
  </si>
  <si>
    <t>Administration</t>
  </si>
  <si>
    <t>We Are LA Fundraising Campaign</t>
  </si>
  <si>
    <t>Campus Resilience Challenge</t>
  </si>
  <si>
    <t>Campus Sustainability Committee</t>
  </si>
  <si>
    <t>STARS Program</t>
  </si>
  <si>
    <t>Green Revolving Fund</t>
  </si>
  <si>
    <t>Building Forward LA</t>
  </si>
  <si>
    <t xml:space="preserve">Planning, Design and Construction </t>
  </si>
  <si>
    <t xml:space="preserve">Water Management Plan </t>
  </si>
  <si>
    <t>Cooling Center Program</t>
  </si>
  <si>
    <t>Add 10,000 Ton-Hour TES System</t>
  </si>
  <si>
    <t>Combined Solar and Energy Storage Projects</t>
  </si>
  <si>
    <t>City of Los Angeles Preparedness Campaign</t>
  </si>
  <si>
    <t>Environmental Health and Safety</t>
  </si>
  <si>
    <t>Emergency Operations Center</t>
  </si>
  <si>
    <t>Cal State LA CERT Team</t>
  </si>
  <si>
    <t>Mind Matters</t>
  </si>
  <si>
    <t>Student Health Center</t>
  </si>
  <si>
    <t>Health Center Programs</t>
  </si>
  <si>
    <t>Tree Campus USA</t>
  </si>
  <si>
    <t>Facilities Services</t>
  </si>
  <si>
    <t>Hydration Stations</t>
  </si>
  <si>
    <t>Test Pilot Cooling Strategies</t>
  </si>
  <si>
    <t>High Efficiency Bathroom Appliances</t>
  </si>
  <si>
    <t>Reduce Grass Turf</t>
  </si>
  <si>
    <t>Drip Irrigation and Water-Based Controllers</t>
  </si>
  <si>
    <t>Clear Brush to Reduce Wildfire Risk</t>
  </si>
  <si>
    <t>Green Walls</t>
  </si>
  <si>
    <t>Expand Food Pantry</t>
  </si>
  <si>
    <t>Associated Students Inc. (ASI)</t>
  </si>
  <si>
    <t>Farmer’s Market</t>
  </si>
  <si>
    <t>Food Recovery Network</t>
  </si>
  <si>
    <t>UAS Food Services</t>
  </si>
  <si>
    <t>Real Food Challenge</t>
  </si>
  <si>
    <t>Energize California</t>
  </si>
  <si>
    <t>Energy &amp; Sustainability Manager</t>
  </si>
  <si>
    <t>LADWP’s Demand Response Program</t>
  </si>
  <si>
    <t>Scopes</t>
  </si>
  <si>
    <t>Electric Grounds Equipment</t>
  </si>
  <si>
    <t>Update Campus Fleet</t>
  </si>
  <si>
    <t xml:space="preserve">Upgrade Air Handler Units </t>
  </si>
  <si>
    <t>HVAC Controls</t>
  </si>
  <si>
    <t>Demand Controlled Ventilation</t>
  </si>
  <si>
    <t>High Efficiency Glazing and Windows</t>
  </si>
  <si>
    <t>Exterior LED and Solar Lighting</t>
  </si>
  <si>
    <t>Interior LED Lighting</t>
  </si>
  <si>
    <t>Advanced Lighting Controls</t>
  </si>
  <si>
    <t>Adjust Custodial Hours</t>
  </si>
  <si>
    <t>1 &amp; 2</t>
  </si>
  <si>
    <t>Continuous Commissioning</t>
  </si>
  <si>
    <t>Upgrade Housing HVAC Systems</t>
  </si>
  <si>
    <t xml:space="preserve">Housing and Residential Life </t>
  </si>
  <si>
    <t>Annual Energy Challenge</t>
  </si>
  <si>
    <t>Expand Central Chilled Water Loop</t>
  </si>
  <si>
    <t>Develop Central Hot Water Loop</t>
  </si>
  <si>
    <t xml:space="preserve">Superinsulation of Building Envelopes </t>
  </si>
  <si>
    <t>DC Power Systems</t>
  </si>
  <si>
    <t xml:space="preserve">Battery Storage </t>
  </si>
  <si>
    <t>Establish Building Energy Use Benchmarks</t>
  </si>
  <si>
    <t xml:space="preserve">Utility Infrastructure Upgrades </t>
  </si>
  <si>
    <t>Zero Net Energy Buildings</t>
  </si>
  <si>
    <t>Electronics Purchasing Policy</t>
  </si>
  <si>
    <t>Purchasing and Contracts Services</t>
  </si>
  <si>
    <t>Alternative Workweek Schedule</t>
  </si>
  <si>
    <t>Human Resources</t>
  </si>
  <si>
    <t>Adjust Academic Scheduling</t>
  </si>
  <si>
    <t>University Registrar</t>
  </si>
  <si>
    <t>Promote Active Transportation</t>
  </si>
  <si>
    <t>Parking &amp; Transportation Services</t>
  </si>
  <si>
    <t>Expand Bike Infrastructure</t>
  </si>
  <si>
    <t>Expand Public Transportation Routes to Campus</t>
  </si>
  <si>
    <t>Carpool Program</t>
  </si>
  <si>
    <t>EV Charging Stations</t>
  </si>
  <si>
    <t>Metro U-Pass Program</t>
  </si>
  <si>
    <t>Freshman On-Campus Housing Requirement</t>
  </si>
  <si>
    <t>Distance Learning and Compressed Schedules</t>
  </si>
  <si>
    <t>Carbon Fee for Business-Related Air Travel</t>
  </si>
  <si>
    <t>Business Financial Services</t>
  </si>
  <si>
    <t>Organics Composting System</t>
  </si>
  <si>
    <t>University Auxiliary Services</t>
  </si>
  <si>
    <t>Community Partnerships</t>
  </si>
  <si>
    <t>Los Angeles Regional Collaborative</t>
  </si>
  <si>
    <t>Los Angeles Urban Cooling Collaborative</t>
  </si>
  <si>
    <t>LA Better Buildings Challenge</t>
  </si>
  <si>
    <t>Coalition of Urban Serving Universities</t>
  </si>
  <si>
    <t>Center for Engagement, Service, and the Public Good</t>
  </si>
  <si>
    <t>Educational Participation in Communities</t>
  </si>
  <si>
    <t>Civic University</t>
  </si>
  <si>
    <t>Pat Brown Institute for Public Affairs</t>
  </si>
  <si>
    <t>Office of Service Learning</t>
  </si>
  <si>
    <t>Curriculum and Research Development</t>
  </si>
  <si>
    <t>Campus as a Living Lab</t>
  </si>
  <si>
    <t>Master of Science Degree in Environmental Science</t>
  </si>
  <si>
    <t>Sustainability Marketing</t>
  </si>
  <si>
    <t>Center for Energy and Sustainability</t>
  </si>
  <si>
    <t>NASA Data Intensive Research and Education Center in STEM</t>
  </si>
  <si>
    <t>Hydrogen Research and Fueling Facility</t>
  </si>
  <si>
    <t>EcoCAR3</t>
  </si>
  <si>
    <t>Engineers for a Sustainable World</t>
  </si>
  <si>
    <t>Environmental Policy Committee</t>
  </si>
  <si>
    <t>ECST Professional Practices Program</t>
  </si>
  <si>
    <t>EPIC-Network (EPIC-N)</t>
  </si>
  <si>
    <t>Climate Corps</t>
  </si>
  <si>
    <t>Sustainable LA Grand Challenge</t>
  </si>
  <si>
    <t>Scope 1 Emissions</t>
  </si>
  <si>
    <t>Scope 2 Emissions</t>
  </si>
  <si>
    <t>Scope 3 Emissions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</si>
  <si>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</si>
  <si>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</si>
  <si>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</si>
  <si>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</si>
  <si>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</si>
  <si>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</si>
  <si>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</si>
  <si>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</si>
  <si>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</si>
  <si>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</si>
  <si>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</si>
  <si>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</si>
  <si>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</si>
  <si>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</si>
  <si>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</si>
  <si>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</si>
  <si>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</si>
  <si>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</si>
  <si>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</si>
  <si>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</si>
  <si>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</si>
  <si>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</si>
  <si>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</si>
  <si>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</si>
  <si>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</si>
  <si>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</si>
  <si>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</si>
  <si>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</si>
  <si>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</si>
  <si>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</si>
  <si>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</si>
  <si>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</si>
  <si>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2018-19</t>
  </si>
  <si>
    <t>Per FTE</t>
  </si>
  <si>
    <t>Average Trip/Week</t>
  </si>
  <si>
    <t>Scope 1 &amp; 2/FTE</t>
  </si>
  <si>
    <t>Total / FTE</t>
  </si>
  <si>
    <r>
      <rPr>
        <b/>
        <sz val="11"/>
        <rFont val="Garamond"/>
        <family val="1"/>
      </rPr>
      <t xml:space="preserve">Commuting </t>
    </r>
    <r>
      <rPr>
        <sz val="11"/>
        <rFont val="Garamond"/>
        <family val="1"/>
      </rPr>
      <t xml:space="preserve">
(Faculty, Staff, Students)
</t>
    </r>
    <r>
      <rPr>
        <b/>
        <sz val="11"/>
        <rFont val="Garamond"/>
        <family val="1"/>
      </rPr>
      <t xml:space="preserve">Business Travel </t>
    </r>
    <r>
      <rPr>
        <sz val="11"/>
        <rFont val="Garamond"/>
        <family val="1"/>
      </rPr>
      <t xml:space="preserve">
(Personal Mileage, Air Travel)
</t>
    </r>
    <r>
      <rPr>
        <b/>
        <sz val="11"/>
        <rFont val="Garamond"/>
        <family val="1"/>
      </rPr>
      <t>Solid Waste Disposal</t>
    </r>
  </si>
  <si>
    <r>
      <rPr>
        <b/>
        <sz val="11"/>
        <rFont val="Garamond"/>
        <family val="1"/>
      </rPr>
      <t xml:space="preserve">Purchased Electricity </t>
    </r>
    <r>
      <rPr>
        <sz val="11"/>
        <rFont val="Garamond"/>
        <family val="1"/>
      </rPr>
      <t xml:space="preserve">
(from LADWP)
</t>
    </r>
    <r>
      <rPr>
        <b/>
        <sz val="11"/>
        <rFont val="Garamond"/>
        <family val="1"/>
      </rPr>
      <t>Renewable Energy Credits</t>
    </r>
    <r>
      <rPr>
        <sz val="11"/>
        <rFont val="Garamond"/>
        <family val="1"/>
      </rPr>
      <t xml:space="preserve"> 
(RECs)</t>
    </r>
  </si>
  <si>
    <r>
      <t>Scope</t>
    </r>
    <r>
      <rPr>
        <b/>
        <sz val="11"/>
        <color rgb="FF000000"/>
        <rFont val="Garamond"/>
        <family val="1"/>
      </rPr>
      <t xml:space="preserve"> </t>
    </r>
    <r>
      <rPr>
        <b/>
        <sz val="11"/>
        <color rgb="FFFFFFFF"/>
        <rFont val="Garamond"/>
        <family val="1"/>
      </rPr>
      <t>1</t>
    </r>
  </si>
  <si>
    <r>
      <rPr>
        <b/>
        <sz val="11"/>
        <rFont val="Garamond"/>
        <family val="1"/>
      </rPr>
      <t xml:space="preserve">Stationary Fuels </t>
    </r>
    <r>
      <rPr>
        <sz val="11"/>
        <rFont val="Garamond"/>
        <family val="1"/>
      </rPr>
      <t xml:space="preserve">
(Oil, Natural Gas, Propane)
</t>
    </r>
    <r>
      <rPr>
        <b/>
        <sz val="11"/>
        <rFont val="Garamond"/>
        <family val="1"/>
      </rPr>
      <t xml:space="preserve">Transportation Fuels </t>
    </r>
    <r>
      <rPr>
        <sz val="11"/>
        <rFont val="Garamond"/>
        <family val="1"/>
      </rPr>
      <t xml:space="preserve">
(Gasoline, Diesel)
</t>
    </r>
    <r>
      <rPr>
        <b/>
        <sz val="11"/>
        <rFont val="Garamond"/>
        <family val="1"/>
      </rPr>
      <t>Refrigernats &amp; Chemicals</t>
    </r>
  </si>
  <si>
    <t>Renewable Energy</t>
  </si>
  <si>
    <t>LEED Gold Minimum Certification Standard</t>
  </si>
  <si>
    <t>Car Sharing</t>
  </si>
  <si>
    <t>Zero Waste Coordinator</t>
  </si>
  <si>
    <t>Carbon Neutrality Strategies</t>
  </si>
  <si>
    <t>kWh to MMBtu</t>
  </si>
  <si>
    <t>therm to MMBtu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</si>
</sst>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mmm\-yy;@"/>
    <numFmt numFmtId="167" formatCode="0.0%"/>
    <numFmt numFmtId="168" formatCode="0.000000"/>
    <numFmt numFmtId="169" formatCode="_(&quot;$&quot;* #,##0.000_);_(&quot;$&quot;* \(#,##0.000\);_(&quot;$&quot;* &quot;-&quot;??_);_(@_)"/>
    <numFmt numFmtId="170" formatCode="_(* #,##0.0000000_);_(* \(#,##0.0000000\);_(* &quot;-&quot;??_);_(@_)"/>
    <numFmt numFmtId="171" formatCode="_(&quot;$&quot;* #,##0.0000_);_(&quot;$&quot;* \(#,##0.0000\);_(&quot;$&quot;* &quot;-&quot;??_);_(@_)"/>
    <numFmt numFmtId="172" formatCode="_(* #,##0.0_);_(* \(#,##0.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0"/>
      <name val="Geneva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1F497D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Tisa Offc"/>
    </font>
    <font>
      <sz val="11"/>
      <color theme="1"/>
      <name val="Tisa Offc"/>
    </font>
    <font>
      <sz val="19"/>
      <color rgb="FF222222"/>
      <name val="Times New Roman"/>
      <family val="1"/>
    </font>
    <font>
      <sz val="11"/>
      <color rgb="FF333333"/>
      <name val="Arial"/>
      <family val="2"/>
    </font>
    <font>
      <b/>
      <sz val="11"/>
      <color rgb="FF000000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11"/>
      <color theme="1"/>
      <name val="Garamond"/>
      <family val="1"/>
    </font>
    <font>
      <b/>
      <sz val="11"/>
      <color theme="0"/>
      <name val="Garamond"/>
      <family val="1"/>
    </font>
    <font>
      <b/>
      <sz val="11"/>
      <color rgb="FFFFFFFF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E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8629"/>
        <bgColor indexed="64"/>
      </patternFill>
    </fill>
    <fill>
      <patternFill patternType="solid">
        <fgColor rgb="FF4A4F55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</cellStyleXfs>
  <cellXfs count="3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14" fontId="0" fillId="0" borderId="1" xfId="0" applyNumberFormat="1" applyFill="1" applyBorder="1"/>
    <xf numFmtId="20" fontId="0" fillId="0" borderId="1" xfId="0" applyNumberFormat="1" applyFill="1" applyBorder="1"/>
    <xf numFmtId="14" fontId="0" fillId="0" borderId="1" xfId="0" applyNumberFormat="1" applyFont="1" applyFill="1" applyBorder="1"/>
    <xf numFmtId="20" fontId="0" fillId="0" borderId="1" xfId="0" applyNumberFormat="1" applyFont="1" applyFill="1" applyBorder="1"/>
    <xf numFmtId="166" fontId="7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1" xfId="0" applyNumberFormat="1" applyBorder="1"/>
    <xf numFmtId="43" fontId="0" fillId="0" borderId="1" xfId="1" applyFont="1" applyFill="1" applyBorder="1" applyAlignment="1">
      <alignment horizontal="center" vertical="center"/>
    </xf>
    <xf numFmtId="43" fontId="0" fillId="0" borderId="11" xfId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horizontal="center" vertical="center"/>
    </xf>
    <xf numFmtId="43" fontId="0" fillId="0" borderId="1" xfId="0" applyNumberFormat="1" applyBorder="1"/>
    <xf numFmtId="9" fontId="0" fillId="0" borderId="1" xfId="3" applyFont="1" applyBorder="1" applyAlignment="1">
      <alignment horizontal="center"/>
    </xf>
    <xf numFmtId="0" fontId="5" fillId="0" borderId="1" xfId="0" applyFont="1" applyBorder="1"/>
    <xf numFmtId="0" fontId="0" fillId="4" borderId="1" xfId="0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7" fontId="0" fillId="0" borderId="1" xfId="0" applyNumberFormat="1" applyBorder="1"/>
    <xf numFmtId="167" fontId="0" fillId="0" borderId="1" xfId="3" applyNumberFormat="1" applyFont="1" applyBorder="1"/>
    <xf numFmtId="0" fontId="0" fillId="0" borderId="3" xfId="0" applyBorder="1"/>
    <xf numFmtId="10" fontId="0" fillId="0" borderId="0" xfId="0" applyNumberFormat="1"/>
    <xf numFmtId="9" fontId="0" fillId="0" borderId="0" xfId="0" applyNumberFormat="1"/>
    <xf numFmtId="43" fontId="0" fillId="0" borderId="12" xfId="1" applyFont="1" applyFill="1" applyBorder="1" applyAlignment="1">
      <alignment horizontal="center" vertical="center"/>
    </xf>
    <xf numFmtId="43" fontId="0" fillId="0" borderId="20" xfId="1" applyFont="1" applyFill="1" applyBorder="1" applyAlignment="1">
      <alignment horizontal="center" vertical="center"/>
    </xf>
    <xf numFmtId="43" fontId="0" fillId="0" borderId="10" xfId="1" applyFont="1" applyFill="1" applyBorder="1" applyAlignment="1">
      <alignment horizontal="center" vertical="center"/>
    </xf>
    <xf numFmtId="43" fontId="0" fillId="0" borderId="13" xfId="1" applyFont="1" applyFill="1" applyBorder="1" applyAlignment="1">
      <alignment horizontal="center" vertical="center"/>
    </xf>
    <xf numFmtId="164" fontId="0" fillId="0" borderId="25" xfId="1" applyNumberFormat="1" applyFont="1" applyFill="1" applyBorder="1" applyAlignment="1">
      <alignment horizontal="center" vertical="center"/>
    </xf>
    <xf numFmtId="164" fontId="0" fillId="0" borderId="26" xfId="1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168" fontId="0" fillId="0" borderId="1" xfId="0" applyNumberFormat="1" applyBorder="1" applyAlignment="1">
      <alignment horizontal="center"/>
    </xf>
    <xf numFmtId="168" fontId="2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0" borderId="0" xfId="4"/>
    <xf numFmtId="0" fontId="2" fillId="0" borderId="1" xfId="0" applyFont="1" applyBorder="1" applyAlignment="1">
      <alignment horizontal="center"/>
    </xf>
    <xf numFmtId="43" fontId="0" fillId="0" borderId="1" xfId="1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14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5" xfId="0" applyBorder="1" applyAlignment="1"/>
    <xf numFmtId="0" fontId="9" fillId="0" borderId="0" xfId="0" applyFont="1"/>
    <xf numFmtId="0" fontId="0" fillId="0" borderId="0" xfId="0"/>
    <xf numFmtId="0" fontId="0" fillId="0" borderId="5" xfId="0" applyBorder="1"/>
    <xf numFmtId="0" fontId="2" fillId="0" borderId="5" xfId="0" applyFont="1" applyFill="1" applyBorder="1" applyAlignment="1">
      <alignment horizontal="center"/>
    </xf>
    <xf numFmtId="0" fontId="0" fillId="0" borderId="0" xfId="0"/>
    <xf numFmtId="43" fontId="0" fillId="0" borderId="3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7" fontId="0" fillId="0" borderId="0" xfId="3" applyNumberFormat="1" applyFont="1"/>
    <xf numFmtId="43" fontId="0" fillId="0" borderId="0" xfId="1" applyFont="1"/>
    <xf numFmtId="43" fontId="0" fillId="0" borderId="1" xfId="1" applyFont="1" applyBorder="1" applyAlignment="1">
      <alignment horizontal="center"/>
    </xf>
    <xf numFmtId="169" fontId="0" fillId="0" borderId="1" xfId="2" applyNumberFormat="1" applyFont="1" applyBorder="1" applyAlignment="1">
      <alignment horizontal="center"/>
    </xf>
    <xf numFmtId="43" fontId="0" fillId="0" borderId="0" xfId="0" applyNumberFormat="1"/>
    <xf numFmtId="17" fontId="0" fillId="0" borderId="0" xfId="0" applyNumberFormat="1"/>
    <xf numFmtId="0" fontId="2" fillId="0" borderId="1" xfId="0" applyFont="1" applyFill="1" applyBorder="1" applyAlignment="1">
      <alignment horizontal="center"/>
    </xf>
    <xf numFmtId="43" fontId="0" fillId="0" borderId="19" xfId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43" fontId="0" fillId="0" borderId="3" xfId="1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3" fontId="0" fillId="0" borderId="32" xfId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43" fontId="0" fillId="0" borderId="33" xfId="1" applyFont="1" applyFill="1" applyBorder="1" applyAlignment="1">
      <alignment horizontal="center" vertical="center"/>
    </xf>
    <xf numFmtId="9" fontId="2" fillId="0" borderId="1" xfId="3" applyFont="1" applyBorder="1"/>
    <xf numFmtId="9" fontId="0" fillId="0" borderId="14" xfId="1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44" fontId="0" fillId="0" borderId="1" xfId="2" applyFont="1" applyFill="1" applyBorder="1" applyAlignment="1">
      <alignment horizontal="center" vertical="center"/>
    </xf>
    <xf numFmtId="43" fontId="0" fillId="0" borderId="1" xfId="1" applyFont="1" applyBorder="1"/>
    <xf numFmtId="9" fontId="0" fillId="0" borderId="0" xfId="3" applyFont="1"/>
    <xf numFmtId="9" fontId="0" fillId="0" borderId="0" xfId="3" applyFont="1" applyFill="1" applyBorder="1"/>
    <xf numFmtId="9" fontId="0" fillId="0" borderId="1" xfId="3" applyFont="1" applyFill="1" applyBorder="1"/>
    <xf numFmtId="0" fontId="0" fillId="0" borderId="9" xfId="0" applyFont="1" applyBorder="1" applyAlignment="1">
      <alignment horizontal="center" vertical="center"/>
    </xf>
    <xf numFmtId="0" fontId="8" fillId="0" borderId="9" xfId="4" applyFill="1" applyBorder="1"/>
    <xf numFmtId="0" fontId="0" fillId="0" borderId="38" xfId="0" applyFill="1" applyBorder="1"/>
    <xf numFmtId="0" fontId="0" fillId="0" borderId="7" xfId="0" applyFont="1" applyBorder="1" applyAlignment="1">
      <alignment horizontal="center" vertical="center"/>
    </xf>
    <xf numFmtId="43" fontId="0" fillId="0" borderId="27" xfId="1" applyFont="1" applyFill="1" applyBorder="1" applyAlignment="1">
      <alignment horizontal="center" vertical="center"/>
    </xf>
    <xf numFmtId="164" fontId="0" fillId="0" borderId="7" xfId="1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Border="1"/>
    <xf numFmtId="164" fontId="0" fillId="0" borderId="41" xfId="1" applyNumberFormat="1" applyFont="1" applyFill="1" applyBorder="1" applyAlignment="1">
      <alignment horizontal="center" vertical="center"/>
    </xf>
    <xf numFmtId="0" fontId="0" fillId="0" borderId="35" xfId="0" applyBorder="1"/>
    <xf numFmtId="0" fontId="0" fillId="0" borderId="34" xfId="0" applyFont="1" applyBorder="1" applyAlignment="1">
      <alignment horizontal="center"/>
    </xf>
    <xf numFmtId="43" fontId="0" fillId="0" borderId="42" xfId="1" applyFont="1" applyFill="1" applyBorder="1" applyAlignment="1">
      <alignment horizontal="center" vertical="center"/>
    </xf>
    <xf numFmtId="43" fontId="0" fillId="0" borderId="43" xfId="1" applyFont="1" applyFill="1" applyBorder="1" applyAlignment="1">
      <alignment horizontal="center" vertical="center"/>
    </xf>
    <xf numFmtId="43" fontId="0" fillId="0" borderId="44" xfId="1" applyFont="1" applyFill="1" applyBorder="1" applyAlignment="1">
      <alignment horizontal="center" vertical="center"/>
    </xf>
    <xf numFmtId="164" fontId="0" fillId="0" borderId="45" xfId="1" applyNumberFormat="1" applyFont="1" applyFill="1" applyBorder="1" applyAlignment="1">
      <alignment horizontal="center" vertical="center"/>
    </xf>
    <xf numFmtId="0" fontId="0" fillId="0" borderId="30" xfId="0" applyFill="1" applyBorder="1"/>
    <xf numFmtId="0" fontId="0" fillId="0" borderId="18" xfId="0" applyFont="1" applyBorder="1" applyAlignment="1">
      <alignment horizontal="center"/>
    </xf>
    <xf numFmtId="0" fontId="0" fillId="0" borderId="0" xfId="0" applyFont="1"/>
    <xf numFmtId="3" fontId="0" fillId="0" borderId="1" xfId="0" applyNumberFormat="1" applyBorder="1" applyAlignment="1">
      <alignment horizontal="center"/>
    </xf>
    <xf numFmtId="43" fontId="0" fillId="0" borderId="1" xfId="1" applyFont="1" applyFill="1" applyBorder="1"/>
    <xf numFmtId="0" fontId="0" fillId="0" borderId="1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horizontal="center" vertical="center"/>
    </xf>
    <xf numFmtId="0" fontId="0" fillId="0" borderId="46" xfId="0" applyFill="1" applyBorder="1"/>
    <xf numFmtId="0" fontId="0" fillId="0" borderId="47" xfId="0" applyFont="1" applyFill="1" applyBorder="1" applyAlignment="1">
      <alignment horizontal="center" vertical="center"/>
    </xf>
    <xf numFmtId="164" fontId="0" fillId="0" borderId="46" xfId="1" applyNumberFormat="1" applyFont="1" applyFill="1" applyBorder="1" applyAlignment="1">
      <alignment horizontal="center" vertical="center"/>
    </xf>
    <xf numFmtId="0" fontId="0" fillId="9" borderId="18" xfId="0" applyFont="1" applyFill="1" applyBorder="1" applyAlignment="1">
      <alignment horizontal="center" vertical="center"/>
    </xf>
    <xf numFmtId="164" fontId="0" fillId="0" borderId="18" xfId="1" applyNumberFormat="1" applyFont="1" applyFill="1" applyBorder="1" applyAlignment="1">
      <alignment horizontal="center" vertical="center"/>
    </xf>
    <xf numFmtId="164" fontId="0" fillId="0" borderId="35" xfId="1" applyNumberFormat="1" applyFont="1" applyFill="1" applyBorder="1" applyAlignment="1">
      <alignment horizontal="center" vertical="center"/>
    </xf>
    <xf numFmtId="0" fontId="0" fillId="0" borderId="48" xfId="0" applyBorder="1"/>
    <xf numFmtId="9" fontId="1" fillId="0" borderId="1" xfId="3" applyFont="1" applyBorder="1"/>
    <xf numFmtId="43" fontId="1" fillId="0" borderId="1" xfId="1" applyFont="1" applyBorder="1"/>
    <xf numFmtId="10" fontId="1" fillId="0" borderId="1" xfId="3" applyNumberFormat="1" applyFont="1" applyBorder="1"/>
    <xf numFmtId="164" fontId="1" fillId="0" borderId="1" xfId="1" applyNumberFormat="1" applyFont="1" applyBorder="1"/>
    <xf numFmtId="0" fontId="0" fillId="0" borderId="31" xfId="0" applyBorder="1"/>
    <xf numFmtId="9" fontId="0" fillId="0" borderId="3" xfId="3" applyFont="1" applyFill="1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/>
    <xf numFmtId="0" fontId="10" fillId="0" borderId="39" xfId="0" applyFont="1" applyBorder="1" applyAlignment="1"/>
    <xf numFmtId="0" fontId="10" fillId="0" borderId="49" xfId="0" applyFont="1" applyBorder="1" applyAlignment="1">
      <alignment horizontal="right"/>
    </xf>
    <xf numFmtId="11" fontId="10" fillId="0" borderId="49" xfId="0" applyNumberFormat="1" applyFont="1" applyBorder="1" applyAlignment="1">
      <alignment horizontal="right"/>
    </xf>
    <xf numFmtId="170" fontId="1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10" fontId="1" fillId="0" borderId="1" xfId="3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/>
    <xf numFmtId="0" fontId="0" fillId="0" borderId="1" xfId="0" applyBorder="1" applyAlignment="1"/>
    <xf numFmtId="166" fontId="7" fillId="4" borderId="1" xfId="0" applyNumberFormat="1" applyFont="1" applyFill="1" applyBorder="1" applyAlignment="1">
      <alignment horizontal="center"/>
    </xf>
    <xf numFmtId="43" fontId="5" fillId="0" borderId="1" xfId="1" applyFont="1" applyBorder="1"/>
    <xf numFmtId="166" fontId="7" fillId="13" borderId="1" xfId="0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2" fillId="4" borderId="1" xfId="0" applyNumberFormat="1" applyFont="1" applyFill="1" applyBorder="1"/>
    <xf numFmtId="0" fontId="0" fillId="0" borderId="9" xfId="0" applyFill="1" applyBorder="1"/>
    <xf numFmtId="0" fontId="0" fillId="0" borderId="46" xfId="0" applyBorder="1"/>
    <xf numFmtId="166" fontId="0" fillId="15" borderId="1" xfId="0" applyNumberFormat="1" applyFill="1" applyBorder="1" applyAlignment="1">
      <alignment horizontal="center"/>
    </xf>
    <xf numFmtId="167" fontId="0" fillId="0" borderId="1" xfId="3" applyNumberFormat="1" applyFont="1" applyBorder="1" applyAlignment="1">
      <alignment horizontal="center"/>
    </xf>
    <xf numFmtId="4" fontId="0" fillId="0" borderId="1" xfId="0" applyNumberFormat="1" applyFill="1" applyBorder="1" applyProtection="1">
      <protection locked="0"/>
    </xf>
    <xf numFmtId="168" fontId="0" fillId="0" borderId="0" xfId="0" applyNumberFormat="1" applyFill="1" applyBorder="1" applyAlignment="1">
      <alignment horizontal="center"/>
    </xf>
    <xf numFmtId="168" fontId="0" fillId="0" borderId="0" xfId="0" applyNumberFormat="1"/>
    <xf numFmtId="0" fontId="4" fillId="0" borderId="0" xfId="0" applyFont="1" applyFill="1" applyBorder="1" applyAlignment="1">
      <alignment horizontal="center"/>
    </xf>
    <xf numFmtId="0" fontId="0" fillId="16" borderId="34" xfId="0" applyFont="1" applyFill="1" applyBorder="1" applyAlignment="1">
      <alignment horizontal="center" vertical="center"/>
    </xf>
    <xf numFmtId="0" fontId="0" fillId="15" borderId="18" xfId="0" applyFont="1" applyFill="1" applyBorder="1" applyAlignment="1">
      <alignment horizontal="center" vertical="center"/>
    </xf>
    <xf numFmtId="0" fontId="0" fillId="13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0" xfId="0" applyBorder="1" applyAlignment="1">
      <alignment horizontal="center"/>
    </xf>
    <xf numFmtId="9" fontId="0" fillId="0" borderId="9" xfId="3" applyFont="1" applyFill="1" applyBorder="1" applyAlignment="1">
      <alignment horizontal="center"/>
    </xf>
    <xf numFmtId="167" fontId="0" fillId="0" borderId="11" xfId="3" applyNumberFormat="1" applyFont="1" applyFill="1" applyBorder="1" applyAlignment="1">
      <alignment horizontal="center" vertical="center"/>
    </xf>
    <xf numFmtId="167" fontId="0" fillId="0" borderId="1" xfId="3" applyNumberFormat="1" applyFont="1" applyFill="1" applyBorder="1" applyAlignment="1">
      <alignment horizontal="center" vertical="center"/>
    </xf>
    <xf numFmtId="167" fontId="0" fillId="0" borderId="14" xfId="3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1" xfId="0" quotePrefix="1" applyFont="1" applyFill="1" applyBorder="1" applyAlignment="1">
      <alignment horizontal="center" vertical="center"/>
    </xf>
    <xf numFmtId="9" fontId="0" fillId="0" borderId="46" xfId="3" applyFont="1" applyFill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43" fontId="0" fillId="0" borderId="11" xfId="1" applyFont="1" applyFill="1" applyBorder="1" applyAlignment="1">
      <alignment horizontal="center"/>
    </xf>
    <xf numFmtId="44" fontId="0" fillId="0" borderId="14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4" fontId="0" fillId="0" borderId="1" xfId="2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44" fontId="11" fillId="0" borderId="1" xfId="2" applyFont="1" applyBorder="1" applyAlignment="1">
      <alignment horizontal="center"/>
    </xf>
    <xf numFmtId="17" fontId="0" fillId="0" borderId="1" xfId="0" applyNumberFormat="1" applyBorder="1"/>
    <xf numFmtId="37" fontId="0" fillId="0" borderId="1" xfId="0" applyNumberFormat="1" applyBorder="1" applyProtection="1"/>
    <xf numFmtId="44" fontId="0" fillId="0" borderId="1" xfId="2" applyFont="1" applyBorder="1" applyProtection="1"/>
    <xf numFmtId="164" fontId="0" fillId="0" borderId="1" xfId="1" applyNumberFormat="1" applyFont="1" applyBorder="1" applyProtection="1"/>
    <xf numFmtId="43" fontId="0" fillId="0" borderId="1" xfId="1" applyFont="1" applyBorder="1" applyProtection="1"/>
    <xf numFmtId="44" fontId="0" fillId="0" borderId="1" xfId="2" applyFont="1" applyBorder="1"/>
    <xf numFmtId="164" fontId="0" fillId="0" borderId="1" xfId="1" applyNumberFormat="1" applyFont="1" applyBorder="1"/>
    <xf numFmtId="9" fontId="0" fillId="0" borderId="1" xfId="3" applyFont="1" applyBorder="1" applyProtection="1"/>
    <xf numFmtId="2" fontId="0" fillId="0" borderId="1" xfId="0" applyNumberFormat="1" applyBorder="1"/>
    <xf numFmtId="43" fontId="0" fillId="0" borderId="1" xfId="1" applyFont="1" applyFill="1" applyBorder="1" applyProtection="1">
      <protection locked="0"/>
    </xf>
    <xf numFmtId="44" fontId="0" fillId="0" borderId="0" xfId="2" applyFont="1"/>
    <xf numFmtId="164" fontId="0" fillId="0" borderId="0" xfId="1" applyNumberFormat="1" applyFont="1"/>
    <xf numFmtId="164" fontId="0" fillId="14" borderId="1" xfId="1" applyNumberFormat="1" applyFont="1" applyFill="1" applyBorder="1"/>
    <xf numFmtId="0" fontId="0" fillId="0" borderId="0" xfId="0" applyNumberFormat="1"/>
    <xf numFmtId="164" fontId="0" fillId="0" borderId="0" xfId="0" applyNumberFormat="1"/>
    <xf numFmtId="0" fontId="0" fillId="0" borderId="1" xfId="0" applyNumberFormat="1" applyBorder="1"/>
    <xf numFmtId="3" fontId="0" fillId="0" borderId="1" xfId="0" applyNumberFormat="1" applyBorder="1"/>
    <xf numFmtId="164" fontId="0" fillId="14" borderId="1" xfId="0" applyNumberFormat="1" applyFill="1" applyBorder="1"/>
    <xf numFmtId="2" fontId="0" fillId="0" borderId="0" xfId="0" applyNumberFormat="1"/>
    <xf numFmtId="164" fontId="0" fillId="14" borderId="0" xfId="0" applyNumberFormat="1" applyFill="1"/>
    <xf numFmtId="44" fontId="1" fillId="0" borderId="1" xfId="2" applyFont="1" applyBorder="1"/>
    <xf numFmtId="44" fontId="12" fillId="0" borderId="1" xfId="2" applyFont="1" applyBorder="1" applyAlignment="1">
      <alignment vertical="center"/>
    </xf>
    <xf numFmtId="164" fontId="0" fillId="0" borderId="51" xfId="1" applyNumberFormat="1" applyFont="1" applyFill="1" applyBorder="1" applyAlignment="1">
      <alignment horizontal="center" vertical="center"/>
    </xf>
    <xf numFmtId="164" fontId="0" fillId="0" borderId="52" xfId="1" applyNumberFormat="1" applyFont="1" applyFill="1" applyBorder="1" applyAlignment="1">
      <alignment horizontal="center" vertical="center"/>
    </xf>
    <xf numFmtId="164" fontId="0" fillId="0" borderId="53" xfId="1" applyNumberFormat="1" applyFont="1" applyFill="1" applyBorder="1" applyAlignment="1">
      <alignment horizontal="center" vertical="center"/>
    </xf>
    <xf numFmtId="44" fontId="0" fillId="0" borderId="20" xfId="2" applyFont="1" applyFill="1" applyBorder="1" applyAlignment="1">
      <alignment horizontal="center" vertical="center"/>
    </xf>
    <xf numFmtId="44" fontId="0" fillId="0" borderId="28" xfId="2" applyFont="1" applyFill="1" applyBorder="1" applyAlignment="1">
      <alignment horizontal="center" vertical="center"/>
    </xf>
    <xf numFmtId="164" fontId="0" fillId="18" borderId="0" xfId="0" applyNumberFormat="1" applyFill="1"/>
    <xf numFmtId="43" fontId="0" fillId="18" borderId="0" xfId="0" applyNumberFormat="1" applyFill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/>
    <xf numFmtId="164" fontId="0" fillId="0" borderId="1" xfId="0" applyNumberFormat="1" applyFill="1" applyBorder="1"/>
    <xf numFmtId="167" fontId="0" fillId="0" borderId="0" xfId="0" applyNumberFormat="1"/>
    <xf numFmtId="3" fontId="0" fillId="19" borderId="36" xfId="0" applyNumberFormat="1" applyFill="1" applyBorder="1" applyProtection="1">
      <protection locked="0"/>
    </xf>
    <xf numFmtId="171" fontId="0" fillId="0" borderId="1" xfId="2" applyNumberFormat="1" applyFont="1" applyBorder="1" applyProtection="1"/>
    <xf numFmtId="43" fontId="11" fillId="0" borderId="1" xfId="1" applyFont="1" applyFill="1" applyBorder="1" applyAlignment="1">
      <alignment horizontal="center"/>
    </xf>
    <xf numFmtId="43" fontId="0" fillId="0" borderId="1" xfId="1" applyFont="1" applyFill="1" applyBorder="1" applyProtection="1"/>
    <xf numFmtId="43" fontId="0" fillId="0" borderId="0" xfId="1" applyFont="1" applyFill="1"/>
    <xf numFmtId="0" fontId="14" fillId="0" borderId="0" xfId="0" applyFont="1" applyAlignment="1">
      <alignment horizontal="left" vertical="center" indent="5"/>
    </xf>
    <xf numFmtId="44" fontId="0" fillId="14" borderId="1" xfId="2" applyFont="1" applyFill="1" applyBorder="1"/>
    <xf numFmtId="171" fontId="0" fillId="14" borderId="1" xfId="2" applyNumberFormat="1" applyFont="1" applyFill="1" applyBorder="1" applyProtection="1"/>
    <xf numFmtId="37" fontId="0" fillId="14" borderId="1" xfId="0" applyNumberFormat="1" applyFill="1" applyBorder="1" applyProtection="1"/>
    <xf numFmtId="44" fontId="0" fillId="14" borderId="1" xfId="2" applyFont="1" applyFill="1" applyBorder="1" applyProtection="1"/>
    <xf numFmtId="165" fontId="0" fillId="0" borderId="1" xfId="0" applyNumberFormat="1" applyBorder="1"/>
    <xf numFmtId="43" fontId="0" fillId="0" borderId="54" xfId="1" applyFont="1" applyFill="1" applyBorder="1" applyAlignment="1">
      <alignment horizontal="center" vertical="center"/>
    </xf>
    <xf numFmtId="167" fontId="0" fillId="0" borderId="19" xfId="3" applyNumberFormat="1" applyFont="1" applyFill="1" applyBorder="1" applyAlignment="1">
      <alignment horizontal="center" vertical="center"/>
    </xf>
    <xf numFmtId="167" fontId="0" fillId="0" borderId="20" xfId="3" applyNumberFormat="1" applyFont="1" applyFill="1" applyBorder="1" applyAlignment="1">
      <alignment horizontal="center" vertical="center"/>
    </xf>
    <xf numFmtId="167" fontId="0" fillId="0" borderId="28" xfId="3" applyNumberFormat="1" applyFont="1" applyFill="1" applyBorder="1" applyAlignment="1">
      <alignment horizontal="center" vertical="center"/>
    </xf>
    <xf numFmtId="164" fontId="0" fillId="0" borderId="55" xfId="1" applyNumberFormat="1" applyFont="1" applyFill="1" applyBorder="1" applyAlignment="1">
      <alignment horizontal="center" vertical="center"/>
    </xf>
    <xf numFmtId="164" fontId="0" fillId="0" borderId="56" xfId="1" applyNumberFormat="1" applyFont="1" applyFill="1" applyBorder="1" applyAlignment="1">
      <alignment horizontal="center" vertical="center"/>
    </xf>
    <xf numFmtId="43" fontId="0" fillId="0" borderId="57" xfId="1" applyFont="1" applyFill="1" applyBorder="1" applyAlignment="1">
      <alignment horizontal="center" vertical="center"/>
    </xf>
    <xf numFmtId="164" fontId="0" fillId="0" borderId="42" xfId="1" applyNumberFormat="1" applyFont="1" applyFill="1" applyBorder="1" applyAlignment="1">
      <alignment horizontal="center" vertical="center"/>
    </xf>
    <xf numFmtId="164" fontId="0" fillId="0" borderId="43" xfId="1" applyNumberFormat="1" applyFont="1" applyFill="1" applyBorder="1" applyAlignment="1">
      <alignment horizontal="center" vertical="center"/>
    </xf>
    <xf numFmtId="164" fontId="0" fillId="0" borderId="58" xfId="1" applyNumberFormat="1" applyFont="1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164" fontId="0" fillId="0" borderId="19" xfId="1" applyNumberFormat="1" applyFont="1" applyFill="1" applyBorder="1" applyAlignment="1">
      <alignment horizontal="center" vertical="center"/>
    </xf>
    <xf numFmtId="9" fontId="0" fillId="0" borderId="28" xfId="1" applyNumberFormat="1" applyFont="1" applyFill="1" applyBorder="1" applyAlignment="1">
      <alignment horizontal="center" vertical="center"/>
    </xf>
    <xf numFmtId="2" fontId="0" fillId="14" borderId="1" xfId="0" applyNumberFormat="1" applyFill="1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3" applyFont="1" applyBorder="1"/>
    <xf numFmtId="171" fontId="0" fillId="0" borderId="1" xfId="2" applyNumberFormat="1" applyFont="1" applyFill="1" applyBorder="1" applyProtection="1"/>
    <xf numFmtId="0" fontId="0" fillId="0" borderId="1" xfId="0" applyBorder="1" applyAlignment="1">
      <alignment horizontal="center"/>
    </xf>
    <xf numFmtId="37" fontId="0" fillId="0" borderId="1" xfId="1" applyNumberFormat="1" applyFont="1" applyBorder="1"/>
    <xf numFmtId="0" fontId="0" fillId="14" borderId="0" xfId="0" applyFill="1"/>
    <xf numFmtId="164" fontId="0" fillId="0" borderId="1" xfId="1" applyNumberFormat="1" applyFont="1" applyBorder="1" applyAlignment="1">
      <alignment horizontal="center"/>
    </xf>
    <xf numFmtId="0" fontId="8" fillId="0" borderId="1" xfId="4" applyBorder="1"/>
    <xf numFmtId="0" fontId="8" fillId="5" borderId="1" xfId="4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0" xfId="0" applyBorder="1" applyAlignment="1"/>
    <xf numFmtId="165" fontId="0" fillId="0" borderId="0" xfId="0" applyNumberFormat="1" applyFill="1" applyBorder="1" applyAlignment="1">
      <alignment horizontal="center"/>
    </xf>
    <xf numFmtId="0" fontId="0" fillId="14" borderId="1" xfId="0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0" fontId="17" fillId="0" borderId="0" xfId="0" applyFont="1" applyAlignment="1">
      <alignment wrapText="1"/>
    </xf>
    <xf numFmtId="0" fontId="19" fillId="0" borderId="59" xfId="5" applyFont="1" applyBorder="1" applyAlignment="1">
      <alignment horizontal="center" vertical="center" wrapText="1"/>
    </xf>
    <xf numFmtId="0" fontId="19" fillId="0" borderId="60" xfId="5" applyFont="1" applyBorder="1" applyAlignment="1">
      <alignment horizontal="center" vertical="center" wrapText="1"/>
    </xf>
    <xf numFmtId="0" fontId="19" fillId="0" borderId="24" xfId="5" applyFont="1" applyBorder="1" applyAlignment="1">
      <alignment horizontal="center" vertical="center" wrapText="1"/>
    </xf>
    <xf numFmtId="0" fontId="19" fillId="0" borderId="61" xfId="5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62" xfId="5" applyBorder="1" applyAlignment="1">
      <alignment horizontal="center"/>
    </xf>
    <xf numFmtId="3" fontId="13" fillId="0" borderId="63" xfId="5" applyNumberFormat="1" applyBorder="1"/>
    <xf numFmtId="3" fontId="13" fillId="0" borderId="0" xfId="5" applyNumberFormat="1" applyBorder="1"/>
    <xf numFmtId="3" fontId="13" fillId="0" borderId="64" xfId="5" applyNumberFormat="1" applyBorder="1"/>
    <xf numFmtId="44" fontId="6" fillId="0" borderId="1" xfId="2" applyFont="1" applyFill="1" applyBorder="1" applyAlignment="1">
      <alignment vertical="center"/>
    </xf>
    <xf numFmtId="0" fontId="0" fillId="4" borderId="0" xfId="0" applyFill="1"/>
    <xf numFmtId="0" fontId="0" fillId="15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9" fontId="2" fillId="4" borderId="1" xfId="3" applyFont="1" applyFill="1" applyBorder="1"/>
    <xf numFmtId="0" fontId="2" fillId="4" borderId="1" xfId="1" applyNumberFormat="1" applyFont="1" applyFill="1" applyBorder="1" applyAlignment="1">
      <alignment horizontal="center"/>
    </xf>
    <xf numFmtId="0" fontId="2" fillId="4" borderId="3" xfId="0" applyFont="1" applyFill="1" applyBorder="1"/>
    <xf numFmtId="0" fontId="21" fillId="20" borderId="1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 wrapText="1"/>
    </xf>
    <xf numFmtId="0" fontId="0" fillId="21" borderId="0" xfId="0" applyFill="1"/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wrapText="1"/>
    </xf>
    <xf numFmtId="0" fontId="0" fillId="21" borderId="0" xfId="0" applyFill="1" applyAlignment="1">
      <alignment horizontal="center"/>
    </xf>
    <xf numFmtId="0" fontId="21" fillId="20" borderId="1" xfId="0" applyFont="1" applyFill="1" applyBorder="1" applyAlignment="1">
      <alignment horizontal="center"/>
    </xf>
    <xf numFmtId="0" fontId="22" fillId="24" borderId="0" xfId="0" applyFont="1" applyFill="1"/>
    <xf numFmtId="0" fontId="22" fillId="24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0" fillId="0" borderId="1" xfId="1" applyNumberFormat="1" applyFont="1" applyFill="1" applyBorder="1"/>
    <xf numFmtId="164" fontId="0" fillId="0" borderId="0" xfId="3" applyNumberFormat="1" applyFont="1"/>
    <xf numFmtId="0" fontId="23" fillId="0" borderId="0" xfId="0" applyFont="1"/>
    <xf numFmtId="0" fontId="24" fillId="0" borderId="0" xfId="0" applyFont="1"/>
    <xf numFmtId="0" fontId="25" fillId="2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21" borderId="0" xfId="0" applyFont="1" applyFill="1"/>
    <xf numFmtId="0" fontId="29" fillId="22" borderId="1" xfId="0" applyFont="1" applyFill="1" applyBorder="1" applyAlignment="1">
      <alignment horizontal="center" vertical="center" wrapText="1"/>
    </xf>
    <xf numFmtId="0" fontId="30" fillId="2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72" fontId="0" fillId="0" borderId="1" xfId="1" applyNumberFormat="1" applyFont="1" applyFill="1" applyBorder="1"/>
    <xf numFmtId="172" fontId="0" fillId="0" borderId="1" xfId="1" applyNumberFormat="1" applyFont="1" applyBorder="1"/>
    <xf numFmtId="172" fontId="0" fillId="0" borderId="0" xfId="0" applyNumberFormat="1"/>
    <xf numFmtId="0" fontId="3" fillId="10" borderId="1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0" fontId="0" fillId="11" borderId="17" xfId="0" applyFont="1" applyFill="1" applyBorder="1" applyAlignment="1">
      <alignment horizontal="center" vertical="center"/>
    </xf>
    <xf numFmtId="0" fontId="0" fillId="11" borderId="37" xfId="0" applyFont="1" applyFill="1" applyBorder="1" applyAlignment="1">
      <alignment horizontal="center" vertical="center"/>
    </xf>
    <xf numFmtId="0" fontId="0" fillId="11" borderId="15" xfId="0" applyFont="1" applyFill="1" applyBorder="1" applyAlignment="1">
      <alignment horizontal="center" vertical="center"/>
    </xf>
    <xf numFmtId="0" fontId="0" fillId="11" borderId="16" xfId="0" applyFont="1" applyFill="1" applyBorder="1" applyAlignment="1">
      <alignment horizontal="center" vertical="center"/>
    </xf>
    <xf numFmtId="0" fontId="0" fillId="17" borderId="17" xfId="0" applyFont="1" applyFill="1" applyBorder="1" applyAlignment="1">
      <alignment horizontal="center" vertical="center"/>
    </xf>
    <xf numFmtId="0" fontId="0" fillId="17" borderId="37" xfId="0" applyFont="1" applyFill="1" applyBorder="1" applyAlignment="1">
      <alignment horizontal="center" vertical="center"/>
    </xf>
    <xf numFmtId="0" fontId="0" fillId="17" borderId="15" xfId="0" applyFont="1" applyFill="1" applyBorder="1" applyAlignment="1">
      <alignment horizontal="center" vertical="center"/>
    </xf>
    <xf numFmtId="0" fontId="0" fillId="17" borderId="16" xfId="0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/>
    </xf>
    <xf numFmtId="0" fontId="0" fillId="12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7" borderId="29" xfId="0" applyFont="1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13" borderId="50" xfId="0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8" fillId="5" borderId="1" xfId="4" applyFill="1" applyBorder="1" applyAlignment="1">
      <alignment horizontal="center"/>
    </xf>
    <xf numFmtId="0" fontId="0" fillId="0" borderId="1" xfId="0" applyBorder="1" applyAlignment="1"/>
    <xf numFmtId="0" fontId="0" fillId="5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3" fontId="0" fillId="14" borderId="1" xfId="1" applyFont="1" applyFill="1" applyBorder="1"/>
    <xf numFmtId="17" fontId="0" fillId="14" borderId="1" xfId="0" applyNumberFormat="1" applyFill="1" applyBorder="1"/>
    <xf numFmtId="164" fontId="0" fillId="14" borderId="1" xfId="1" applyNumberFormat="1" applyFont="1" applyFill="1" applyBorder="1" applyProtection="1"/>
    <xf numFmtId="43" fontId="0" fillId="14" borderId="1" xfId="1" applyFont="1" applyFill="1" applyBorder="1" applyProtection="1"/>
    <xf numFmtId="9" fontId="0" fillId="14" borderId="1" xfId="3" applyFont="1" applyFill="1" applyBorder="1" applyProtection="1"/>
    <xf numFmtId="170" fontId="10" fillId="0" borderId="1" xfId="1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1" fontId="0" fillId="0" borderId="0" xfId="0" applyNumberFormat="1"/>
    <xf numFmtId="0" fontId="8" fillId="0" borderId="1" xfId="4" applyBorder="1" applyAlignment="1">
      <alignment horizontal="center"/>
    </xf>
    <xf numFmtId="0" fontId="0" fillId="0" borderId="65" xfId="0" applyFill="1" applyBorder="1" applyAlignment="1">
      <alignment horizontal="center"/>
    </xf>
    <xf numFmtId="172" fontId="0" fillId="14" borderId="1" xfId="1" applyNumberFormat="1" applyFont="1" applyFill="1" applyBorder="1"/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15" xfId="5"/>
    <cellStyle name="Percent" xfId="3" builtinId="5"/>
  </cellStyles>
  <dxfs count="0"/>
  <tableStyles count="0" defaultTableStyle="TableStyleMedium2" defaultPivotStyle="PivotStyleLight16"/>
  <colors>
    <mruColors>
      <color rgb="FFFFCE00"/>
      <color rgb="FF4A4F55"/>
      <color rgb="FFA58629"/>
      <color rgb="FF8A8A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'GHG Summary'!$B$41</c:f>
              <c:strCache>
                <c:ptCount val="1"/>
              </c:strCache>
            </c:strRef>
          </c:tx>
          <c:spPr>
            <a:solidFill>
              <a:srgbClr val="4A4F5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952025787966733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E8-44EE-A2B1-6FABA77A4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isa Offc" panose="02010504030101020102" pitchFamily="2" charset="0"/>
                    <a:ea typeface="+mn-ea"/>
                    <a:cs typeface="Tisa Offc" panose="02010504030101020102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'GHG Summary'!$A$41:$A$42</c:f>
              <c:numCache>
                <c:formatCode>General</c:formatCode>
                <c:ptCount val="2"/>
              </c:numCache>
            </c:numRef>
          </c:cat>
          <c:val>
            <c:numRef>
              <c:f>'GHG Summary'!$B$42:$B$43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E1E8-44EE-A2B1-6FABA77A455A}"/>
            </c:ext>
          </c:extLst>
        </c:ser>
        <c:ser>
          <c:idx val="1"/>
          <c:order val="1"/>
          <c:tx>
            <c:strRef>
              <c:f>'GHG Summary'!$D$41</c:f>
              <c:strCache>
                <c:ptCount val="1"/>
              </c:strCache>
            </c:strRef>
          </c:tx>
          <c:spPr>
            <a:solidFill>
              <a:srgbClr val="A58629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sa Offc" panose="02010504030101020102" pitchFamily="2" charset="0"/>
                      <a:ea typeface="+mn-ea"/>
                      <a:cs typeface="Tisa Offc" panose="02010504030101020102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1E8-44EE-A2B1-6FABA77A45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sa Offc" panose="02010504030101020102" pitchFamily="2" charset="0"/>
                      <a:ea typeface="+mn-ea"/>
                      <a:cs typeface="Tisa Offc" panose="02010504030101020102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1E8-44EE-A2B1-6FABA77A4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sa Offc" panose="02010504030101020102" pitchFamily="2" charset="0"/>
                    <a:ea typeface="+mn-ea"/>
                    <a:cs typeface="Tisa Offc" panose="02010504030101020102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'GHG Summary'!$A$41:$A$42</c:f>
              <c:numCache>
                <c:formatCode>General</c:formatCode>
                <c:ptCount val="2"/>
              </c:numCache>
            </c:numRef>
          </c:cat>
          <c:val>
            <c:numRef>
              <c:f>'GHG Summary'!$D$42:$D$43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E1E8-44EE-A2B1-6FABA77A455A}"/>
            </c:ext>
          </c:extLst>
        </c:ser>
        <c:ser>
          <c:idx val="2"/>
          <c:order val="2"/>
          <c:tx>
            <c:strRef>
              <c:f>'GHG Summary'!$E$41</c:f>
              <c:strCache>
                <c:ptCount val="1"/>
              </c:strCache>
            </c:strRef>
          </c:tx>
          <c:spPr>
            <a:solidFill>
              <a:srgbClr val="FFCE0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sa Offc" panose="02010504030101020102" pitchFamily="2" charset="0"/>
                      <a:ea typeface="+mn-ea"/>
                      <a:cs typeface="Tisa Offc" panose="02010504030101020102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1E8-44EE-A2B1-6FABA77A45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sa Offc" panose="02010504030101020102" pitchFamily="2" charset="0"/>
                      <a:ea typeface="+mn-ea"/>
                      <a:cs typeface="Tisa Offc" panose="02010504030101020102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E1E8-44EE-A2B1-6FABA77A4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sa Offc" panose="02010504030101020102" pitchFamily="2" charset="0"/>
                    <a:ea typeface="+mn-ea"/>
                    <a:cs typeface="Tisa Offc" panose="02010504030101020102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'GHG Summary'!$A$41:$A$42</c:f>
              <c:numCache>
                <c:formatCode>General</c:formatCode>
                <c:ptCount val="2"/>
              </c:numCache>
            </c:numRef>
          </c:cat>
          <c:val>
            <c:numRef>
              <c:f>'GHG Summary'!$E$42:$E$43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E1E8-44EE-A2B1-6FABA77A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806712"/>
        <c:axId val="280807104"/>
      </c:barChart>
      <c:catAx>
        <c:axId val="28080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sa Offc" panose="02010504030101020102" pitchFamily="2" charset="0"/>
                <a:ea typeface="+mn-ea"/>
                <a:cs typeface="Tisa Offc" panose="02010504030101020102" pitchFamily="2" charset="0"/>
              </a:defRPr>
            </a:pPr>
            <a:endParaRPr lang="en-US"/>
          </a:p>
        </c:txPr>
        <c:crossAx val="280807104"/>
        <c:crosses val="autoZero"/>
        <c:auto val="1"/>
        <c:lblAlgn val="ctr"/>
        <c:lblOffset val="100"/>
        <c:noMultiLvlLbl val="0"/>
      </c:catAx>
      <c:valAx>
        <c:axId val="280807104"/>
        <c:scaling>
          <c:orientation val="minMax"/>
          <c:max val="600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806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'GHG Summary'!$C$2</c:f>
              <c:strCache>
                <c:ptCount val="1"/>
                <c:pt idx="0">
                  <c:v>Stationary Fuels</c:v>
                </c:pt>
              </c:strCache>
            </c:strRef>
          </c:tx>
          <c:spPr>
            <a:solidFill>
              <a:srgbClr val="4A4F5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F22B-43CE-A7E9-90EA70564D6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22B-43CE-A7E9-90EA70564D6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Summary'!$C$28:$C$30</c:f>
              <c:numCache>
                <c:formatCode>_(* #,##0.0_);_(* \(#,##0.0\);_(* "-"??_);_(@_)</c:formatCode>
                <c:ptCount val="3"/>
                <c:pt idx="0">
                  <c:v>3043.5628996788641</c:v>
                </c:pt>
                <c:pt idx="1">
                  <c:v>3575.9738274208003</c:v>
                </c:pt>
                <c:pt idx="2">
                  <c:v>2953.0857999999998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B-43CE-A7E9-90EA70564D67}"/>
            </c:ext>
          </c:extLst>
        </c:ser>
        <c:ser>
          <c:idx val="1"/>
          <c:order val="1"/>
          <c:tx>
            <c:strRef>
              <c:f>'GHG Summary'!$D$2</c:f>
              <c:strCache>
                <c:ptCount val="1"/>
                <c:pt idx="0">
                  <c:v>Campus Fleet</c:v>
                </c:pt>
              </c:strCache>
            </c:strRef>
          </c:tx>
          <c:spPr>
            <a:solidFill>
              <a:srgbClr val="4A4F5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2457762715434645"/>
                  <c:y val="7.98453672563715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949665709941973E-2"/>
                      <c:h val="6.28606460222985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22B-43CE-A7E9-90EA70564D67}"/>
                </c:ext>
              </c:extLst>
            </c:dLbl>
            <c:dLbl>
              <c:idx val="1"/>
              <c:layout>
                <c:manualLayout>
                  <c:x val="-0.12312669248263443"/>
                  <c:y val="2.3460487527035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371051894381415E-2"/>
                      <c:h val="5.86217778496162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22B-43CE-A7E9-90EA70564D67}"/>
                </c:ext>
              </c:extLst>
            </c:dLbl>
            <c:dLbl>
              <c:idx val="2"/>
              <c:layout>
                <c:manualLayout>
                  <c:x val="-0.12231666597360877"/>
                  <c:y val="1.5781132978469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750962996149032E-2"/>
                      <c:h val="5.86217778496162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Summary'!$D$28:$D$30</c:f>
              <c:numCache>
                <c:formatCode>_(* #,##0.0_);_(* \(#,##0.0\);_(* "-"??_);_(@_)</c:formatCode>
                <c:ptCount val="3"/>
                <c:pt idx="0">
                  <c:v>220.06329947100798</c:v>
                </c:pt>
                <c:pt idx="1">
                  <c:v>180.12711297414401</c:v>
                </c:pt>
                <c:pt idx="2">
                  <c:v>243.08136619267202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2B-43CE-A7E9-90EA70564D67}"/>
            </c:ext>
          </c:extLst>
        </c:ser>
        <c:ser>
          <c:idx val="2"/>
          <c:order val="2"/>
          <c:tx>
            <c:strRef>
              <c:f>'GHG Summary'!$E$2</c:f>
              <c:strCache>
                <c:ptCount val="1"/>
                <c:pt idx="0">
                  <c:v>Refrigerants</c:v>
                </c:pt>
              </c:strCache>
            </c:strRef>
          </c:tx>
          <c:spPr>
            <a:solidFill>
              <a:srgbClr val="4A4F5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1745650890487604"/>
                  <c:y val="-2.15052993742351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156327607998684E-2"/>
                      <c:h val="5.86217778496162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22B-43CE-A7E9-90EA70564D67}"/>
                </c:ext>
              </c:extLst>
            </c:dLbl>
            <c:dLbl>
              <c:idx val="1"/>
              <c:layout>
                <c:manualLayout>
                  <c:x val="0.12069662291831333"/>
                  <c:y val="-1.56402737047898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117038793857845E-2"/>
                      <c:h val="5.47117094234188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22B-43CE-A7E9-90EA70564D67}"/>
                </c:ext>
              </c:extLst>
            </c:dLbl>
            <c:dLbl>
              <c:idx val="2"/>
              <c:layout>
                <c:manualLayout>
                  <c:x val="0.116646528238787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683666289241236E-2"/>
                      <c:h val="5.08016409972213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Summary'!$E$28:$E$30</c:f>
              <c:numCache>
                <c:formatCode>_(* #,##0.0_);_(* \(#,##0.0\);_(* "-"??_);_(@_)</c:formatCode>
                <c:ptCount val="3"/>
                <c:pt idx="0">
                  <c:v>78.55</c:v>
                </c:pt>
                <c:pt idx="1">
                  <c:v>34.76</c:v>
                </c:pt>
                <c:pt idx="2">
                  <c:v>185.36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2B-43CE-A7E9-90EA70564D67}"/>
            </c:ext>
          </c:extLst>
        </c:ser>
        <c:ser>
          <c:idx val="3"/>
          <c:order val="3"/>
          <c:tx>
            <c:strRef>
              <c:f>'GHG Summary'!$F$2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rgbClr val="A5862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F22B-43CE-A7E9-90EA70564D6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F22B-43CE-A7E9-90EA70564D6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Summary'!$F$28:$F$30</c:f>
              <c:numCache>
                <c:formatCode>_(* #,##0.0_);_(* \(#,##0.0\);_(* "-"??_);_(@_)</c:formatCode>
                <c:ptCount val="3"/>
                <c:pt idx="0">
                  <c:v>21633.353532400895</c:v>
                </c:pt>
                <c:pt idx="1">
                  <c:v>15272.715149908947</c:v>
                </c:pt>
                <c:pt idx="2">
                  <c:v>14715.730678196689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2B-43CE-A7E9-90EA70564D67}"/>
            </c:ext>
          </c:extLst>
        </c:ser>
        <c:ser>
          <c:idx val="4"/>
          <c:order val="4"/>
          <c:tx>
            <c:strRef>
              <c:f>'GHG Summary'!$G$2</c:f>
              <c:strCache>
                <c:ptCount val="1"/>
                <c:pt idx="0">
                  <c:v>Employee Commuting</c:v>
                </c:pt>
              </c:strCache>
            </c:strRef>
          </c:tx>
          <c:spPr>
            <a:solidFill>
              <a:srgbClr val="FFCE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F22B-43CE-A7E9-90EA70564D6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F22B-43CE-A7E9-90EA70564D6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Summary'!$G$28:$G$30</c:f>
              <c:numCache>
                <c:formatCode>_(* #,##0.0_);_(* \(#,##0.0\);_(* "-"??_);_(@_)</c:formatCode>
                <c:ptCount val="3"/>
                <c:pt idx="0">
                  <c:v>4131.5503457178893</c:v>
                </c:pt>
                <c:pt idx="1">
                  <c:v>3099.0643977929062</c:v>
                </c:pt>
                <c:pt idx="2">
                  <c:v>3046.4763505666051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22B-43CE-A7E9-90EA70564D67}"/>
            </c:ext>
          </c:extLst>
        </c:ser>
        <c:ser>
          <c:idx val="5"/>
          <c:order val="5"/>
          <c:tx>
            <c:strRef>
              <c:f>'GHG Summary'!$H$2</c:f>
              <c:strCache>
                <c:ptCount val="1"/>
                <c:pt idx="0">
                  <c:v>Student Commuting</c:v>
                </c:pt>
              </c:strCache>
            </c:strRef>
          </c:tx>
          <c:spPr>
            <a:solidFill>
              <a:srgbClr val="FFCE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4-F22B-43CE-A7E9-90EA70564D6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5-F22B-43CE-A7E9-90EA70564D6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6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Summary'!$H$28:$H$30</c:f>
              <c:numCache>
                <c:formatCode>_(* #,##0.0_);_(* \(#,##0.0\);_(* "-"??_);_(@_)</c:formatCode>
                <c:ptCount val="3"/>
                <c:pt idx="0">
                  <c:v>28405.881544455784</c:v>
                </c:pt>
                <c:pt idx="1">
                  <c:v>23378.320085338291</c:v>
                </c:pt>
                <c:pt idx="2">
                  <c:v>24545.5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22B-43CE-A7E9-90EA70564D67}"/>
            </c:ext>
          </c:extLst>
        </c:ser>
        <c:ser>
          <c:idx val="6"/>
          <c:order val="6"/>
          <c:tx>
            <c:strRef>
              <c:f>'GHG Summary'!$I$2</c:f>
              <c:strCache>
                <c:ptCount val="1"/>
                <c:pt idx="0">
                  <c:v>Air Travel</c:v>
                </c:pt>
              </c:strCache>
            </c:strRef>
          </c:tx>
          <c:spPr>
            <a:solidFill>
              <a:srgbClr val="FFCE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Summary'!$I$28:$I$30</c:f>
              <c:numCache>
                <c:formatCode>_(* #,##0.0_);_(* \(#,##0.0\);_(* "-"??_);_(@_)</c:formatCode>
                <c:ptCount val="3"/>
                <c:pt idx="0">
                  <c:v>1476.31</c:v>
                </c:pt>
                <c:pt idx="1">
                  <c:v>1729.79</c:v>
                </c:pt>
                <c:pt idx="2">
                  <c:v>1861.01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2B-43CE-A7E9-90EA70564D67}"/>
            </c:ext>
          </c:extLst>
        </c:ser>
        <c:ser>
          <c:idx val="7"/>
          <c:order val="7"/>
          <c:tx>
            <c:strRef>
              <c:f>'GHG Summary'!$J$2</c:f>
              <c:strCache>
                <c:ptCount val="1"/>
                <c:pt idx="0">
                  <c:v>Mileage</c:v>
                </c:pt>
              </c:strCache>
            </c:strRef>
          </c:tx>
          <c:spPr>
            <a:solidFill>
              <a:srgbClr val="FFCE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1148290946535019"/>
                  <c:y val="-8.9604699645888508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2B-43CE-A7E9-90EA70564D67}"/>
                </c:ext>
              </c:extLst>
            </c:dLbl>
            <c:dLbl>
              <c:idx val="1"/>
              <c:layout>
                <c:manualLayout>
                  <c:x val="0.11586452762923351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2B-43CE-A7E9-90EA70564D67}"/>
                </c:ext>
              </c:extLst>
            </c:dLbl>
            <c:dLbl>
              <c:idx val="2"/>
              <c:layout>
                <c:manualLayout>
                  <c:x val="0.11340622287626756"/>
                  <c:y val="-3.5841879858355403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2B-43CE-A7E9-90EA70564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Summary'!$J$28:$J$30</c:f>
              <c:numCache>
                <c:formatCode>_(* #,##0.0_);_(* \(#,##0.0\);_(* "-"??_);_(@_)</c:formatCode>
                <c:ptCount val="3"/>
                <c:pt idx="0">
                  <c:v>65.89</c:v>
                </c:pt>
                <c:pt idx="1">
                  <c:v>79.61</c:v>
                </c:pt>
                <c:pt idx="2">
                  <c:v>85.65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22B-43CE-A7E9-90EA70564D67}"/>
            </c:ext>
          </c:extLst>
        </c:ser>
        <c:ser>
          <c:idx val="8"/>
          <c:order val="8"/>
          <c:tx>
            <c:strRef>
              <c:f>'GHG Summary'!$K$2</c:f>
              <c:strCache>
                <c:ptCount val="1"/>
                <c:pt idx="0">
                  <c:v>Landfill</c:v>
                </c:pt>
              </c:strCache>
            </c:strRef>
          </c:tx>
          <c:spPr>
            <a:solidFill>
              <a:srgbClr val="FFCE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Summary'!$B$28:$B$30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Summary'!$K$28:$K$30</c:f>
              <c:numCache>
                <c:formatCode>_(* #,##0.0_);_(* \(#,##0.0\);_(* "-"??_);_(@_)</c:formatCode>
                <c:ptCount val="3"/>
                <c:pt idx="0">
                  <c:v>1750.82</c:v>
                </c:pt>
                <c:pt idx="1">
                  <c:v>1961.28</c:v>
                </c:pt>
                <c:pt idx="2">
                  <c:v>3317.28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22B-43CE-A7E9-90EA70564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071888"/>
        <c:axId val="278069536"/>
      </c:barChart>
      <c:catAx>
        <c:axId val="2780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sa Offc" panose="02010504030101020102" pitchFamily="2" charset="0"/>
                <a:ea typeface="+mn-ea"/>
                <a:cs typeface="Tisa Offc" panose="02010504030101020102" pitchFamily="2" charset="0"/>
              </a:defRPr>
            </a:pPr>
            <a:endParaRPr lang="en-US"/>
          </a:p>
        </c:txPr>
        <c:crossAx val="278069536"/>
        <c:crosses val="autoZero"/>
        <c:auto val="1"/>
        <c:lblAlgn val="ctr"/>
        <c:lblOffset val="100"/>
        <c:noMultiLvlLbl val="0"/>
      </c:catAx>
      <c:valAx>
        <c:axId val="278069536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07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38267803461385E-2"/>
          <c:y val="3.7971941818960943E-2"/>
          <c:w val="0.91848089226943819"/>
          <c:h val="0.77096700402004792"/>
        </c:manualLayout>
      </c:layout>
      <c:areaChart>
        <c:grouping val="stacked"/>
        <c:varyColors val="0"/>
        <c:ser>
          <c:idx val="0"/>
          <c:order val="0"/>
          <c:tx>
            <c:strRef>
              <c:f>'GHG Summary'!$S$2</c:f>
              <c:strCache>
                <c:ptCount val="1"/>
                <c:pt idx="0">
                  <c:v>Scope 1 Emissions</c:v>
                </c:pt>
              </c:strCache>
            </c:strRef>
          </c:tx>
          <c:spPr>
            <a:solidFill>
              <a:srgbClr val="4A4F55"/>
            </a:solidFill>
            <a:ln>
              <a:noFill/>
            </a:ln>
            <a:effectLst/>
          </c:spP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Summary'!$S$3:$S$30</c:f>
              <c:numCache>
                <c:formatCode>_(* #,##0.0_);_(* \(#,##0.0\);_(* "-"??_);_(@_)</c:formatCode>
                <c:ptCount val="28"/>
                <c:pt idx="0">
                  <c:v>3702.52130460841</c:v>
                </c:pt>
                <c:pt idx="1">
                  <c:v>3546.886864652472</c:v>
                </c:pt>
                <c:pt idx="2">
                  <c:v>2845.9289210656962</c:v>
                </c:pt>
                <c:pt idx="3">
                  <c:v>3055.0980928941235</c:v>
                </c:pt>
                <c:pt idx="4">
                  <c:v>2969.3669839616086</c:v>
                </c:pt>
                <c:pt idx="5">
                  <c:v>2542.6022843255282</c:v>
                </c:pt>
                <c:pt idx="6">
                  <c:v>2596.8303472705497</c:v>
                </c:pt>
                <c:pt idx="7">
                  <c:v>3064.9859100494514</c:v>
                </c:pt>
                <c:pt idx="8">
                  <c:v>3403.324106603302</c:v>
                </c:pt>
                <c:pt idx="9">
                  <c:v>3362.8317377687417</c:v>
                </c:pt>
                <c:pt idx="10">
                  <c:v>3294.0313189439821</c:v>
                </c:pt>
                <c:pt idx="11">
                  <c:v>3929.7537124229834</c:v>
                </c:pt>
                <c:pt idx="12">
                  <c:v>2895.904615468357</c:v>
                </c:pt>
                <c:pt idx="13">
                  <c:v>4351.4812639521761</c:v>
                </c:pt>
                <c:pt idx="14">
                  <c:v>5169.0849983550825</c:v>
                </c:pt>
                <c:pt idx="15">
                  <c:v>5136.2751783380008</c:v>
                </c:pt>
                <c:pt idx="16">
                  <c:v>4216.8733220267995</c:v>
                </c:pt>
                <c:pt idx="17">
                  <c:v>4142.2151809909228</c:v>
                </c:pt>
                <c:pt idx="18">
                  <c:v>3942.1907915402771</c:v>
                </c:pt>
                <c:pt idx="19">
                  <c:v>4274.737975652667</c:v>
                </c:pt>
                <c:pt idx="20">
                  <c:v>4465.4062772340103</c:v>
                </c:pt>
                <c:pt idx="21">
                  <c:v>4610.9832397351038</c:v>
                </c:pt>
                <c:pt idx="22">
                  <c:v>4514.0702531815532</c:v>
                </c:pt>
                <c:pt idx="23">
                  <c:v>3909.7600454165763</c:v>
                </c:pt>
                <c:pt idx="24">
                  <c:v>3934.4841059798723</c:v>
                </c:pt>
                <c:pt idx="25">
                  <c:v>3342.1761991498724</c:v>
                </c:pt>
                <c:pt idx="26">
                  <c:v>3790.8609403949445</c:v>
                </c:pt>
                <c:pt idx="27">
                  <c:v>3381.5271661926722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238-B2A1-2C0FF5648186}"/>
            </c:ext>
          </c:extLst>
        </c:ser>
        <c:ser>
          <c:idx val="1"/>
          <c:order val="1"/>
          <c:tx>
            <c:strRef>
              <c:f>'GHG Summary'!$T$2</c:f>
              <c:strCache>
                <c:ptCount val="1"/>
                <c:pt idx="0">
                  <c:v>Scope 2 Emissions</c:v>
                </c:pt>
              </c:strCache>
            </c:strRef>
          </c:tx>
          <c:spPr>
            <a:solidFill>
              <a:srgbClr val="A58629"/>
            </a:solidFill>
            <a:ln>
              <a:noFill/>
            </a:ln>
            <a:effectLst/>
          </c:spP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Summary'!$T$3:$T$30</c:f>
              <c:numCache>
                <c:formatCode>_(* #,##0_);_(* \(#,##0\);_(* "-"??_);_(@_)</c:formatCode>
                <c:ptCount val="28"/>
                <c:pt idx="0">
                  <c:v>25009.165789394701</c:v>
                </c:pt>
                <c:pt idx="1">
                  <c:v>24043.848137644502</c:v>
                </c:pt>
                <c:pt idx="2">
                  <c:v>23521.157313924301</c:v>
                </c:pt>
                <c:pt idx="3">
                  <c:v>21438.583495804731</c:v>
                </c:pt>
                <c:pt idx="4">
                  <c:v>23166.47164406467</c:v>
                </c:pt>
                <c:pt idx="5">
                  <c:v>24915.650454158113</c:v>
                </c:pt>
                <c:pt idx="6">
                  <c:v>24641.652869594636</c:v>
                </c:pt>
                <c:pt idx="7">
                  <c:v>22033.955892564529</c:v>
                </c:pt>
                <c:pt idx="8">
                  <c:v>21623.793891853034</c:v>
                </c:pt>
                <c:pt idx="9">
                  <c:v>23793.638977575723</c:v>
                </c:pt>
                <c:pt idx="10">
                  <c:v>21799.080622536978</c:v>
                </c:pt>
                <c:pt idx="11">
                  <c:v>22836.614330799777</c:v>
                </c:pt>
                <c:pt idx="12">
                  <c:v>23177.782667281008</c:v>
                </c:pt>
                <c:pt idx="13">
                  <c:v>24290.877601063625</c:v>
                </c:pt>
                <c:pt idx="14">
                  <c:v>23925.470269263838</c:v>
                </c:pt>
                <c:pt idx="15">
                  <c:v>22355.635072703924</c:v>
                </c:pt>
                <c:pt idx="16">
                  <c:v>21456.843014129689</c:v>
                </c:pt>
                <c:pt idx="17">
                  <c:v>20983.879913724097</c:v>
                </c:pt>
                <c:pt idx="18">
                  <c:v>21424.10241290112</c:v>
                </c:pt>
                <c:pt idx="19">
                  <c:v>19754.635078100764</c:v>
                </c:pt>
                <c:pt idx="20">
                  <c:v>18575.9856925227</c:v>
                </c:pt>
                <c:pt idx="21">
                  <c:v>20363.277652643297</c:v>
                </c:pt>
                <c:pt idx="22">
                  <c:v>19945.036356049503</c:v>
                </c:pt>
                <c:pt idx="23">
                  <c:v>21089.642786468001</c:v>
                </c:pt>
                <c:pt idx="24">
                  <c:v>20644.288506160174</c:v>
                </c:pt>
                <c:pt idx="25">
                  <c:v>21633.353532400895</c:v>
                </c:pt>
                <c:pt idx="26">
                  <c:v>15272.715149908947</c:v>
                </c:pt>
                <c:pt idx="27">
                  <c:v>14715.730678196689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4-4238-B2A1-2C0FF5648186}"/>
            </c:ext>
          </c:extLst>
        </c:ser>
        <c:ser>
          <c:idx val="2"/>
          <c:order val="2"/>
          <c:tx>
            <c:strRef>
              <c:f>'GHG Summary'!$U$2</c:f>
              <c:strCache>
                <c:ptCount val="1"/>
                <c:pt idx="0">
                  <c:v>Scope 3 Emissions</c:v>
                </c:pt>
              </c:strCache>
            </c:strRef>
          </c:tx>
          <c:spPr>
            <a:solidFill>
              <a:srgbClr val="FFCE00"/>
            </a:solidFill>
            <a:ln>
              <a:noFill/>
            </a:ln>
            <a:effectLst/>
          </c:spP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Summary'!$U$3:$U$30</c:f>
              <c:numCache>
                <c:formatCode>_(* #,##0_);_(* \(#,##0\);_(* "-"??_);_(@_)</c:formatCode>
                <c:ptCount val="28"/>
                <c:pt idx="25">
                  <c:v>35830.451890173674</c:v>
                </c:pt>
                <c:pt idx="26">
                  <c:v>30248.064483131198</c:v>
                </c:pt>
                <c:pt idx="27">
                  <c:v>32855.916350566607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4-4238-B2A1-2C0FF5648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579544"/>
        <c:axId val="277578368"/>
      </c:areaChart>
      <c:lineChart>
        <c:grouping val="standard"/>
        <c:varyColors val="0"/>
        <c:ser>
          <c:idx val="4"/>
          <c:order val="3"/>
          <c:tx>
            <c:strRef>
              <c:f>'GHG Summary'!$V$2</c:f>
              <c:strCache>
                <c:ptCount val="1"/>
                <c:pt idx="0">
                  <c:v>Scopes 1 &amp; 2 Targets</c:v>
                </c:pt>
              </c:strCache>
            </c:strRef>
          </c:tx>
          <c:spPr>
            <a:ln w="28575" cap="rnd">
              <a:solidFill>
                <a:srgbClr val="A58629"/>
              </a:solidFill>
              <a:round/>
            </a:ln>
            <a:effectLst/>
          </c:spPr>
          <c:marker>
            <c:symbol val="none"/>
          </c:marke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Summary'!$V$3:$V$58</c:f>
              <c:numCache>
                <c:formatCode>_(* #,##0_);_(* \(#,##0\);_(* "-"??_);_(@_)</c:formatCode>
                <c:ptCount val="56"/>
                <c:pt idx="0">
                  <c:v>28711.687094003111</c:v>
                </c:pt>
                <c:pt idx="1">
                  <c:v>27590.735002296973</c:v>
                </c:pt>
                <c:pt idx="2">
                  <c:v>26367.086234989998</c:v>
                </c:pt>
                <c:pt idx="3">
                  <c:v>24493.681588698855</c:v>
                </c:pt>
                <c:pt idx="4">
                  <c:v>26135.838628026278</c:v>
                </c:pt>
                <c:pt idx="5">
                  <c:v>27458.252738483639</c:v>
                </c:pt>
                <c:pt idx="6">
                  <c:v>27238.483216865185</c:v>
                </c:pt>
                <c:pt idx="7">
                  <c:v>25098.941802613979</c:v>
                </c:pt>
                <c:pt idx="8">
                  <c:v>25027.117998456335</c:v>
                </c:pt>
                <c:pt idx="9">
                  <c:v>27156.470715344465</c:v>
                </c:pt>
                <c:pt idx="10">
                  <c:v>25093.111941480958</c:v>
                </c:pt>
                <c:pt idx="11">
                  <c:v>26766.368043222759</c:v>
                </c:pt>
                <c:pt idx="12">
                  <c:v>26073.687282749364</c:v>
                </c:pt>
                <c:pt idx="13">
                  <c:v>28642.358865015802</c:v>
                </c:pt>
                <c:pt idx="14">
                  <c:v>29094.555267618922</c:v>
                </c:pt>
                <c:pt idx="15">
                  <c:v>27491.910251041925</c:v>
                </c:pt>
                <c:pt idx="16">
                  <c:v>25673.716336156489</c:v>
                </c:pt>
                <c:pt idx="17">
                  <c:v>25126.09509471502</c:v>
                </c:pt>
                <c:pt idx="18">
                  <c:v>25366.293204441397</c:v>
                </c:pt>
                <c:pt idx="19">
                  <c:v>24029.373053753432</c:v>
                </c:pt>
                <c:pt idx="20">
                  <c:v>23041.391969756711</c:v>
                </c:pt>
                <c:pt idx="21">
                  <c:v>24974.260892378399</c:v>
                </c:pt>
                <c:pt idx="22">
                  <c:v>24459.106609231058</c:v>
                </c:pt>
                <c:pt idx="23">
                  <c:v>24999.402831884578</c:v>
                </c:pt>
                <c:pt idx="24">
                  <c:v>24578.772612140045</c:v>
                </c:pt>
                <c:pt idx="25">
                  <c:v>24975.529731550767</c:v>
                </c:pt>
                <c:pt idx="26">
                  <c:v>19063.57609030389</c:v>
                </c:pt>
                <c:pt idx="27">
                  <c:v>18097.257844389362</c:v>
                </c:pt>
                <c:pt idx="28">
                  <c:v>17588.597613097962</c:v>
                </c:pt>
                <c:pt idx="29">
                  <c:v>17079.937381806569</c:v>
                </c:pt>
                <c:pt idx="30">
                  <c:v>16571.277150515176</c:v>
                </c:pt>
                <c:pt idx="31">
                  <c:v>16062.616919223781</c:v>
                </c:pt>
                <c:pt idx="32">
                  <c:v>15553.956687932388</c:v>
                </c:pt>
                <c:pt idx="33">
                  <c:v>15045.296456640996</c:v>
                </c:pt>
                <c:pt idx="34">
                  <c:v>14536.636225349603</c:v>
                </c:pt>
                <c:pt idx="35">
                  <c:v>14027.97599405821</c:v>
                </c:pt>
                <c:pt idx="36">
                  <c:v>13519.315762766817</c:v>
                </c:pt>
                <c:pt idx="37">
                  <c:v>13010.655531475424</c:v>
                </c:pt>
                <c:pt idx="38">
                  <c:v>12501.995300184031</c:v>
                </c:pt>
                <c:pt idx="39">
                  <c:v>11993.335068892638</c:v>
                </c:pt>
                <c:pt idx="40">
                  <c:v>11484.674837601246</c:v>
                </c:pt>
                <c:pt idx="41">
                  <c:v>10336.20735384112</c:v>
                </c:pt>
                <c:pt idx="42">
                  <c:v>9187.7398700809954</c:v>
                </c:pt>
                <c:pt idx="43">
                  <c:v>8039.2723863208703</c:v>
                </c:pt>
                <c:pt idx="44">
                  <c:v>6890.8049025607452</c:v>
                </c:pt>
                <c:pt idx="45">
                  <c:v>5742.3374188006201</c:v>
                </c:pt>
                <c:pt idx="46">
                  <c:v>4593.869935040495</c:v>
                </c:pt>
                <c:pt idx="47">
                  <c:v>3445.4024512803703</c:v>
                </c:pt>
                <c:pt idx="48">
                  <c:v>2296.9349675202457</c:v>
                </c:pt>
                <c:pt idx="49">
                  <c:v>1148.467483760121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4-4238-B2A1-2C0FF5648186}"/>
            </c:ext>
          </c:extLst>
        </c:ser>
        <c:ser>
          <c:idx val="5"/>
          <c:order val="4"/>
          <c:tx>
            <c:strRef>
              <c:f>'GHG Summary'!$W$2</c:f>
              <c:strCache>
                <c:ptCount val="1"/>
                <c:pt idx="0">
                  <c:v>Scope 3 Targets</c:v>
                </c:pt>
              </c:strCache>
            </c:strRef>
          </c:tx>
          <c:spPr>
            <a:ln w="28575" cap="rnd" cmpd="sng">
              <a:solidFill>
                <a:srgbClr val="FFCE00"/>
              </a:solidFill>
              <a:round/>
            </a:ln>
            <a:effectLst/>
          </c:spPr>
          <c:marker>
            <c:symbol val="none"/>
          </c:marke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Summary'!$W$3:$W$58</c:f>
              <c:numCache>
                <c:formatCode>_(* #,##0_);_(* \(#,##0\);_(* "-"??_);_(@_)</c:formatCode>
                <c:ptCount val="56"/>
                <c:pt idx="0">
                  <c:v>28711.687094003111</c:v>
                </c:pt>
                <c:pt idx="1">
                  <c:v>27590.735002296973</c:v>
                </c:pt>
                <c:pt idx="2">
                  <c:v>26367.086234989998</c:v>
                </c:pt>
                <c:pt idx="3">
                  <c:v>24493.681588698855</c:v>
                </c:pt>
                <c:pt idx="4">
                  <c:v>26135.838628026278</c:v>
                </c:pt>
                <c:pt idx="5">
                  <c:v>27458.252738483639</c:v>
                </c:pt>
                <c:pt idx="6">
                  <c:v>27238.483216865185</c:v>
                </c:pt>
                <c:pt idx="7">
                  <c:v>25098.941802613979</c:v>
                </c:pt>
                <c:pt idx="8">
                  <c:v>25027.117998456335</c:v>
                </c:pt>
                <c:pt idx="9">
                  <c:v>27156.470715344465</c:v>
                </c:pt>
                <c:pt idx="10">
                  <c:v>25093.111941480958</c:v>
                </c:pt>
                <c:pt idx="11">
                  <c:v>26766.368043222759</c:v>
                </c:pt>
                <c:pt idx="12">
                  <c:v>26073.687282749364</c:v>
                </c:pt>
                <c:pt idx="13">
                  <c:v>28642.358865015802</c:v>
                </c:pt>
                <c:pt idx="14">
                  <c:v>29094.555267618922</c:v>
                </c:pt>
                <c:pt idx="15">
                  <c:v>27491.910251041925</c:v>
                </c:pt>
                <c:pt idx="16">
                  <c:v>25673.716336156489</c:v>
                </c:pt>
                <c:pt idx="17">
                  <c:v>25126.09509471502</c:v>
                </c:pt>
                <c:pt idx="18">
                  <c:v>25366.293204441397</c:v>
                </c:pt>
                <c:pt idx="19">
                  <c:v>24029.373053753432</c:v>
                </c:pt>
                <c:pt idx="20">
                  <c:v>23041.391969756711</c:v>
                </c:pt>
                <c:pt idx="21">
                  <c:v>24974.260892378399</c:v>
                </c:pt>
                <c:pt idx="22">
                  <c:v>24459.106609231058</c:v>
                </c:pt>
                <c:pt idx="23">
                  <c:v>24999.402831884578</c:v>
                </c:pt>
                <c:pt idx="24">
                  <c:v>24578.772612140045</c:v>
                </c:pt>
                <c:pt idx="25">
                  <c:v>60805.981621724437</c:v>
                </c:pt>
                <c:pt idx="26">
                  <c:v>49311.640573435085</c:v>
                </c:pt>
                <c:pt idx="27">
                  <c:v>50953.174194955966</c:v>
                </c:pt>
                <c:pt idx="28">
                  <c:v>49133.417973707539</c:v>
                </c:pt>
                <c:pt idx="29">
                  <c:v>47313.661752459113</c:v>
                </c:pt>
                <c:pt idx="30">
                  <c:v>45493.905531210687</c:v>
                </c:pt>
                <c:pt idx="31">
                  <c:v>43674.14930996226</c:v>
                </c:pt>
                <c:pt idx="32">
                  <c:v>41854.393088713834</c:v>
                </c:pt>
                <c:pt idx="33">
                  <c:v>40034.636867465408</c:v>
                </c:pt>
                <c:pt idx="34">
                  <c:v>38214.880646216981</c:v>
                </c:pt>
                <c:pt idx="35">
                  <c:v>36395.124424968555</c:v>
                </c:pt>
                <c:pt idx="36">
                  <c:v>34575.368203720129</c:v>
                </c:pt>
                <c:pt idx="37">
                  <c:v>32755.611982471703</c:v>
                </c:pt>
                <c:pt idx="38">
                  <c:v>30935.855761223276</c:v>
                </c:pt>
                <c:pt idx="39">
                  <c:v>29116.09953997485</c:v>
                </c:pt>
                <c:pt idx="40">
                  <c:v>27296.343318726424</c:v>
                </c:pt>
                <c:pt idx="41">
                  <c:v>25476.587097477997</c:v>
                </c:pt>
                <c:pt idx="42">
                  <c:v>23656.830876229571</c:v>
                </c:pt>
                <c:pt idx="43">
                  <c:v>21837.074654981145</c:v>
                </c:pt>
                <c:pt idx="44">
                  <c:v>20017.318433732718</c:v>
                </c:pt>
                <c:pt idx="45">
                  <c:v>18197.562212484292</c:v>
                </c:pt>
                <c:pt idx="46">
                  <c:v>16377.805991235864</c:v>
                </c:pt>
                <c:pt idx="47">
                  <c:v>14558.049769987436</c:v>
                </c:pt>
                <c:pt idx="48">
                  <c:v>12738.293548739008</c:v>
                </c:pt>
                <c:pt idx="49">
                  <c:v>10918.53732749058</c:v>
                </c:pt>
                <c:pt idx="50">
                  <c:v>9098.7811062421515</c:v>
                </c:pt>
                <c:pt idx="51">
                  <c:v>7279.0248849937243</c:v>
                </c:pt>
                <c:pt idx="52">
                  <c:v>5459.2686637452971</c:v>
                </c:pt>
                <c:pt idx="53">
                  <c:v>3639.5124424968699</c:v>
                </c:pt>
                <c:pt idx="54">
                  <c:v>1819.7562212484424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44-4238-B2A1-2C0FF5648186}"/>
            </c:ext>
          </c:extLst>
        </c:ser>
        <c:ser>
          <c:idx val="6"/>
          <c:order val="5"/>
          <c:tx>
            <c:strRef>
              <c:f>'GHG Summary'!$X$2</c:f>
              <c:strCache>
                <c:ptCount val="1"/>
                <c:pt idx="0">
                  <c:v>Scope 1 BAU</c:v>
                </c:pt>
              </c:strCache>
            </c:strRef>
          </c:tx>
          <c:spPr>
            <a:ln w="28575" cap="rnd">
              <a:solidFill>
                <a:srgbClr val="4A4F5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Summary'!$X$3:$X$58</c:f>
              <c:numCache>
                <c:formatCode>_(* #,##0_);_(* \(#,##0\);_(* "-"??_);_(@_)</c:formatCode>
                <c:ptCount val="56"/>
                <c:pt idx="0">
                  <c:v>3702.52130460841</c:v>
                </c:pt>
                <c:pt idx="1">
                  <c:v>3546.886864652472</c:v>
                </c:pt>
                <c:pt idx="2">
                  <c:v>2845.9289210656962</c:v>
                </c:pt>
                <c:pt idx="3">
                  <c:v>3055.0980928941235</c:v>
                </c:pt>
                <c:pt idx="4">
                  <c:v>2969.3669839616086</c:v>
                </c:pt>
                <c:pt idx="5">
                  <c:v>2542.6022843255282</c:v>
                </c:pt>
                <c:pt idx="6">
                  <c:v>2596.8303472705497</c:v>
                </c:pt>
                <c:pt idx="7">
                  <c:v>3064.9859100494514</c:v>
                </c:pt>
                <c:pt idx="8">
                  <c:v>3403.324106603302</c:v>
                </c:pt>
                <c:pt idx="9">
                  <c:v>3362.8317377687417</c:v>
                </c:pt>
                <c:pt idx="10">
                  <c:v>3294.0313189439821</c:v>
                </c:pt>
                <c:pt idx="11">
                  <c:v>3929.7537124229834</c:v>
                </c:pt>
                <c:pt idx="12">
                  <c:v>2895.904615468357</c:v>
                </c:pt>
                <c:pt idx="13">
                  <c:v>4351.4812639521761</c:v>
                </c:pt>
                <c:pt idx="14">
                  <c:v>5169.0849983550825</c:v>
                </c:pt>
                <c:pt idx="15">
                  <c:v>5136.2751783380008</c:v>
                </c:pt>
                <c:pt idx="16">
                  <c:v>4216.8733220267995</c:v>
                </c:pt>
                <c:pt idx="17">
                  <c:v>4142.2151809909228</c:v>
                </c:pt>
                <c:pt idx="18">
                  <c:v>3942.1907915402771</c:v>
                </c:pt>
                <c:pt idx="19">
                  <c:v>4274.737975652667</c:v>
                </c:pt>
                <c:pt idx="20">
                  <c:v>4465.4062772340103</c:v>
                </c:pt>
                <c:pt idx="21">
                  <c:v>4610.9832397351038</c:v>
                </c:pt>
                <c:pt idx="22">
                  <c:v>4514.0702531815532</c:v>
                </c:pt>
                <c:pt idx="23">
                  <c:v>3909.7600454165763</c:v>
                </c:pt>
                <c:pt idx="24">
                  <c:v>3934.4841059798723</c:v>
                </c:pt>
                <c:pt idx="25">
                  <c:v>3342.1761991498724</c:v>
                </c:pt>
                <c:pt idx="26">
                  <c:v>3790.8609403949445</c:v>
                </c:pt>
                <c:pt idx="27">
                  <c:v>3381.5271661926722</c:v>
                </c:pt>
                <c:pt idx="28">
                  <c:v>3894.6931035823463</c:v>
                </c:pt>
                <c:pt idx="29">
                  <c:v>4407.8590409720209</c:v>
                </c:pt>
                <c:pt idx="30">
                  <c:v>4436.450892832765</c:v>
                </c:pt>
                <c:pt idx="31">
                  <c:v>4604.0503401689848</c:v>
                </c:pt>
                <c:pt idx="32">
                  <c:v>4324.3625475842809</c:v>
                </c:pt>
                <c:pt idx="33">
                  <c:v>4494.4611256122625</c:v>
                </c:pt>
                <c:pt idx="34">
                  <c:v>4608.125627561265</c:v>
                </c:pt>
                <c:pt idx="35">
                  <c:v>4484.1695087034286</c:v>
                </c:pt>
                <c:pt idx="36">
                  <c:v>4693.9629949255141</c:v>
                </c:pt>
                <c:pt idx="37">
                  <c:v>4736.8816786076395</c:v>
                </c:pt>
                <c:pt idx="38">
                  <c:v>4779.8003622897641</c:v>
                </c:pt>
                <c:pt idx="39">
                  <c:v>4822.7190459718895</c:v>
                </c:pt>
                <c:pt idx="40">
                  <c:v>4865.637729654014</c:v>
                </c:pt>
                <c:pt idx="41">
                  <c:v>4908.5564133361386</c:v>
                </c:pt>
                <c:pt idx="42">
                  <c:v>4951.475097018264</c:v>
                </c:pt>
                <c:pt idx="43">
                  <c:v>4994.3937807003895</c:v>
                </c:pt>
                <c:pt idx="44">
                  <c:v>5037.312464382514</c:v>
                </c:pt>
                <c:pt idx="45">
                  <c:v>5080.2311480646385</c:v>
                </c:pt>
                <c:pt idx="46">
                  <c:v>5123.1498317467631</c:v>
                </c:pt>
                <c:pt idx="47">
                  <c:v>5166.0685154288885</c:v>
                </c:pt>
                <c:pt idx="48">
                  <c:v>5208.987199111014</c:v>
                </c:pt>
                <c:pt idx="49">
                  <c:v>5251.9058827931385</c:v>
                </c:pt>
                <c:pt idx="50">
                  <c:v>5294.8245664752631</c:v>
                </c:pt>
                <c:pt idx="51">
                  <c:v>5337.7432501573876</c:v>
                </c:pt>
                <c:pt idx="52">
                  <c:v>5380.661933839513</c:v>
                </c:pt>
                <c:pt idx="53">
                  <c:v>5423.5806175216385</c:v>
                </c:pt>
                <c:pt idx="54">
                  <c:v>5466.499301203763</c:v>
                </c:pt>
                <c:pt idx="55">
                  <c:v>5509.4179848858876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44-4238-B2A1-2C0FF5648186}"/>
            </c:ext>
          </c:extLst>
        </c:ser>
        <c:ser>
          <c:idx val="7"/>
          <c:order val="6"/>
          <c:tx>
            <c:strRef>
              <c:f>'GHG Summary'!$Y$2</c:f>
              <c:strCache>
                <c:ptCount val="1"/>
                <c:pt idx="0">
                  <c:v>Scope 2 BAU</c:v>
                </c:pt>
              </c:strCache>
            </c:strRef>
          </c:tx>
          <c:spPr>
            <a:ln w="28575" cap="rnd">
              <a:solidFill>
                <a:srgbClr val="A58629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'GHG Summary'!$Q$3:$Q$58</c:f>
              <c:numCache>
                <c:formatCode>General</c:formatCode>
                <c:ptCount val="5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</c:numCache>
            </c:numRef>
          </c:cat>
          <c:val>
            <c:numRef>
              <c:f>'GHG Summary'!$Y$3:$Y$58</c:f>
              <c:numCache>
                <c:formatCode>_(* #,##0_);_(* \(#,##0\);_(* "-"??_);_(@_)</c:formatCode>
                <c:ptCount val="56"/>
                <c:pt idx="0">
                  <c:v>28711.687094003111</c:v>
                </c:pt>
                <c:pt idx="1">
                  <c:v>27590.735002296973</c:v>
                </c:pt>
                <c:pt idx="2">
                  <c:v>26367.086234989998</c:v>
                </c:pt>
                <c:pt idx="3">
                  <c:v>24493.681588698855</c:v>
                </c:pt>
                <c:pt idx="4">
                  <c:v>26135.838628026278</c:v>
                </c:pt>
                <c:pt idx="5">
                  <c:v>27458.252738483639</c:v>
                </c:pt>
                <c:pt idx="6">
                  <c:v>27238.483216865185</c:v>
                </c:pt>
                <c:pt idx="7">
                  <c:v>25098.941802613979</c:v>
                </c:pt>
                <c:pt idx="8">
                  <c:v>25027.117998456335</c:v>
                </c:pt>
                <c:pt idx="9">
                  <c:v>27156.470715344465</c:v>
                </c:pt>
                <c:pt idx="10">
                  <c:v>25093.111941480958</c:v>
                </c:pt>
                <c:pt idx="11">
                  <c:v>26766.368043222759</c:v>
                </c:pt>
                <c:pt idx="12">
                  <c:v>26073.687282749364</c:v>
                </c:pt>
                <c:pt idx="13">
                  <c:v>28642.358865015802</c:v>
                </c:pt>
                <c:pt idx="14">
                  <c:v>29094.555267618922</c:v>
                </c:pt>
                <c:pt idx="15">
                  <c:v>27491.910251041925</c:v>
                </c:pt>
                <c:pt idx="16">
                  <c:v>25673.716336156489</c:v>
                </c:pt>
                <c:pt idx="17">
                  <c:v>25126.09509471502</c:v>
                </c:pt>
                <c:pt idx="18">
                  <c:v>25366.293204441397</c:v>
                </c:pt>
                <c:pt idx="19">
                  <c:v>24029.373053753432</c:v>
                </c:pt>
                <c:pt idx="20">
                  <c:v>23041.391969756711</c:v>
                </c:pt>
                <c:pt idx="21">
                  <c:v>24974.260892378399</c:v>
                </c:pt>
                <c:pt idx="22">
                  <c:v>24459.106609231058</c:v>
                </c:pt>
                <c:pt idx="23">
                  <c:v>24999.402831884578</c:v>
                </c:pt>
                <c:pt idx="24">
                  <c:v>24578.772612140045</c:v>
                </c:pt>
                <c:pt idx="25">
                  <c:v>24975.529731550767</c:v>
                </c:pt>
                <c:pt idx="26">
                  <c:v>19063.57609030389</c:v>
                </c:pt>
                <c:pt idx="27">
                  <c:v>18097.257844389362</c:v>
                </c:pt>
                <c:pt idx="28">
                  <c:v>18148.722839786016</c:v>
                </c:pt>
                <c:pt idx="29">
                  <c:v>18200.187835182674</c:v>
                </c:pt>
                <c:pt idx="30">
                  <c:v>17901.80915118731</c:v>
                </c:pt>
                <c:pt idx="31">
                  <c:v>18222.595786161273</c:v>
                </c:pt>
                <c:pt idx="32">
                  <c:v>16574.238634722751</c:v>
                </c:pt>
                <c:pt idx="33">
                  <c:v>16902.2349795052</c:v>
                </c:pt>
                <c:pt idx="34">
                  <c:v>16973.824618112078</c:v>
                </c:pt>
                <c:pt idx="35">
                  <c:v>16050.511418767586</c:v>
                </c:pt>
                <c:pt idx="36">
                  <c:v>16509.832351574463</c:v>
                </c:pt>
                <c:pt idx="37">
                  <c:v>16277.836218305654</c:v>
                </c:pt>
                <c:pt idx="38">
                  <c:v>16045.840085036845</c:v>
                </c:pt>
                <c:pt idx="39">
                  <c:v>15813.843951768038</c:v>
                </c:pt>
                <c:pt idx="40">
                  <c:v>15581.847818499229</c:v>
                </c:pt>
                <c:pt idx="41">
                  <c:v>15349.851685230422</c:v>
                </c:pt>
                <c:pt idx="42">
                  <c:v>15117.855551961615</c:v>
                </c:pt>
                <c:pt idx="43">
                  <c:v>14885.859418692806</c:v>
                </c:pt>
                <c:pt idx="44">
                  <c:v>14653.863285423999</c:v>
                </c:pt>
                <c:pt idx="45">
                  <c:v>14421.86715215519</c:v>
                </c:pt>
                <c:pt idx="46">
                  <c:v>14189.871018886382</c:v>
                </c:pt>
                <c:pt idx="47">
                  <c:v>13957.874885617573</c:v>
                </c:pt>
                <c:pt idx="48">
                  <c:v>13725.878752348766</c:v>
                </c:pt>
                <c:pt idx="49">
                  <c:v>13493.882619079959</c:v>
                </c:pt>
                <c:pt idx="50">
                  <c:v>13261.88648581115</c:v>
                </c:pt>
                <c:pt idx="51">
                  <c:v>13029.890352542343</c:v>
                </c:pt>
                <c:pt idx="52">
                  <c:v>12797.894219273534</c:v>
                </c:pt>
                <c:pt idx="53">
                  <c:v>12565.898086004727</c:v>
                </c:pt>
                <c:pt idx="54">
                  <c:v>12333.90195273592</c:v>
                </c:pt>
                <c:pt idx="55">
                  <c:v>12101.905819467111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44-4238-B2A1-2C0FF5648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579544"/>
        <c:axId val="277578368"/>
      </c:lineChart>
      <c:catAx>
        <c:axId val="27757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578368"/>
        <c:crosses val="autoZero"/>
        <c:auto val="1"/>
        <c:lblAlgn val="ctr"/>
        <c:lblOffset val="100"/>
        <c:noMultiLvlLbl val="0"/>
      </c:catAx>
      <c:valAx>
        <c:axId val="277578368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57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13156942648322"/>
          <c:y val="0.90555495393311047"/>
          <c:w val="0.7440054988819671"/>
          <c:h val="7.9630228371775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58380399179119E-2"/>
          <c:y val="2.1929824561403508E-2"/>
          <c:w val="0.91635204323794817"/>
          <c:h val="0.900960713244177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'GHG Summary'!$S$1</c:f>
              <c:strCache>
                <c:ptCount val="1"/>
                <c:pt idx="0">
                  <c:v>Scope 1</c:v>
                </c:pt>
              </c:strCache>
            </c:strRef>
          </c:tx>
          <c:spPr>
            <a:solidFill>
              <a:srgbClr val="4A4F5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EAE3-4A64-98DC-ACFE3ACC5CA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AE3-4A64-98DC-ACFE3ACC5C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EAE3-4A64-98DC-ACFE3ACC5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Summary'!$R$28:$R$30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Summary'!$S$28:$S$30</c:f>
              <c:numCache>
                <c:formatCode>_(* #,##0.0_);_(* \(#,##0.0\);_(* "-"??_);_(@_)</c:formatCode>
                <c:ptCount val="3"/>
                <c:pt idx="0">
                  <c:v>3342.1761991498724</c:v>
                </c:pt>
                <c:pt idx="1">
                  <c:v>3790.8609403949445</c:v>
                </c:pt>
                <c:pt idx="2">
                  <c:v>3381.5271661926722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E3-4A64-98DC-ACFE3ACC5CA3}"/>
            </c:ext>
          </c:extLst>
        </c:ser>
        <c:ser>
          <c:idx val="1"/>
          <c:order val="1"/>
          <c:tx>
            <c:strRef>
              <c:f>'GHG Summary'!$T$1</c:f>
              <c:strCache>
                <c:ptCount val="1"/>
                <c:pt idx="0">
                  <c:v>Scope 2</c:v>
                </c:pt>
              </c:strCache>
            </c:strRef>
          </c:tx>
          <c:spPr>
            <a:solidFill>
              <a:srgbClr val="A5862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EAE3-4A64-98DC-ACFE3ACC5CA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EAE3-4A64-98DC-ACFE3ACC5C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EAE3-4A64-98DC-ACFE3ACC5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Summary'!$R$28:$R$30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Summary'!$T$28:$T$30</c:f>
              <c:numCache>
                <c:formatCode>_(* #,##0_);_(* \(#,##0\);_(* "-"??_);_(@_)</c:formatCode>
                <c:ptCount val="3"/>
                <c:pt idx="0">
                  <c:v>21633.353532400895</c:v>
                </c:pt>
                <c:pt idx="1">
                  <c:v>15272.715149908947</c:v>
                </c:pt>
                <c:pt idx="2">
                  <c:v>14715.730678196689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E3-4A64-98DC-ACFE3ACC5CA3}"/>
            </c:ext>
          </c:extLst>
        </c:ser>
        <c:ser>
          <c:idx val="2"/>
          <c:order val="2"/>
          <c:tx>
            <c:strRef>
              <c:f>'GHG Summary'!$U$1</c:f>
              <c:strCache>
                <c:ptCount val="1"/>
                <c:pt idx="0">
                  <c:v>Scope 3</c:v>
                </c:pt>
              </c:strCache>
            </c:strRef>
          </c:tx>
          <c:spPr>
            <a:solidFill>
              <a:srgbClr val="FFCE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EAE3-4A64-98DC-ACFE3ACC5CA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EAE3-4A64-98DC-ACFE3ACC5C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EAE3-4A64-98DC-ACFE3ACC5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Summary'!$R$28:$R$30</c:f>
              <c:strCache>
                <c:ptCount val="3"/>
                <c:pt idx="0">
                  <c:v>FY 15-16 (60,806 MTCO2e)</c:v>
                </c:pt>
                <c:pt idx="1">
                  <c:v>FY 16-17 (49,312 MTCO2e)</c:v>
                </c:pt>
                <c:pt idx="2">
                  <c:v>FY 17-18 (50,953 MTCO2e)</c:v>
                </c:pt>
              </c:strCache>
            </c:strRef>
          </c:cat>
          <c:val>
            <c:numRef>
              <c:f>'GHG Summary'!$U$28:$U$30</c:f>
              <c:numCache>
                <c:formatCode>_(* #,##0_);_(* \(#,##0\);_(* "-"??_);_(@_)</c:formatCode>
                <c:ptCount val="3"/>
                <c:pt idx="0">
                  <c:v>35830.451890173674</c:v>
                </c:pt>
                <c:pt idx="1">
                  <c:v>30248.064483131198</c:v>
                </c:pt>
                <c:pt idx="2">
                  <c:v>32855.916350566607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E3-4A64-98DC-ACFE3ACC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071888"/>
        <c:axId val="278069536"/>
      </c:barChart>
      <c:catAx>
        <c:axId val="2780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sa Offc" panose="02010504030101020102" pitchFamily="2" charset="0"/>
                <a:ea typeface="+mn-ea"/>
                <a:cs typeface="Tisa Offc" panose="02010504030101020102" pitchFamily="2" charset="0"/>
              </a:defRPr>
            </a:pPr>
            <a:endParaRPr lang="en-US"/>
          </a:p>
        </c:txPr>
        <c:crossAx val="278069536"/>
        <c:crosses val="autoZero"/>
        <c:auto val="1"/>
        <c:lblAlgn val="ctr"/>
        <c:lblOffset val="100"/>
        <c:noMultiLvlLbl val="0"/>
      </c:catAx>
      <c:valAx>
        <c:axId val="278069536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07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Refrigerant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Refrigerants!$P$2</c:f>
              <c:strCache>
                <c:ptCount val="1"/>
                <c:pt idx="0">
                  <c:v>R22 (lbs)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Refrigerants!$Q$1:$U$1</c:f>
              <c:strCache>
                <c:ptCount val="5"/>
                <c:pt idx="0">
                  <c:v>FY 13-14</c:v>
                </c:pt>
                <c:pt idx="1">
                  <c:v>FY 14-15</c:v>
                </c:pt>
                <c:pt idx="2">
                  <c:v>FY 15-16</c:v>
                </c:pt>
                <c:pt idx="3">
                  <c:v>FY 16-17</c:v>
                </c:pt>
                <c:pt idx="4">
                  <c:v>FY 17-18</c:v>
                </c:pt>
              </c:strCache>
            </c:strRef>
          </c:cat>
          <c:val>
            <c:numRef>
              <c:f>Refrigerants!$Q$2:$U$2</c:f>
              <c:numCache>
                <c:formatCode>_(* #,##0.00_);_(* \(#,##0.00\);_(* "-"??_);_(@_)</c:formatCode>
                <c:ptCount val="5"/>
                <c:pt idx="0">
                  <c:v>17</c:v>
                </c:pt>
                <c:pt idx="1">
                  <c:v>15.15625</c:v>
                </c:pt>
                <c:pt idx="2">
                  <c:v>36.3125</c:v>
                </c:pt>
                <c:pt idx="3">
                  <c:v>38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54-4DBF-9E26-431BBB506ED6}"/>
            </c:ext>
          </c:extLst>
        </c:ser>
        <c:ser>
          <c:idx val="1"/>
          <c:order val="1"/>
          <c:tx>
            <c:strRef>
              <c:f>Refrigerants!$P$3</c:f>
              <c:strCache>
                <c:ptCount val="1"/>
                <c:pt idx="0">
                  <c:v>R134A (lbs)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Refrigerants!$Q$1:$U$1</c:f>
              <c:strCache>
                <c:ptCount val="5"/>
                <c:pt idx="0">
                  <c:v>FY 13-14</c:v>
                </c:pt>
                <c:pt idx="1">
                  <c:v>FY 14-15</c:v>
                </c:pt>
                <c:pt idx="2">
                  <c:v>FY 15-16</c:v>
                </c:pt>
                <c:pt idx="3">
                  <c:v>FY 16-17</c:v>
                </c:pt>
                <c:pt idx="4">
                  <c:v>FY 17-18</c:v>
                </c:pt>
              </c:strCache>
            </c:strRef>
          </c:cat>
          <c:val>
            <c:numRef>
              <c:f>Refrigerants!$Q$3:$U$3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0.53125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4-4DBF-9E26-431BBB506ED6}"/>
            </c:ext>
          </c:extLst>
        </c:ser>
        <c:ser>
          <c:idx val="2"/>
          <c:order val="2"/>
          <c:tx>
            <c:strRef>
              <c:f>Refrigerants!$P$4</c:f>
              <c:strCache>
                <c:ptCount val="1"/>
                <c:pt idx="0">
                  <c:v>R404 (lbs)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Refrigerants!$Q$1:$U$1</c:f>
              <c:strCache>
                <c:ptCount val="5"/>
                <c:pt idx="0">
                  <c:v>FY 13-14</c:v>
                </c:pt>
                <c:pt idx="1">
                  <c:v>FY 14-15</c:v>
                </c:pt>
                <c:pt idx="2">
                  <c:v>FY 15-16</c:v>
                </c:pt>
                <c:pt idx="3">
                  <c:v>FY 16-17</c:v>
                </c:pt>
                <c:pt idx="4">
                  <c:v>FY 17-18</c:v>
                </c:pt>
              </c:strCache>
            </c:strRef>
          </c:cat>
          <c:val>
            <c:numRef>
              <c:f>Refrigerants!$Q$4:$U$4</c:f>
              <c:numCache>
                <c:formatCode>_(* #,##0.00_);_(* \(#,##0.00\);_(* "-"??_);_(@_)</c:formatCode>
                <c:ptCount val="5"/>
                <c:pt idx="0">
                  <c:v>1</c:v>
                </c:pt>
                <c:pt idx="1">
                  <c:v>19.987500000000001</c:v>
                </c:pt>
                <c:pt idx="2">
                  <c:v>21.015625</c:v>
                </c:pt>
                <c:pt idx="3">
                  <c:v>2</c:v>
                </c:pt>
                <c:pt idx="4">
                  <c:v>37.958333333333336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54-4DBF-9E26-431BBB506ED6}"/>
            </c:ext>
          </c:extLst>
        </c:ser>
        <c:ser>
          <c:idx val="3"/>
          <c:order val="3"/>
          <c:tx>
            <c:strRef>
              <c:f>Refrigerants!$P$5</c:f>
              <c:strCache>
                <c:ptCount val="1"/>
                <c:pt idx="0">
                  <c:v>R410A (lbs)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Refrigerants!$Q$1:$U$1</c:f>
              <c:strCache>
                <c:ptCount val="5"/>
                <c:pt idx="0">
                  <c:v>FY 13-14</c:v>
                </c:pt>
                <c:pt idx="1">
                  <c:v>FY 14-15</c:v>
                </c:pt>
                <c:pt idx="2">
                  <c:v>FY 15-16</c:v>
                </c:pt>
                <c:pt idx="3">
                  <c:v>FY 16-17</c:v>
                </c:pt>
                <c:pt idx="4">
                  <c:v>FY 17-18</c:v>
                </c:pt>
              </c:strCache>
            </c:strRef>
          </c:cat>
          <c:val>
            <c:numRef>
              <c:f>Refrigerants!$Q$5:$U$5</c:f>
              <c:numCache>
                <c:formatCode>_(* #,##0.00_);_(* \(#,##0.00\);_(* "-"??_);_(@_)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14.5</c:v>
                </c:pt>
                <c:pt idx="3">
                  <c:v>0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54-4DBF-9E26-431BBB50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807888"/>
        <c:axId val="280808280"/>
      </c:lineChart>
      <c:catAx>
        <c:axId val="2808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808280"/>
        <c:crosses val="autoZero"/>
        <c:auto val="1"/>
        <c:lblAlgn val="ctr"/>
        <c:lblOffset val="100"/>
        <c:noMultiLvlLbl val="0"/>
      </c:catAx>
      <c:valAx>
        <c:axId val="28080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80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Diversion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'Waste Characterization'!$A$19</c:f>
              <c:strCache>
                <c:ptCount val="1"/>
                <c:pt idx="0">
                  <c:v>Total Percent Landfilled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'Waste Characterization'!$B$15:$BR$15</c:f>
              <c:numCache>
                <c:formatCode>[$-409]mmm\-yy;@</c:formatCode>
                <c:ptCount val="6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</c:numCache>
            </c:numRef>
          </c:cat>
          <c:val>
            <c:numRef>
              <c:f>'Waste Characterization'!$B$19:$BR$19</c:f>
              <c:numCache>
                <c:formatCode>0.0%</c:formatCode>
                <c:ptCount val="69"/>
                <c:pt idx="0">
                  <c:v>0.45628415300546443</c:v>
                </c:pt>
                <c:pt idx="1">
                  <c:v>0.50433690938141973</c:v>
                </c:pt>
                <c:pt idx="2">
                  <c:v>0.43882800268396327</c:v>
                </c:pt>
                <c:pt idx="3">
                  <c:v>0.40623376623376622</c:v>
                </c:pt>
                <c:pt idx="4">
                  <c:v>0.4712758020392937</c:v>
                </c:pt>
                <c:pt idx="5">
                  <c:v>0.5444955369218285</c:v>
                </c:pt>
                <c:pt idx="6">
                  <c:v>0.51265694613203727</c:v>
                </c:pt>
                <c:pt idx="7">
                  <c:v>0.47910863509749296</c:v>
                </c:pt>
                <c:pt idx="8">
                  <c:v>0.49816221514334724</c:v>
                </c:pt>
                <c:pt idx="9">
                  <c:v>0.48655133223891911</c:v>
                </c:pt>
                <c:pt idx="10">
                  <c:v>0.47812301838934684</c:v>
                </c:pt>
                <c:pt idx="11">
                  <c:v>0.47960282330422299</c:v>
                </c:pt>
                <c:pt idx="12">
                  <c:v>0.46204311152764765</c:v>
                </c:pt>
                <c:pt idx="13">
                  <c:v>0.49562559291662267</c:v>
                </c:pt>
                <c:pt idx="14">
                  <c:v>0.47954014029618081</c:v>
                </c:pt>
                <c:pt idx="15">
                  <c:v>0.47346591513346797</c:v>
                </c:pt>
                <c:pt idx="16">
                  <c:v>0.42884454534591948</c:v>
                </c:pt>
                <c:pt idx="17">
                  <c:v>0.45815899581589953</c:v>
                </c:pt>
                <c:pt idx="18">
                  <c:v>0.42588888888888887</c:v>
                </c:pt>
                <c:pt idx="19">
                  <c:v>0.47096846093837064</c:v>
                </c:pt>
                <c:pt idx="20">
                  <c:v>0.4088755680170163</c:v>
                </c:pt>
                <c:pt idx="21">
                  <c:v>0.42302961491153368</c:v>
                </c:pt>
                <c:pt idx="22">
                  <c:v>0.40855777584708947</c:v>
                </c:pt>
                <c:pt idx="23">
                  <c:v>0.4460625173917076</c:v>
                </c:pt>
                <c:pt idx="24">
                  <c:v>0.28340653614233607</c:v>
                </c:pt>
                <c:pt idx="25">
                  <c:v>0.2705693378547207</c:v>
                </c:pt>
                <c:pt idx="26">
                  <c:v>0.37998866672063464</c:v>
                </c:pt>
                <c:pt idx="27">
                  <c:v>0.36229696708351294</c:v>
                </c:pt>
                <c:pt idx="28">
                  <c:v>0.42690112318173445</c:v>
                </c:pt>
                <c:pt idx="29">
                  <c:v>0.3703044681692369</c:v>
                </c:pt>
                <c:pt idx="30">
                  <c:v>0.50379002149564434</c:v>
                </c:pt>
                <c:pt idx="31">
                  <c:v>0.36024616515109764</c:v>
                </c:pt>
                <c:pt idx="32">
                  <c:v>0.33361288158336128</c:v>
                </c:pt>
                <c:pt idx="33">
                  <c:v>0.41583319206645192</c:v>
                </c:pt>
                <c:pt idx="34">
                  <c:v>0.4494374020794758</c:v>
                </c:pt>
                <c:pt idx="35">
                  <c:v>0.39082903127846941</c:v>
                </c:pt>
                <c:pt idx="36">
                  <c:v>0.20977834740651385</c:v>
                </c:pt>
                <c:pt idx="37">
                  <c:v>0.40995428497843023</c:v>
                </c:pt>
                <c:pt idx="38">
                  <c:v>0.40916740123407319</c:v>
                </c:pt>
                <c:pt idx="39">
                  <c:v>0.40942984107855696</c:v>
                </c:pt>
                <c:pt idx="40">
                  <c:v>0.47546116094093749</c:v>
                </c:pt>
                <c:pt idx="41">
                  <c:v>0.47243688820195778</c:v>
                </c:pt>
                <c:pt idx="42">
                  <c:v>0.44888768801224893</c:v>
                </c:pt>
                <c:pt idx="43">
                  <c:v>0.41953140003840983</c:v>
                </c:pt>
                <c:pt idx="44">
                  <c:v>0.42892350157728704</c:v>
                </c:pt>
                <c:pt idx="45">
                  <c:v>0.45457345241761621</c:v>
                </c:pt>
                <c:pt idx="46">
                  <c:v>0.49996425763099583</c:v>
                </c:pt>
                <c:pt idx="47">
                  <c:v>0.43319324399333914</c:v>
                </c:pt>
                <c:pt idx="48">
                  <c:v>0.33358764490204068</c:v>
                </c:pt>
                <c:pt idx="49">
                  <c:v>0.35954933352140495</c:v>
                </c:pt>
                <c:pt idx="50">
                  <c:v>0.39269316321819792</c:v>
                </c:pt>
                <c:pt idx="51">
                  <c:v>0.34029701446598959</c:v>
                </c:pt>
                <c:pt idx="52">
                  <c:v>0.36027391643088535</c:v>
                </c:pt>
                <c:pt idx="53">
                  <c:v>0.37233067546512699</c:v>
                </c:pt>
                <c:pt idx="54">
                  <c:v>0.38040980467253926</c:v>
                </c:pt>
                <c:pt idx="55">
                  <c:v>0.39194838709677426</c:v>
                </c:pt>
                <c:pt idx="56">
                  <c:v>0.41497843419160901</c:v>
                </c:pt>
                <c:pt idx="57">
                  <c:v>0.41234973622762261</c:v>
                </c:pt>
                <c:pt idx="58">
                  <c:v>0.36799999999999999</c:v>
                </c:pt>
                <c:pt idx="59">
                  <c:v>0.38767478857908394</c:v>
                </c:pt>
                <c:pt idx="60">
                  <c:v>0.36909084372865525</c:v>
                </c:pt>
                <c:pt idx="61">
                  <c:v>0.36996603590490063</c:v>
                </c:pt>
                <c:pt idx="62">
                  <c:v>0.36134784318867186</c:v>
                </c:pt>
                <c:pt idx="63">
                  <c:v>0.37733648987668278</c:v>
                </c:pt>
                <c:pt idx="64">
                  <c:v>0.36993502226764985</c:v>
                </c:pt>
                <c:pt idx="65">
                  <c:v>0.37119011728372364</c:v>
                </c:pt>
                <c:pt idx="66">
                  <c:v>0.34299828178694147</c:v>
                </c:pt>
                <c:pt idx="67">
                  <c:v>0.38409001357208522</c:v>
                </c:pt>
                <c:pt idx="68">
                  <c:v>0.36679413639260677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B-4440-8BEA-0242A0D848B4}"/>
            </c:ext>
          </c:extLst>
        </c:ser>
        <c:ser>
          <c:idx val="4"/>
          <c:order val="1"/>
          <c:tx>
            <c:strRef>
              <c:f>'Waste Characterization'!$A$20</c:f>
              <c:strCache>
                <c:ptCount val="1"/>
                <c:pt idx="0">
                  <c:v>Total Percent Recycled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'Waste Characterization'!$B$15:$BR$15</c:f>
              <c:numCache>
                <c:formatCode>[$-409]mmm\-yy;@</c:formatCode>
                <c:ptCount val="6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</c:numCache>
            </c:numRef>
          </c:cat>
          <c:val>
            <c:numRef>
              <c:f>'Waste Characterization'!$B$20:$BR$20</c:f>
              <c:numCache>
                <c:formatCode>0.0%</c:formatCode>
                <c:ptCount val="69"/>
                <c:pt idx="0">
                  <c:v>0.54371584699453546</c:v>
                </c:pt>
                <c:pt idx="1">
                  <c:v>0.4956630906185801</c:v>
                </c:pt>
                <c:pt idx="2">
                  <c:v>0.56117199731603662</c:v>
                </c:pt>
                <c:pt idx="3">
                  <c:v>0.59376623376623372</c:v>
                </c:pt>
                <c:pt idx="4">
                  <c:v>0.52872419796070624</c:v>
                </c:pt>
                <c:pt idx="5">
                  <c:v>0.4555044630781715</c:v>
                </c:pt>
                <c:pt idx="6">
                  <c:v>0.48734305386796267</c:v>
                </c:pt>
                <c:pt idx="7">
                  <c:v>0.52089136490250687</c:v>
                </c:pt>
                <c:pt idx="8">
                  <c:v>0.50183778485665276</c:v>
                </c:pt>
                <c:pt idx="9">
                  <c:v>0.513448667761081</c:v>
                </c:pt>
                <c:pt idx="10">
                  <c:v>0.5218769816106531</c:v>
                </c:pt>
                <c:pt idx="11">
                  <c:v>0.52039717669577701</c:v>
                </c:pt>
                <c:pt idx="12">
                  <c:v>0.53795688847235235</c:v>
                </c:pt>
                <c:pt idx="13">
                  <c:v>0.50437440708337733</c:v>
                </c:pt>
                <c:pt idx="14">
                  <c:v>0.52045985970381914</c:v>
                </c:pt>
                <c:pt idx="15">
                  <c:v>0.52653408486653186</c:v>
                </c:pt>
                <c:pt idx="16">
                  <c:v>0.57115545465408046</c:v>
                </c:pt>
                <c:pt idx="17">
                  <c:v>0.54184100418410031</c:v>
                </c:pt>
                <c:pt idx="18">
                  <c:v>0.57411111111111113</c:v>
                </c:pt>
                <c:pt idx="19">
                  <c:v>0.52903153906162925</c:v>
                </c:pt>
                <c:pt idx="20">
                  <c:v>0.59112443198298359</c:v>
                </c:pt>
                <c:pt idx="21">
                  <c:v>0.57697038508846632</c:v>
                </c:pt>
                <c:pt idx="22">
                  <c:v>0.59144222415291059</c:v>
                </c:pt>
                <c:pt idx="23">
                  <c:v>0.55393748260829234</c:v>
                </c:pt>
                <c:pt idx="24">
                  <c:v>0.71659346385766398</c:v>
                </c:pt>
                <c:pt idx="25">
                  <c:v>0.7294306621452793</c:v>
                </c:pt>
                <c:pt idx="26">
                  <c:v>0.62001133327936531</c:v>
                </c:pt>
                <c:pt idx="27">
                  <c:v>0.637703032916487</c:v>
                </c:pt>
                <c:pt idx="28">
                  <c:v>0.57309887681826543</c:v>
                </c:pt>
                <c:pt idx="29">
                  <c:v>0.6296955318307631</c:v>
                </c:pt>
                <c:pt idx="30">
                  <c:v>0.49620997850435566</c:v>
                </c:pt>
                <c:pt idx="31">
                  <c:v>0.63975383484890236</c:v>
                </c:pt>
                <c:pt idx="32">
                  <c:v>0.66638711841663878</c:v>
                </c:pt>
                <c:pt idx="33">
                  <c:v>0.58416680793354814</c:v>
                </c:pt>
                <c:pt idx="34">
                  <c:v>0.55056259792052409</c:v>
                </c:pt>
                <c:pt idx="35">
                  <c:v>0.60917096872153043</c:v>
                </c:pt>
                <c:pt idx="36">
                  <c:v>0.79022165259348598</c:v>
                </c:pt>
                <c:pt idx="37">
                  <c:v>0.59004571502156977</c:v>
                </c:pt>
                <c:pt idx="38">
                  <c:v>0.59083259876592664</c:v>
                </c:pt>
                <c:pt idx="39">
                  <c:v>0.59057015892144316</c:v>
                </c:pt>
                <c:pt idx="40">
                  <c:v>0.5245388390590624</c:v>
                </c:pt>
                <c:pt idx="41">
                  <c:v>0.52756311179804216</c:v>
                </c:pt>
                <c:pt idx="42">
                  <c:v>0.55111231198775101</c:v>
                </c:pt>
                <c:pt idx="43">
                  <c:v>0.58046859996159017</c:v>
                </c:pt>
                <c:pt idx="44">
                  <c:v>0.57107649842271291</c:v>
                </c:pt>
                <c:pt idx="45">
                  <c:v>0.54542654758238363</c:v>
                </c:pt>
                <c:pt idx="46">
                  <c:v>0.50003574236900417</c:v>
                </c:pt>
                <c:pt idx="47">
                  <c:v>0.56680675600666086</c:v>
                </c:pt>
                <c:pt idx="48">
                  <c:v>0.66641235509795937</c:v>
                </c:pt>
                <c:pt idx="49">
                  <c:v>0.64045066647859505</c:v>
                </c:pt>
                <c:pt idx="50">
                  <c:v>0.6073068367818022</c:v>
                </c:pt>
                <c:pt idx="51">
                  <c:v>0.6597029855340103</c:v>
                </c:pt>
                <c:pt idx="52">
                  <c:v>0.63972608356911465</c:v>
                </c:pt>
                <c:pt idx="53">
                  <c:v>0.62766932453487301</c:v>
                </c:pt>
                <c:pt idx="54">
                  <c:v>0.61959019532746096</c:v>
                </c:pt>
                <c:pt idx="55">
                  <c:v>0.60805161290322596</c:v>
                </c:pt>
                <c:pt idx="56">
                  <c:v>0.58502156580839115</c:v>
                </c:pt>
                <c:pt idx="57">
                  <c:v>0.5876502637723775</c:v>
                </c:pt>
                <c:pt idx="58">
                  <c:v>0.63200000000000001</c:v>
                </c:pt>
                <c:pt idx="59">
                  <c:v>0.61232521142091589</c:v>
                </c:pt>
                <c:pt idx="60">
                  <c:v>0.63090915627134481</c:v>
                </c:pt>
                <c:pt idx="61">
                  <c:v>0.63003396409509937</c:v>
                </c:pt>
                <c:pt idx="62">
                  <c:v>0.63865215681132825</c:v>
                </c:pt>
                <c:pt idx="63">
                  <c:v>0.62266351012331722</c:v>
                </c:pt>
                <c:pt idx="64">
                  <c:v>0.63006497773235015</c:v>
                </c:pt>
                <c:pt idx="65">
                  <c:v>0.62880988271627647</c:v>
                </c:pt>
                <c:pt idx="66">
                  <c:v>0.65700171821305831</c:v>
                </c:pt>
                <c:pt idx="67">
                  <c:v>0.61590998642791472</c:v>
                </c:pt>
                <c:pt idx="68">
                  <c:v>0.63320586360739317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B-4440-8BEA-0242A0D8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809064"/>
        <c:axId val="280809456"/>
      </c:lineChart>
      <c:dateAx>
        <c:axId val="280809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809456"/>
        <c:crosses val="autoZero"/>
        <c:auto val="1"/>
        <c:lblOffset val="100"/>
        <c:baseTimeUnit val="months"/>
      </c:dateAx>
      <c:valAx>
        <c:axId val="28080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80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Waste Collection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'Waste Characterization'!$A$16</c:f>
              <c:strCache>
                <c:ptCount val="1"/>
                <c:pt idx="0">
                  <c:v>Total Tons Collected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'Waste Characterization'!$B$15:$BR$15</c:f>
              <c:numCache>
                <c:formatCode>[$-409]mmm\-yy;@</c:formatCode>
                <c:ptCount val="6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</c:numCache>
            </c:numRef>
          </c:cat>
          <c:val>
            <c:numRef>
              <c:f>'Waste Characterization'!$B$16:$BR$16</c:f>
              <c:numCache>
                <c:formatCode>General</c:formatCode>
                <c:ptCount val="69"/>
                <c:pt idx="0">
                  <c:v>87.84</c:v>
                </c:pt>
                <c:pt idx="1">
                  <c:v>87.62</c:v>
                </c:pt>
                <c:pt idx="2">
                  <c:v>89.42</c:v>
                </c:pt>
                <c:pt idx="3">
                  <c:v>96.25</c:v>
                </c:pt>
                <c:pt idx="4">
                  <c:v>80.42</c:v>
                </c:pt>
                <c:pt idx="5">
                  <c:v>73.94</c:v>
                </c:pt>
                <c:pt idx="6">
                  <c:v>98.76</c:v>
                </c:pt>
                <c:pt idx="7">
                  <c:v>96.93</c:v>
                </c:pt>
                <c:pt idx="8">
                  <c:v>81.62</c:v>
                </c:pt>
                <c:pt idx="9">
                  <c:v>79.19</c:v>
                </c:pt>
                <c:pt idx="10">
                  <c:v>78.849999999999994</c:v>
                </c:pt>
                <c:pt idx="11">
                  <c:v>83.59</c:v>
                </c:pt>
                <c:pt idx="12">
                  <c:v>96.03</c:v>
                </c:pt>
                <c:pt idx="13">
                  <c:v>94.87</c:v>
                </c:pt>
                <c:pt idx="14">
                  <c:v>102.64</c:v>
                </c:pt>
                <c:pt idx="15">
                  <c:v>94.03</c:v>
                </c:pt>
                <c:pt idx="16">
                  <c:v>83.69</c:v>
                </c:pt>
                <c:pt idx="17">
                  <c:v>76.48</c:v>
                </c:pt>
                <c:pt idx="18">
                  <c:v>90</c:v>
                </c:pt>
                <c:pt idx="19">
                  <c:v>89.73</c:v>
                </c:pt>
                <c:pt idx="20">
                  <c:v>103.43</c:v>
                </c:pt>
                <c:pt idx="21">
                  <c:v>105.69</c:v>
                </c:pt>
                <c:pt idx="22">
                  <c:v>92.08</c:v>
                </c:pt>
                <c:pt idx="23">
                  <c:v>107.81</c:v>
                </c:pt>
                <c:pt idx="24">
                  <c:v>134.32999999999998</c:v>
                </c:pt>
                <c:pt idx="25">
                  <c:v>168.09</c:v>
                </c:pt>
                <c:pt idx="26">
                  <c:v>123.53</c:v>
                </c:pt>
                <c:pt idx="27">
                  <c:v>139.14000000000001</c:v>
                </c:pt>
                <c:pt idx="28">
                  <c:v>108.62</c:v>
                </c:pt>
                <c:pt idx="29">
                  <c:v>101.16</c:v>
                </c:pt>
                <c:pt idx="30">
                  <c:v>88.39</c:v>
                </c:pt>
                <c:pt idx="31">
                  <c:v>108.87</c:v>
                </c:pt>
                <c:pt idx="32">
                  <c:v>119.24000000000001</c:v>
                </c:pt>
                <c:pt idx="33">
                  <c:v>117.97999999999999</c:v>
                </c:pt>
                <c:pt idx="34">
                  <c:v>140.42000000000002</c:v>
                </c:pt>
                <c:pt idx="35">
                  <c:v>164.65</c:v>
                </c:pt>
                <c:pt idx="36">
                  <c:v>265.28000000000003</c:v>
                </c:pt>
                <c:pt idx="37">
                  <c:v>155.31</c:v>
                </c:pt>
                <c:pt idx="38">
                  <c:v>124.79</c:v>
                </c:pt>
                <c:pt idx="39">
                  <c:v>132.76999999999998</c:v>
                </c:pt>
                <c:pt idx="40">
                  <c:v>118.18</c:v>
                </c:pt>
                <c:pt idx="41">
                  <c:v>97.050000000000011</c:v>
                </c:pt>
                <c:pt idx="42">
                  <c:v>111.03</c:v>
                </c:pt>
                <c:pt idx="43">
                  <c:v>104.14</c:v>
                </c:pt>
                <c:pt idx="44">
                  <c:v>101.44</c:v>
                </c:pt>
                <c:pt idx="45">
                  <c:v>97.410000000000011</c:v>
                </c:pt>
                <c:pt idx="46">
                  <c:v>139.88999999999999</c:v>
                </c:pt>
                <c:pt idx="47">
                  <c:v>126.11</c:v>
                </c:pt>
                <c:pt idx="48">
                  <c:v>270.01</c:v>
                </c:pt>
                <c:pt idx="49">
                  <c:v>283.58</c:v>
                </c:pt>
                <c:pt idx="50">
                  <c:v>238.26999999999998</c:v>
                </c:pt>
                <c:pt idx="51">
                  <c:v>259.92</c:v>
                </c:pt>
                <c:pt idx="52">
                  <c:v>243.87</c:v>
                </c:pt>
                <c:pt idx="53">
                  <c:v>218.22</c:v>
                </c:pt>
                <c:pt idx="54">
                  <c:v>208.87999999999997</c:v>
                </c:pt>
                <c:pt idx="55">
                  <c:v>193.74999999999997</c:v>
                </c:pt>
                <c:pt idx="56">
                  <c:v>229.52999999999997</c:v>
                </c:pt>
                <c:pt idx="57">
                  <c:v>231.26</c:v>
                </c:pt>
                <c:pt idx="58">
                  <c:v>240</c:v>
                </c:pt>
                <c:pt idx="59">
                  <c:v>238.86</c:v>
                </c:pt>
                <c:pt idx="60">
                  <c:v>278.17</c:v>
                </c:pt>
                <c:pt idx="61">
                  <c:v>329.76</c:v>
                </c:pt>
                <c:pt idx="62">
                  <c:v>305.08</c:v>
                </c:pt>
                <c:pt idx="63">
                  <c:v>283.01</c:v>
                </c:pt>
                <c:pt idx="64">
                  <c:v>273.94</c:v>
                </c:pt>
                <c:pt idx="65">
                  <c:v>271.98999999999995</c:v>
                </c:pt>
                <c:pt idx="66">
                  <c:v>279.36</c:v>
                </c:pt>
                <c:pt idx="67">
                  <c:v>228.41000000000003</c:v>
                </c:pt>
                <c:pt idx="68">
                  <c:v>282.42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0-415E-81BE-7345C6EB8B5F}"/>
            </c:ext>
          </c:extLst>
        </c:ser>
        <c:ser>
          <c:idx val="1"/>
          <c:order val="1"/>
          <c:tx>
            <c:strRef>
              <c:f>'Waste Characterization'!$A$17</c:f>
              <c:strCache>
                <c:ptCount val="1"/>
                <c:pt idx="0">
                  <c:v>Total Tons Landfilled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'Waste Characterization'!$B$15:$BR$15</c:f>
              <c:numCache>
                <c:formatCode>[$-409]mmm\-yy;@</c:formatCode>
                <c:ptCount val="6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</c:numCache>
            </c:numRef>
          </c:cat>
          <c:val>
            <c:numRef>
              <c:f>'Waste Characterization'!$B$17:$BR$17</c:f>
              <c:numCache>
                <c:formatCode>General</c:formatCode>
                <c:ptCount val="69"/>
                <c:pt idx="0">
                  <c:v>40.08</c:v>
                </c:pt>
                <c:pt idx="1">
                  <c:v>44.19</c:v>
                </c:pt>
                <c:pt idx="2">
                  <c:v>39.239999999999995</c:v>
                </c:pt>
                <c:pt idx="3">
                  <c:v>39.1</c:v>
                </c:pt>
                <c:pt idx="4">
                  <c:v>37.9</c:v>
                </c:pt>
                <c:pt idx="5">
                  <c:v>40.26</c:v>
                </c:pt>
                <c:pt idx="6">
                  <c:v>50.63</c:v>
                </c:pt>
                <c:pt idx="7">
                  <c:v>46.44</c:v>
                </c:pt>
                <c:pt idx="8">
                  <c:v>40.660000000000004</c:v>
                </c:pt>
                <c:pt idx="9">
                  <c:v>38.53</c:v>
                </c:pt>
                <c:pt idx="10">
                  <c:v>37.699999999999996</c:v>
                </c:pt>
                <c:pt idx="11">
                  <c:v>40.090000000000003</c:v>
                </c:pt>
                <c:pt idx="12">
                  <c:v>44.370000000000005</c:v>
                </c:pt>
                <c:pt idx="13">
                  <c:v>47.019999999999996</c:v>
                </c:pt>
                <c:pt idx="14">
                  <c:v>49.22</c:v>
                </c:pt>
                <c:pt idx="15">
                  <c:v>44.519999999999996</c:v>
                </c:pt>
                <c:pt idx="16">
                  <c:v>35.89</c:v>
                </c:pt>
                <c:pt idx="17">
                  <c:v>35.04</c:v>
                </c:pt>
                <c:pt idx="18">
                  <c:v>38.33</c:v>
                </c:pt>
                <c:pt idx="19">
                  <c:v>42.26</c:v>
                </c:pt>
                <c:pt idx="20">
                  <c:v>42.29</c:v>
                </c:pt>
                <c:pt idx="21">
                  <c:v>44.709999999999994</c:v>
                </c:pt>
                <c:pt idx="22">
                  <c:v>37.619999999999997</c:v>
                </c:pt>
                <c:pt idx="23">
                  <c:v>48.089999999999996</c:v>
                </c:pt>
                <c:pt idx="24">
                  <c:v>38.07</c:v>
                </c:pt>
                <c:pt idx="25">
                  <c:v>45.480000000000004</c:v>
                </c:pt>
                <c:pt idx="26">
                  <c:v>46.94</c:v>
                </c:pt>
                <c:pt idx="27">
                  <c:v>50.41</c:v>
                </c:pt>
                <c:pt idx="28">
                  <c:v>46.37</c:v>
                </c:pt>
                <c:pt idx="29">
                  <c:v>37.46</c:v>
                </c:pt>
                <c:pt idx="30">
                  <c:v>44.53</c:v>
                </c:pt>
                <c:pt idx="31">
                  <c:v>39.22</c:v>
                </c:pt>
                <c:pt idx="32">
                  <c:v>39.78</c:v>
                </c:pt>
                <c:pt idx="33">
                  <c:v>49.059999999999995</c:v>
                </c:pt>
                <c:pt idx="34">
                  <c:v>63.11</c:v>
                </c:pt>
                <c:pt idx="35">
                  <c:v>64.349999999999994</c:v>
                </c:pt>
                <c:pt idx="36">
                  <c:v>55.65</c:v>
                </c:pt>
                <c:pt idx="37">
                  <c:v>63.67</c:v>
                </c:pt>
                <c:pt idx="38">
                  <c:v>51.059999999999995</c:v>
                </c:pt>
                <c:pt idx="39">
                  <c:v>54.36</c:v>
                </c:pt>
                <c:pt idx="40">
                  <c:v>56.19</c:v>
                </c:pt>
                <c:pt idx="41">
                  <c:v>45.850000000000009</c:v>
                </c:pt>
                <c:pt idx="42">
                  <c:v>49.839999999999996</c:v>
                </c:pt>
                <c:pt idx="43">
                  <c:v>43.69</c:v>
                </c:pt>
                <c:pt idx="44">
                  <c:v>43.51</c:v>
                </c:pt>
                <c:pt idx="45">
                  <c:v>44.28</c:v>
                </c:pt>
                <c:pt idx="46">
                  <c:v>69.94</c:v>
                </c:pt>
                <c:pt idx="47">
                  <c:v>54.629999999999995</c:v>
                </c:pt>
                <c:pt idx="48">
                  <c:v>90.072000000000003</c:v>
                </c:pt>
                <c:pt idx="49">
                  <c:v>101.96100000000001</c:v>
                </c:pt>
                <c:pt idx="50">
                  <c:v>93.567000000000007</c:v>
                </c:pt>
                <c:pt idx="51">
                  <c:v>88.450000000000017</c:v>
                </c:pt>
                <c:pt idx="52">
                  <c:v>87.860000000000014</c:v>
                </c:pt>
                <c:pt idx="53">
                  <c:v>81.250000000000014</c:v>
                </c:pt>
                <c:pt idx="54">
                  <c:v>79.459999999999994</c:v>
                </c:pt>
                <c:pt idx="55">
                  <c:v>75.94</c:v>
                </c:pt>
                <c:pt idx="56">
                  <c:v>95.25</c:v>
                </c:pt>
                <c:pt idx="57">
                  <c:v>95.36</c:v>
                </c:pt>
                <c:pt idx="58">
                  <c:v>88.32</c:v>
                </c:pt>
                <c:pt idx="59">
                  <c:v>92.6</c:v>
                </c:pt>
                <c:pt idx="60">
                  <c:v>102.67000000000003</c:v>
                </c:pt>
                <c:pt idx="61">
                  <c:v>122.00000000000003</c:v>
                </c:pt>
                <c:pt idx="62">
                  <c:v>110.24000000000001</c:v>
                </c:pt>
                <c:pt idx="63">
                  <c:v>106.78999999999999</c:v>
                </c:pt>
                <c:pt idx="64">
                  <c:v>101.34</c:v>
                </c:pt>
                <c:pt idx="65">
                  <c:v>100.95999999999998</c:v>
                </c:pt>
                <c:pt idx="66">
                  <c:v>95.819999999999979</c:v>
                </c:pt>
                <c:pt idx="67">
                  <c:v>87.72999999999999</c:v>
                </c:pt>
                <c:pt idx="68">
                  <c:v>103.59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0-415E-81BE-7345C6EB8B5F}"/>
            </c:ext>
          </c:extLst>
        </c:ser>
        <c:ser>
          <c:idx val="2"/>
          <c:order val="2"/>
          <c:tx>
            <c:strRef>
              <c:f>'Waste Characterization'!$A$18</c:f>
              <c:strCache>
                <c:ptCount val="1"/>
                <c:pt idx="0">
                  <c:v>Total Tons Recycled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'Waste Characterization'!$B$15:$BR$15</c:f>
              <c:numCache>
                <c:formatCode>[$-409]mmm\-yy;@</c:formatCode>
                <c:ptCount val="69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  <c:pt idx="13">
                  <c:v>41852</c:v>
                </c:pt>
                <c:pt idx="14">
                  <c:v>41883</c:v>
                </c:pt>
                <c:pt idx="15">
                  <c:v>41913</c:v>
                </c:pt>
                <c:pt idx="16">
                  <c:v>41944</c:v>
                </c:pt>
                <c:pt idx="17">
                  <c:v>41974</c:v>
                </c:pt>
                <c:pt idx="18">
                  <c:v>42005</c:v>
                </c:pt>
                <c:pt idx="19">
                  <c:v>42036</c:v>
                </c:pt>
                <c:pt idx="20">
                  <c:v>42064</c:v>
                </c:pt>
                <c:pt idx="21">
                  <c:v>42095</c:v>
                </c:pt>
                <c:pt idx="22">
                  <c:v>42125</c:v>
                </c:pt>
                <c:pt idx="23">
                  <c:v>42156</c:v>
                </c:pt>
                <c:pt idx="24">
                  <c:v>42186</c:v>
                </c:pt>
                <c:pt idx="25">
                  <c:v>42217</c:v>
                </c:pt>
                <c:pt idx="26">
                  <c:v>42248</c:v>
                </c:pt>
                <c:pt idx="27">
                  <c:v>42278</c:v>
                </c:pt>
                <c:pt idx="28">
                  <c:v>42309</c:v>
                </c:pt>
                <c:pt idx="29">
                  <c:v>42339</c:v>
                </c:pt>
                <c:pt idx="30">
                  <c:v>42370</c:v>
                </c:pt>
                <c:pt idx="31">
                  <c:v>42401</c:v>
                </c:pt>
                <c:pt idx="32">
                  <c:v>42430</c:v>
                </c:pt>
                <c:pt idx="33">
                  <c:v>42461</c:v>
                </c:pt>
                <c:pt idx="34">
                  <c:v>42491</c:v>
                </c:pt>
                <c:pt idx="35">
                  <c:v>42522</c:v>
                </c:pt>
                <c:pt idx="36">
                  <c:v>42552</c:v>
                </c:pt>
                <c:pt idx="37">
                  <c:v>42583</c:v>
                </c:pt>
                <c:pt idx="38">
                  <c:v>42614</c:v>
                </c:pt>
                <c:pt idx="39">
                  <c:v>42644</c:v>
                </c:pt>
                <c:pt idx="40">
                  <c:v>42675</c:v>
                </c:pt>
                <c:pt idx="41">
                  <c:v>42705</c:v>
                </c:pt>
                <c:pt idx="42">
                  <c:v>42736</c:v>
                </c:pt>
                <c:pt idx="43">
                  <c:v>42767</c:v>
                </c:pt>
                <c:pt idx="44">
                  <c:v>42795</c:v>
                </c:pt>
                <c:pt idx="45">
                  <c:v>42826</c:v>
                </c:pt>
                <c:pt idx="46">
                  <c:v>42856</c:v>
                </c:pt>
                <c:pt idx="47">
                  <c:v>42887</c:v>
                </c:pt>
                <c:pt idx="48">
                  <c:v>42917</c:v>
                </c:pt>
                <c:pt idx="49">
                  <c:v>42948</c:v>
                </c:pt>
                <c:pt idx="50">
                  <c:v>42979</c:v>
                </c:pt>
                <c:pt idx="51">
                  <c:v>43009</c:v>
                </c:pt>
                <c:pt idx="52">
                  <c:v>43040</c:v>
                </c:pt>
                <c:pt idx="53">
                  <c:v>43070</c:v>
                </c:pt>
                <c:pt idx="54">
                  <c:v>43101</c:v>
                </c:pt>
                <c:pt idx="55">
                  <c:v>43132</c:v>
                </c:pt>
                <c:pt idx="56">
                  <c:v>43160</c:v>
                </c:pt>
                <c:pt idx="57">
                  <c:v>43191</c:v>
                </c:pt>
                <c:pt idx="58">
                  <c:v>43221</c:v>
                </c:pt>
                <c:pt idx="59">
                  <c:v>43252</c:v>
                </c:pt>
                <c:pt idx="60">
                  <c:v>43282</c:v>
                </c:pt>
                <c:pt idx="61">
                  <c:v>43313</c:v>
                </c:pt>
                <c:pt idx="62">
                  <c:v>43344</c:v>
                </c:pt>
                <c:pt idx="63">
                  <c:v>43374</c:v>
                </c:pt>
                <c:pt idx="64">
                  <c:v>43405</c:v>
                </c:pt>
                <c:pt idx="65">
                  <c:v>43435</c:v>
                </c:pt>
                <c:pt idx="66">
                  <c:v>43466</c:v>
                </c:pt>
                <c:pt idx="67">
                  <c:v>43497</c:v>
                </c:pt>
                <c:pt idx="68">
                  <c:v>43525</c:v>
                </c:pt>
              </c:numCache>
            </c:numRef>
          </c:cat>
          <c:val>
            <c:numRef>
              <c:f>'Waste Characterization'!$B$18:$BR$18</c:f>
              <c:numCache>
                <c:formatCode>General</c:formatCode>
                <c:ptCount val="69"/>
                <c:pt idx="0">
                  <c:v>47.76</c:v>
                </c:pt>
                <c:pt idx="1">
                  <c:v>43.429999999999993</c:v>
                </c:pt>
                <c:pt idx="2">
                  <c:v>50.18</c:v>
                </c:pt>
                <c:pt idx="3">
                  <c:v>57.15</c:v>
                </c:pt>
                <c:pt idx="4">
                  <c:v>42.519999999999996</c:v>
                </c:pt>
                <c:pt idx="5">
                  <c:v>33.68</c:v>
                </c:pt>
                <c:pt idx="6">
                  <c:v>48.129999999999995</c:v>
                </c:pt>
                <c:pt idx="7">
                  <c:v>50.489999999999995</c:v>
                </c:pt>
                <c:pt idx="8">
                  <c:v>40.96</c:v>
                </c:pt>
                <c:pt idx="9">
                  <c:v>40.660000000000004</c:v>
                </c:pt>
                <c:pt idx="10">
                  <c:v>41.149999999999991</c:v>
                </c:pt>
                <c:pt idx="11">
                  <c:v>43.5</c:v>
                </c:pt>
                <c:pt idx="12">
                  <c:v>51.66</c:v>
                </c:pt>
                <c:pt idx="13">
                  <c:v>47.850000000000009</c:v>
                </c:pt>
                <c:pt idx="14">
                  <c:v>53.42</c:v>
                </c:pt>
                <c:pt idx="15">
                  <c:v>49.509999999999991</c:v>
                </c:pt>
                <c:pt idx="16">
                  <c:v>47.8</c:v>
                </c:pt>
                <c:pt idx="17">
                  <c:v>41.44</c:v>
                </c:pt>
                <c:pt idx="18">
                  <c:v>51.67</c:v>
                </c:pt>
                <c:pt idx="19">
                  <c:v>47.47</c:v>
                </c:pt>
                <c:pt idx="20">
                  <c:v>61.14</c:v>
                </c:pt>
                <c:pt idx="21">
                  <c:v>60.980000000000004</c:v>
                </c:pt>
                <c:pt idx="22">
                  <c:v>54.460000000000008</c:v>
                </c:pt>
                <c:pt idx="23">
                  <c:v>59.72</c:v>
                </c:pt>
                <c:pt idx="24">
                  <c:v>96.259999999999991</c:v>
                </c:pt>
                <c:pt idx="25">
                  <c:v>122.61</c:v>
                </c:pt>
                <c:pt idx="26">
                  <c:v>76.59</c:v>
                </c:pt>
                <c:pt idx="27">
                  <c:v>88.73</c:v>
                </c:pt>
                <c:pt idx="28">
                  <c:v>62.25</c:v>
                </c:pt>
                <c:pt idx="29">
                  <c:v>63.699999999999989</c:v>
                </c:pt>
                <c:pt idx="30">
                  <c:v>43.86</c:v>
                </c:pt>
                <c:pt idx="31">
                  <c:v>69.650000000000006</c:v>
                </c:pt>
                <c:pt idx="32">
                  <c:v>79.460000000000008</c:v>
                </c:pt>
                <c:pt idx="33">
                  <c:v>68.92</c:v>
                </c:pt>
                <c:pt idx="34">
                  <c:v>77.31</c:v>
                </c:pt>
                <c:pt idx="35">
                  <c:v>100.3</c:v>
                </c:pt>
                <c:pt idx="36">
                  <c:v>209.63</c:v>
                </c:pt>
                <c:pt idx="37">
                  <c:v>91.64</c:v>
                </c:pt>
                <c:pt idx="38">
                  <c:v>73.72999999999999</c:v>
                </c:pt>
                <c:pt idx="39">
                  <c:v>78.41</c:v>
                </c:pt>
                <c:pt idx="40">
                  <c:v>61.989999999999995</c:v>
                </c:pt>
                <c:pt idx="41">
                  <c:v>51.2</c:v>
                </c:pt>
                <c:pt idx="42">
                  <c:v>61.19</c:v>
                </c:pt>
                <c:pt idx="43">
                  <c:v>60.45</c:v>
                </c:pt>
                <c:pt idx="44">
                  <c:v>57.93</c:v>
                </c:pt>
                <c:pt idx="45">
                  <c:v>53.129999999999995</c:v>
                </c:pt>
                <c:pt idx="46">
                  <c:v>69.949999999999989</c:v>
                </c:pt>
                <c:pt idx="47">
                  <c:v>71.48</c:v>
                </c:pt>
                <c:pt idx="48">
                  <c:v>179.93800000000002</c:v>
                </c:pt>
                <c:pt idx="49">
                  <c:v>181.61899999999997</c:v>
                </c:pt>
                <c:pt idx="50">
                  <c:v>144.703</c:v>
                </c:pt>
                <c:pt idx="51">
                  <c:v>171.46999999999997</c:v>
                </c:pt>
                <c:pt idx="52">
                  <c:v>156.01</c:v>
                </c:pt>
                <c:pt idx="53">
                  <c:v>136.97</c:v>
                </c:pt>
                <c:pt idx="54">
                  <c:v>129.42000000000002</c:v>
                </c:pt>
                <c:pt idx="55">
                  <c:v>117.81</c:v>
                </c:pt>
                <c:pt idx="56">
                  <c:v>134.28</c:v>
                </c:pt>
                <c:pt idx="57">
                  <c:v>135.9</c:v>
                </c:pt>
                <c:pt idx="58">
                  <c:v>151.68</c:v>
                </c:pt>
                <c:pt idx="59">
                  <c:v>146.26</c:v>
                </c:pt>
                <c:pt idx="60">
                  <c:v>175.5</c:v>
                </c:pt>
                <c:pt idx="61">
                  <c:v>207.75999999999996</c:v>
                </c:pt>
                <c:pt idx="62">
                  <c:v>194.84</c:v>
                </c:pt>
                <c:pt idx="63">
                  <c:v>176.22</c:v>
                </c:pt>
                <c:pt idx="64">
                  <c:v>172.6</c:v>
                </c:pt>
                <c:pt idx="65">
                  <c:v>171.03</c:v>
                </c:pt>
                <c:pt idx="66">
                  <c:v>183.53999999999996</c:v>
                </c:pt>
                <c:pt idx="67">
                  <c:v>140.68</c:v>
                </c:pt>
                <c:pt idx="68">
                  <c:v>178.82999999999998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A0-415E-81BE-7345C6EB8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39648"/>
        <c:axId val="430836696"/>
      </c:lineChart>
      <c:dateAx>
        <c:axId val="4308396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36696"/>
        <c:crosses val="autoZero"/>
        <c:auto val="1"/>
        <c:lblOffset val="100"/>
        <c:baseTimeUnit val="months"/>
        <c:majorUnit val="4"/>
        <c:majorTimeUnit val="months"/>
      </c:dateAx>
      <c:valAx>
        <c:axId val="43083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247650</xdr:colOff>
      <xdr:row>30</xdr:row>
      <xdr:rowOff>90486</xdr:rowOff>
    </xdr:from>
    <xdr:to>
      <xdr:col>38</xdr:col>
      <xdr:colOff>495299</xdr:colOff>
      <xdr:row>56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37</xdr:row>
      <xdr:rowOff>95249</xdr:rowOff>
    </xdr:from>
    <xdr:to>
      <xdr:col>17</xdr:col>
      <xdr:colOff>685800</xdr:colOff>
      <xdr:row>70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76200</xdr:colOff>
      <xdr:row>5</xdr:row>
      <xdr:rowOff>142875</xdr:rowOff>
    </xdr:from>
    <xdr:to>
      <xdr:col>32</xdr:col>
      <xdr:colOff>590551</xdr:colOff>
      <xdr:row>32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66676</xdr:colOff>
      <xdr:row>71</xdr:row>
      <xdr:rowOff>142875</xdr:rowOff>
    </xdr:from>
    <xdr:to>
      <xdr:col>17</xdr:col>
      <xdr:colOff>571500</xdr:colOff>
      <xdr:row>103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7</xdr:row>
      <xdr:rowOff>76200</xdr:rowOff>
    </xdr:from>
    <xdr:to>
      <xdr:col>22</xdr:col>
      <xdr:colOff>123825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21</xdr:row>
      <xdr:rowOff>57150</xdr:rowOff>
    </xdr:from>
    <xdr:to>
      <xdr:col>14</xdr:col>
      <xdr:colOff>95250</xdr:colOff>
      <xdr:row>35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228600</xdr:colOff>
      <xdr:row>21</xdr:row>
      <xdr:rowOff>42862</xdr:rowOff>
    </xdr:from>
    <xdr:to>
      <xdr:col>21</xdr:col>
      <xdr:colOff>638175</xdr:colOff>
      <xdr:row>35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zan\dfs\Planning%20And%20Construction\Sarab%20Files%20Feb%202017\5-Year\CPDC%20Form%201-4%205%20GHG%20Emission%20Worksheet%20Tennis%20Cen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alac17/Desktop/LORENA/GHG/Copy%20of%20Cal%20State%20LA%20-%20calculator_v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ydel/Documents/Climate%20Action%20Plan/Master%20GHG%20Invento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ydel/Documents/Climate%20Action%20Plan/GHG%20Inventory/Student%20Transportation%20Survey/Student%20Transportation%20Surveys%20-%202016-2018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ydel/Documents/Waste%20Management/Waste%20Characterization%20Reports/Waste%20Characterizatio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pital Worksheet"/>
      <sheetName val="Facilities Renewal Worksheet"/>
      <sheetName val="EUI"/>
      <sheetName val="Campus Emission Factors"/>
      <sheetName val="Campus CZ"/>
      <sheetName val="Historical Campus Emissions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Bakersfield</v>
          </cell>
        </row>
        <row r="5">
          <cell r="A5" t="str">
            <v>Chancellor's Office</v>
          </cell>
        </row>
        <row r="6">
          <cell r="A6" t="str">
            <v>Channel Islands</v>
          </cell>
        </row>
        <row r="7">
          <cell r="A7" t="str">
            <v>Chico</v>
          </cell>
        </row>
        <row r="8">
          <cell r="A8" t="str">
            <v>Dominguez Hills</v>
          </cell>
        </row>
        <row r="9">
          <cell r="A9" t="str">
            <v>East Bay</v>
          </cell>
        </row>
        <row r="10">
          <cell r="A10" t="str">
            <v>Fresno</v>
          </cell>
        </row>
        <row r="11">
          <cell r="A11" t="str">
            <v>Fullerton</v>
          </cell>
        </row>
        <row r="12">
          <cell r="A12" t="str">
            <v>Humboldt</v>
          </cell>
        </row>
        <row r="13">
          <cell r="A13" t="str">
            <v>Long Beach</v>
          </cell>
        </row>
        <row r="14">
          <cell r="A14" t="str">
            <v>Los Angeles</v>
          </cell>
        </row>
        <row r="15">
          <cell r="A15" t="str">
            <v>Maritime Academy</v>
          </cell>
        </row>
        <row r="16">
          <cell r="A16" t="str">
            <v>Monterey Bay</v>
          </cell>
        </row>
        <row r="17">
          <cell r="A17" t="str">
            <v>Northridge</v>
          </cell>
        </row>
        <row r="18">
          <cell r="A18" t="str">
            <v>Pomona</v>
          </cell>
        </row>
        <row r="19">
          <cell r="A19" t="str">
            <v>Sacramento</v>
          </cell>
        </row>
        <row r="20">
          <cell r="A20" t="str">
            <v>San Bernardino</v>
          </cell>
        </row>
        <row r="21">
          <cell r="A21" t="str">
            <v>San Diego</v>
          </cell>
        </row>
        <row r="22">
          <cell r="A22" t="str">
            <v>San Francisco</v>
          </cell>
        </row>
        <row r="23">
          <cell r="A23" t="str">
            <v>San Jose</v>
          </cell>
        </row>
        <row r="24">
          <cell r="A24" t="str">
            <v>San Luis Obispo</v>
          </cell>
        </row>
        <row r="25">
          <cell r="A25" t="str">
            <v>San Marcos</v>
          </cell>
        </row>
        <row r="26">
          <cell r="A26" t="str">
            <v>Sonoma</v>
          </cell>
        </row>
        <row r="27">
          <cell r="A27" t="str">
            <v>Stanislaus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Agreement"/>
      <sheetName val="Introduction"/>
      <sheetName val="Spreadsheet_Map"/>
      <sheetName val="Input"/>
      <sheetName val="Input_InflAdj"/>
      <sheetName val="CustFuelMix"/>
      <sheetName val="Input_Commuter"/>
      <sheetName val="S_CO2"/>
      <sheetName val="S_CH4"/>
      <sheetName val="S_N2O"/>
      <sheetName val="S_Energy"/>
      <sheetName val="S_CO2_Sum"/>
      <sheetName val="S_CH4_Sum"/>
      <sheetName val="S_N2O_Sum"/>
      <sheetName val="S_Energy_Sum"/>
      <sheetName val="S_eCO2_Sum"/>
      <sheetName val="S_Annual"/>
      <sheetName val="S_Demo"/>
      <sheetName val="ACUPCC_Reporting"/>
      <sheetName val="GraphControl"/>
      <sheetName val="Linear Projection"/>
      <sheetName val="Normalization"/>
      <sheetName val="Customized trends"/>
      <sheetName val="Detailed Projection"/>
      <sheetName val="Project_Input"/>
      <sheetName val="P_Cost_Ass"/>
      <sheetName val="Project_EF"/>
      <sheetName val="P_Emissions_Calc"/>
      <sheetName val="P_Source_Increases"/>
      <sheetName val="P_Source_Reductions"/>
      <sheetName val="P_Cash_Flow"/>
      <sheetName val="P_Sum"/>
      <sheetName val="P_Exec_Sum"/>
      <sheetName val="PG_EmissionsReductions"/>
      <sheetName val="PG_CapitalCost"/>
      <sheetName val="PG_AnnualCost"/>
      <sheetName val="PG_PaybackTime"/>
      <sheetName val="PG_IRR"/>
      <sheetName val="PG_NPV"/>
      <sheetName val="PG_CostPerReduction"/>
      <sheetName val="PG_eCO2_Wedges"/>
      <sheetName val="PG_vs_BAU"/>
      <sheetName val="EF_Map"/>
      <sheetName val="EF_CO2"/>
      <sheetName val="EF_CH4"/>
      <sheetName val="EF_N2O"/>
      <sheetName val="EF_Energy"/>
      <sheetName val="EF_eCO2"/>
      <sheetName val="EF_Stationary"/>
      <sheetName val="EF_Transportation"/>
      <sheetName val="EF_Agriculture"/>
      <sheetName val="EF_Animals"/>
      <sheetName val="EF_Refrigerants"/>
      <sheetName val="EF_Electric"/>
      <sheetName val="EF_ElectricMap"/>
      <sheetName val="EF_ElectricCO2"/>
      <sheetName val="EF_ElectricCH4N2O"/>
      <sheetName val="EF_ElectricCH4N20_Post2006"/>
      <sheetName val="EF_ElectricEnergy"/>
      <sheetName val="EF_ElectricLoss"/>
      <sheetName val="CustFuelMixConversion"/>
      <sheetName val="EF_ElectricGenEff"/>
      <sheetName val="EF_Steam"/>
      <sheetName val="EF_Water"/>
      <sheetName val="EF_SolidWaste"/>
      <sheetName val="EF_Wastewater"/>
      <sheetName val="EF_Paper"/>
      <sheetName val="EF_Offset"/>
      <sheetName val="EF_GWP"/>
      <sheetName val="EF_HeatingValues"/>
      <sheetName val="EF_CarbonContent"/>
      <sheetName val="EF_CH4N2O"/>
      <sheetName val="EF_Constants"/>
      <sheetName val="S_Graph_Sum"/>
      <sheetName val="G_TotalEmissions"/>
      <sheetName val="G_ScopeEmissions"/>
      <sheetName val="G_TotalCO2"/>
      <sheetName val="G_TotalCH4"/>
      <sheetName val="G_TotalN2O"/>
      <sheetName val="G_TotalEnergy"/>
      <sheetName val="G_Offset"/>
      <sheetName val="G_Demo_Emissions"/>
      <sheetName val="G_Operating$"/>
      <sheetName val="G_Research$"/>
      <sheetName val="G_Energy$"/>
      <sheetName val="G_Student"/>
      <sheetName val="G_Community"/>
      <sheetName val="G_BuildingSpace"/>
      <sheetName val="G_ResearchSpace"/>
      <sheetName val="G_HDD"/>
      <sheetName val="G_CDD"/>
      <sheetName val="G_Demo_Energy"/>
      <sheetName val="G_R_Operating$"/>
      <sheetName val="G_R_Research$"/>
      <sheetName val="G_R_Energy$"/>
      <sheetName val="G_R_Student"/>
      <sheetName val="G_R_Community"/>
      <sheetName val="G_R_BuildingSpace"/>
      <sheetName val="G_R_ResearchSpace"/>
      <sheetName val="G_R_HDD"/>
      <sheetName val="G_R_CDD"/>
      <sheetName val="G_NRG$_All"/>
      <sheetName val="Reference"/>
      <sheetName val="Troubleshooting_Guide"/>
      <sheetName val="Glossary"/>
      <sheetName val="Info"/>
      <sheetName val="Degree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7">
          <cell r="B7" t="str">
            <v>CO2</v>
          </cell>
        </row>
        <row r="8">
          <cell r="B8" t="str">
            <v>CH4</v>
          </cell>
        </row>
        <row r="9">
          <cell r="B9" t="str">
            <v>N2O</v>
          </cell>
        </row>
        <row r="10">
          <cell r="B10" t="str">
            <v>HFC-23</v>
          </cell>
        </row>
        <row r="11">
          <cell r="B11" t="str">
            <v>HFC-32</v>
          </cell>
        </row>
        <row r="12">
          <cell r="B12" t="str">
            <v>HFC-41</v>
          </cell>
        </row>
        <row r="13">
          <cell r="B13" t="str">
            <v>HFC-125</v>
          </cell>
        </row>
        <row r="14">
          <cell r="B14" t="str">
            <v>HFC-134</v>
          </cell>
        </row>
        <row r="15">
          <cell r="B15" t="str">
            <v>HFC-134a</v>
          </cell>
        </row>
        <row r="16">
          <cell r="B16" t="str">
            <v>HFC-143</v>
          </cell>
        </row>
        <row r="17">
          <cell r="B17" t="str">
            <v>HFC-143a</v>
          </cell>
        </row>
        <row r="18">
          <cell r="B18" t="str">
            <v>HFC-152</v>
          </cell>
        </row>
        <row r="19">
          <cell r="B19" t="str">
            <v>HFC-152a</v>
          </cell>
        </row>
        <row r="20">
          <cell r="B20" t="str">
            <v>HFC-161</v>
          </cell>
        </row>
        <row r="21">
          <cell r="B21" t="str">
            <v>HFC-227ea</v>
          </cell>
        </row>
        <row r="22">
          <cell r="B22" t="str">
            <v>HFC-236cb</v>
          </cell>
        </row>
        <row r="23">
          <cell r="B23" t="str">
            <v>HFC-236ea</v>
          </cell>
        </row>
        <row r="24">
          <cell r="B24" t="str">
            <v>HFC-236fa</v>
          </cell>
        </row>
        <row r="25">
          <cell r="B25" t="str">
            <v>HFC-245ca</v>
          </cell>
        </row>
        <row r="26">
          <cell r="B26" t="str">
            <v>HFC-245fa</v>
          </cell>
        </row>
        <row r="27">
          <cell r="B27" t="str">
            <v>HFC-365mfc</v>
          </cell>
        </row>
        <row r="28">
          <cell r="B28" t="str">
            <v>R-11</v>
          </cell>
        </row>
        <row r="29">
          <cell r="B29" t="str">
            <v>R-404a</v>
          </cell>
        </row>
        <row r="30">
          <cell r="B30" t="str">
            <v>R-407c</v>
          </cell>
        </row>
        <row r="31">
          <cell r="B31" t="str">
            <v>R-408a</v>
          </cell>
        </row>
        <row r="32">
          <cell r="B32" t="str">
            <v>R-414b</v>
          </cell>
        </row>
        <row r="33">
          <cell r="B33" t="str">
            <v>R-420a</v>
          </cell>
        </row>
        <row r="34">
          <cell r="B34" t="str">
            <v>R-508b</v>
          </cell>
        </row>
        <row r="35">
          <cell r="B35" t="str">
            <v>HFC-4310mee</v>
          </cell>
        </row>
        <row r="36">
          <cell r="B36" t="str">
            <v>FIC-1311</v>
          </cell>
        </row>
        <row r="37">
          <cell r="B37" t="str">
            <v>SF6</v>
          </cell>
        </row>
        <row r="38">
          <cell r="B38" t="str">
            <v>CF4</v>
          </cell>
        </row>
        <row r="39">
          <cell r="B39" t="str">
            <v>C2F6</v>
          </cell>
        </row>
        <row r="40">
          <cell r="B40" t="str">
            <v>C3F8</v>
          </cell>
        </row>
        <row r="41">
          <cell r="B41" t="str">
            <v>C4F10</v>
          </cell>
        </row>
        <row r="42">
          <cell r="B42" t="str">
            <v>c-C4F8</v>
          </cell>
        </row>
        <row r="43">
          <cell r="B43" t="str">
            <v>C5F12</v>
          </cell>
        </row>
        <row r="44">
          <cell r="B44" t="str">
            <v>C6F14</v>
          </cell>
        </row>
        <row r="45">
          <cell r="B45" t="str">
            <v>CH3OCH3</v>
          </cell>
        </row>
        <row r="46">
          <cell r="B46" t="str">
            <v>(CF3)2CFOCH3</v>
          </cell>
        </row>
        <row r="47">
          <cell r="B47" t="str">
            <v>(CF3)CH2OH</v>
          </cell>
        </row>
        <row r="48">
          <cell r="B48" t="str">
            <v>CF3CF2CH2OH</v>
          </cell>
        </row>
        <row r="49">
          <cell r="B49" t="str">
            <v>(CF3)2CHOH</v>
          </cell>
        </row>
        <row r="50">
          <cell r="B50" t="str">
            <v>HFE-125</v>
          </cell>
        </row>
        <row r="51">
          <cell r="B51" t="str">
            <v>HFE-134</v>
          </cell>
        </row>
        <row r="52">
          <cell r="B52" t="str">
            <v>HFE-143a</v>
          </cell>
        </row>
        <row r="53">
          <cell r="B53" t="str">
            <v>HCFE-235da2</v>
          </cell>
        </row>
        <row r="54">
          <cell r="B54" t="str">
            <v>HCFC-22</v>
          </cell>
        </row>
        <row r="55">
          <cell r="B55" t="str">
            <v>HFE-245cb2</v>
          </cell>
        </row>
        <row r="56">
          <cell r="B56" t="str">
            <v>HFE-245fa2</v>
          </cell>
        </row>
        <row r="57">
          <cell r="B57" t="str">
            <v>HFE-254cb2</v>
          </cell>
        </row>
        <row r="58">
          <cell r="B58" t="str">
            <v>HFE-347mcc3</v>
          </cell>
        </row>
        <row r="59">
          <cell r="B59" t="str">
            <v>HFE-356pcf3</v>
          </cell>
        </row>
        <row r="60">
          <cell r="B60" t="str">
            <v>HFE-374pcf2</v>
          </cell>
        </row>
        <row r="61">
          <cell r="B61" t="str">
            <v>HFE-7100</v>
          </cell>
        </row>
        <row r="62">
          <cell r="B62" t="str">
            <v>HFE-7200</v>
          </cell>
        </row>
        <row r="63">
          <cell r="B63" t="str">
            <v>H-Galden 1040x</v>
          </cell>
        </row>
        <row r="64">
          <cell r="B64" t="str">
            <v>HG-10</v>
          </cell>
        </row>
        <row r="65">
          <cell r="B65" t="str">
            <v>HG-01</v>
          </cell>
        </row>
        <row r="66">
          <cell r="B66" t="str">
            <v>NF3</v>
          </cell>
        </row>
        <row r="67">
          <cell r="B67" t="str">
            <v>SF5CF3</v>
          </cell>
        </row>
        <row r="68">
          <cell r="B68" t="str">
            <v>c-C3F6</v>
          </cell>
        </row>
        <row r="69">
          <cell r="B69" t="str">
            <v>HFE-227ea</v>
          </cell>
        </row>
        <row r="70">
          <cell r="B70" t="str">
            <v>HFE-236ea2</v>
          </cell>
        </row>
        <row r="71">
          <cell r="B71" t="str">
            <v>HFE-236fa</v>
          </cell>
        </row>
        <row r="72">
          <cell r="B72" t="str">
            <v>HFE-245fa1</v>
          </cell>
        </row>
        <row r="73">
          <cell r="B73" t="str">
            <v>HFE-263fb2</v>
          </cell>
        </row>
        <row r="74">
          <cell r="B74" t="str">
            <v>HFE-329mcc2</v>
          </cell>
        </row>
        <row r="75">
          <cell r="B75" t="str">
            <v>HFE-338mcf2</v>
          </cell>
        </row>
        <row r="76">
          <cell r="B76" t="str">
            <v>HFE-347-mcf2</v>
          </cell>
        </row>
        <row r="77">
          <cell r="B77" t="str">
            <v>HFE-356mec3</v>
          </cell>
        </row>
        <row r="78">
          <cell r="B78" t="str">
            <v>HFE-356pcc3</v>
          </cell>
        </row>
        <row r="79">
          <cell r="B79" t="str">
            <v>HFE-356pcf2</v>
          </cell>
        </row>
        <row r="80">
          <cell r="B80" t="str">
            <v>HFE-365mcf3</v>
          </cell>
        </row>
        <row r="81">
          <cell r="B81" t="str">
            <v>(CF3)2CHOCHF2</v>
          </cell>
        </row>
        <row r="82">
          <cell r="B82" t="str">
            <v>(CF3)2CHOCH3</v>
          </cell>
        </row>
        <row r="83">
          <cell r="B83" t="str">
            <v>(CF2)4CH(OH)</v>
          </cell>
        </row>
        <row r="84">
          <cell r="B84" t="str">
            <v>Other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Data by FY"/>
      <sheetName val="MER Data by FY"/>
      <sheetName val="Comparison"/>
      <sheetName val="FY Summary"/>
      <sheetName val="CarbonMAP Inventory"/>
      <sheetName val="CO Table - 1990-2014"/>
      <sheetName val="CO Chart - 1990-2014"/>
      <sheetName val="Summary Comparison"/>
      <sheetName val="Reference"/>
      <sheetName val="LADWP Emission Facto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"/>
      <sheetName val="FY 2015-16 Data"/>
      <sheetName val="2016 Summary"/>
      <sheetName val="FY 2016-17 Original"/>
      <sheetName val="2017 Modified"/>
      <sheetName val="2017 Summary"/>
      <sheetName val="2017-18 Original"/>
      <sheetName val="2018 Modified"/>
      <sheetName val="2018 Summary"/>
      <sheetName val="Assumptions"/>
      <sheetName val="Academic Calendar"/>
    </sheetNames>
    <sheetDataSet>
      <sheetData sheetId="0"/>
      <sheetData sheetId="1"/>
      <sheetData sheetId="2">
        <row r="1">
          <cell r="K1">
            <v>696</v>
          </cell>
        </row>
        <row r="21">
          <cell r="J21">
            <v>8.2643678160919549</v>
          </cell>
        </row>
        <row r="45">
          <cell r="B45">
            <v>0.62686095843024514</v>
          </cell>
        </row>
        <row r="46">
          <cell r="B46">
            <v>3.5255231531042134E-3</v>
          </cell>
        </row>
        <row r="47">
          <cell r="B47">
            <v>6.5718446949483006E-2</v>
          </cell>
        </row>
        <row r="48">
          <cell r="B48">
            <v>6.2846118425570197E-2</v>
          </cell>
        </row>
        <row r="50">
          <cell r="B50">
            <v>0.17712226604072881</v>
          </cell>
        </row>
        <row r="51">
          <cell r="B51">
            <v>6.3926687000868759E-2</v>
          </cell>
        </row>
        <row r="98">
          <cell r="B98">
            <v>11.277629497019303</v>
          </cell>
        </row>
        <row r="99">
          <cell r="B99">
            <v>7.8976666666666659</v>
          </cell>
        </row>
        <row r="100">
          <cell r="B100">
            <v>13.359618838689562</v>
          </cell>
        </row>
        <row r="101">
          <cell r="B101">
            <v>29.511038889148328</v>
          </cell>
        </row>
        <row r="103">
          <cell r="B103">
            <v>11.843396007752849</v>
          </cell>
        </row>
        <row r="104">
          <cell r="B104">
            <v>2.675010822510822</v>
          </cell>
        </row>
      </sheetData>
      <sheetData sheetId="3"/>
      <sheetData sheetId="4"/>
      <sheetData sheetId="5">
        <row r="1">
          <cell r="K1">
            <v>482</v>
          </cell>
        </row>
        <row r="18">
          <cell r="J18">
            <v>9.0248962655601659</v>
          </cell>
        </row>
        <row r="39">
          <cell r="B39">
            <v>0.58660515920765133</v>
          </cell>
        </row>
        <row r="40">
          <cell r="B40">
            <v>2.0608413941835772E-3</v>
          </cell>
        </row>
        <row r="41">
          <cell r="B41">
            <v>7.021570766591971E-2</v>
          </cell>
        </row>
        <row r="42">
          <cell r="B42">
            <v>4.975913104849651E-2</v>
          </cell>
        </row>
        <row r="44">
          <cell r="B44">
            <v>0.2180604780193309</v>
          </cell>
        </row>
        <row r="45">
          <cell r="B45">
            <v>7.3298682664417969E-2</v>
          </cell>
        </row>
        <row r="86">
          <cell r="B86">
            <v>13.654160711831738</v>
          </cell>
        </row>
        <row r="87">
          <cell r="B87">
            <v>3.8675000000000002</v>
          </cell>
        </row>
        <row r="88">
          <cell r="B88">
            <v>11.46484457124955</v>
          </cell>
        </row>
        <row r="89">
          <cell r="B89">
            <v>22.835504787000438</v>
          </cell>
        </row>
        <row r="91">
          <cell r="B91">
            <v>10.223050923745088</v>
          </cell>
        </row>
        <row r="92">
          <cell r="B92">
            <v>2.6695793650793651</v>
          </cell>
        </row>
      </sheetData>
      <sheetData sheetId="6"/>
      <sheetData sheetId="7"/>
      <sheetData sheetId="8">
        <row r="1">
          <cell r="K1">
            <v>658</v>
          </cell>
        </row>
        <row r="14">
          <cell r="J14">
            <v>8.401215805471125</v>
          </cell>
        </row>
        <row r="32">
          <cell r="B32">
            <v>0.56630451944362536</v>
          </cell>
        </row>
        <row r="33">
          <cell r="B33">
            <v>6.2957905897310347E-3</v>
          </cell>
        </row>
        <row r="34">
          <cell r="B34">
            <v>7.3197286923457727E-2</v>
          </cell>
        </row>
        <row r="35">
          <cell r="B35">
            <v>4.9908441946864016E-2</v>
          </cell>
        </row>
        <row r="37">
          <cell r="B37">
            <v>0.23545664088801901</v>
          </cell>
        </row>
        <row r="38">
          <cell r="B38">
            <v>6.883732020830273E-2</v>
          </cell>
        </row>
        <row r="72">
          <cell r="B72">
            <v>12.45430128818804</v>
          </cell>
        </row>
        <row r="73">
          <cell r="B73">
            <v>4.040633333333334</v>
          </cell>
        </row>
        <row r="74">
          <cell r="B74">
            <v>10.445639370863054</v>
          </cell>
        </row>
        <row r="75">
          <cell r="B75">
            <v>26.958743980768723</v>
          </cell>
        </row>
        <row r="77">
          <cell r="B77">
            <v>11.403466720502099</v>
          </cell>
        </row>
        <row r="78">
          <cell r="B78">
            <v>2.68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ervices"/>
      <sheetName val="Front Loader Services"/>
      <sheetName val="Roll-Off Services"/>
    </sheetNames>
    <sheetDataSet>
      <sheetData sheetId="0"/>
      <sheetData sheetId="1">
        <row r="20">
          <cell r="D20">
            <v>24.65</v>
          </cell>
          <cell r="E20">
            <v>24.349999999999994</v>
          </cell>
          <cell r="F20">
            <v>24.7</v>
          </cell>
          <cell r="G20">
            <v>25</v>
          </cell>
          <cell r="H20">
            <v>24.75</v>
          </cell>
          <cell r="I20">
            <v>24.049999999999997</v>
          </cell>
          <cell r="J20">
            <v>24.499999999999996</v>
          </cell>
          <cell r="K20">
            <v>24.5</v>
          </cell>
          <cell r="L20">
            <v>25.05</v>
          </cell>
          <cell r="M20">
            <v>24.85</v>
          </cell>
          <cell r="N20">
            <v>25.249999999999996</v>
          </cell>
          <cell r="O20">
            <v>30.4</v>
          </cell>
          <cell r="P20">
            <v>29.65</v>
          </cell>
          <cell r="Q20">
            <v>28.200000000000003</v>
          </cell>
          <cell r="R20">
            <v>29.460000000000004</v>
          </cell>
          <cell r="S20">
            <v>29.449999999999992</v>
          </cell>
          <cell r="U20">
            <v>27.85</v>
          </cell>
          <cell r="V20">
            <v>27.75</v>
          </cell>
          <cell r="W20">
            <v>28.250000000000004</v>
          </cell>
          <cell r="X20">
            <v>29.35</v>
          </cell>
          <cell r="Y20">
            <v>29.900000000000002</v>
          </cell>
          <cell r="Z20">
            <v>27.700000000000006</v>
          </cell>
          <cell r="AB20">
            <v>25.349999999999998</v>
          </cell>
          <cell r="AC20">
            <v>23</v>
          </cell>
          <cell r="AD20">
            <v>28.249999999999996</v>
          </cell>
          <cell r="AE20">
            <v>27.849999999999998</v>
          </cell>
          <cell r="AF20">
            <v>26.749999999999996</v>
          </cell>
          <cell r="AG20">
            <v>27.549999999999994</v>
          </cell>
          <cell r="AH20">
            <v>28.099999999999998</v>
          </cell>
        </row>
      </sheetData>
      <sheetData sheetId="2">
        <row r="2">
          <cell r="D2">
            <v>4.3600000000000003</v>
          </cell>
          <cell r="E2">
            <v>7.89</v>
          </cell>
          <cell r="F2">
            <v>3.09</v>
          </cell>
          <cell r="G2">
            <v>3</v>
          </cell>
          <cell r="H2">
            <v>2</v>
          </cell>
          <cell r="I2">
            <v>3.93</v>
          </cell>
          <cell r="J2">
            <v>14.75</v>
          </cell>
          <cell r="K2">
            <v>10.09</v>
          </cell>
          <cell r="L2">
            <v>4.5599999999999996</v>
          </cell>
          <cell r="M2">
            <v>3.03</v>
          </cell>
          <cell r="N2">
            <v>2.12</v>
          </cell>
          <cell r="O2">
            <v>7.39</v>
          </cell>
          <cell r="P2">
            <v>9.77</v>
          </cell>
          <cell r="Q2">
            <v>10.52</v>
          </cell>
          <cell r="R2">
            <v>12.85</v>
          </cell>
          <cell r="S2">
            <v>9.7899999999999991</v>
          </cell>
          <cell r="T2">
            <v>2.68</v>
          </cell>
          <cell r="U2">
            <v>2.29</v>
          </cell>
          <cell r="V2">
            <v>4.2300000000000004</v>
          </cell>
          <cell r="W2">
            <v>5.36</v>
          </cell>
          <cell r="X2">
            <v>5.19</v>
          </cell>
          <cell r="Y2">
            <v>11.41</v>
          </cell>
          <cell r="Z2">
            <v>3.97</v>
          </cell>
          <cell r="AA2">
            <v>11.19</v>
          </cell>
          <cell r="AB2">
            <v>9.67</v>
          </cell>
          <cell r="AC2">
            <v>17.23</v>
          </cell>
          <cell r="AD2">
            <v>9.34</v>
          </cell>
          <cell r="AE2">
            <v>14.66</v>
          </cell>
          <cell r="AF2">
            <v>11.32</v>
          </cell>
          <cell r="AG2">
            <v>4.8600000000000003</v>
          </cell>
          <cell r="AH2">
            <v>8.98</v>
          </cell>
          <cell r="AI2">
            <v>7.02</v>
          </cell>
          <cell r="AJ2">
            <v>8.08</v>
          </cell>
          <cell r="AK2">
            <v>14.51</v>
          </cell>
          <cell r="AL2">
            <v>30.61</v>
          </cell>
        </row>
        <row r="11">
          <cell r="D11">
            <v>27.47</v>
          </cell>
          <cell r="E11">
            <v>26.97</v>
          </cell>
          <cell r="F11">
            <v>28.57</v>
          </cell>
          <cell r="G11">
            <v>35.15</v>
          </cell>
          <cell r="H11">
            <v>19.77</v>
          </cell>
          <cell r="I11">
            <v>13.56</v>
          </cell>
          <cell r="J11">
            <v>38.380000000000003</v>
          </cell>
          <cell r="K11">
            <v>36.08</v>
          </cell>
          <cell r="L11">
            <v>20.47</v>
          </cell>
          <cell r="M11">
            <v>18.84</v>
          </cell>
          <cell r="N11">
            <v>18.02</v>
          </cell>
          <cell r="O11">
            <v>20.49</v>
          </cell>
          <cell r="P11">
            <v>31.78</v>
          </cell>
          <cell r="Q11">
            <v>30.17</v>
          </cell>
          <cell r="R11">
            <v>36.81</v>
          </cell>
          <cell r="S11">
            <v>29.85</v>
          </cell>
          <cell r="U11">
            <v>15.88</v>
          </cell>
          <cell r="V11">
            <v>28.15</v>
          </cell>
          <cell r="W11">
            <v>24.58</v>
          </cell>
          <cell r="X11">
            <v>36.979999999999997</v>
          </cell>
          <cell r="Y11">
            <v>42.49</v>
          </cell>
          <cell r="Z11">
            <v>30.73</v>
          </cell>
          <cell r="AC11">
            <v>116.84</v>
          </cell>
          <cell r="AD11">
            <v>57.68</v>
          </cell>
          <cell r="AE11">
            <v>75.540000000000006</v>
          </cell>
          <cell r="AF11">
            <v>46.82</v>
          </cell>
          <cell r="AG11">
            <v>41.01</v>
          </cell>
          <cell r="AH11">
            <v>24.74</v>
          </cell>
          <cell r="AI11">
            <v>47.42</v>
          </cell>
          <cell r="AJ11">
            <v>57.04</v>
          </cell>
          <cell r="AK11">
            <v>54.129999999999995</v>
          </cell>
          <cell r="AL11">
            <v>77.67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unnyportal.com/Templates/PublicPage.aspx?page=c808553b-d904-45d1-bcd3-5732c7c98c8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unnyportal.com/Templates/PublicPage.aspx?page=c808553b-d904-45d1-bcd3-5732c7c98c85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oogle.com/url?sa=t&amp;rct=j&amp;q=&amp;esrc=s&amp;source=web&amp;cd=16&amp;cad=rja&amp;uact=8&amp;ved=0ahUKEwit0IPxpa7aAhUCYK0KHeS8BfUQFgifATAP&amp;url=http%3A%2F%2Fwww.uigi.com%2Fh2_conv.html&amp;usg=AOvVaw0DJ2_riIIzDeTiY91OJsO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nhsimap.org/cmap/footprint" TargetMode="External"/><Relationship Id="rId2" Type="http://schemas.openxmlformats.org/officeDocument/2006/relationships/hyperlink" Target="https://unhsimap.org/cmap/footprint" TargetMode="External"/><Relationship Id="rId1" Type="http://schemas.openxmlformats.org/officeDocument/2006/relationships/hyperlink" Target="https://unhsimap.org/cmap/footprint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unhsimap.org/cmap/footprint" TargetMode="External"/><Relationship Id="rId4" Type="http://schemas.openxmlformats.org/officeDocument/2006/relationships/hyperlink" Target="https://unhsimap.org/cmap/footpri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a.gov/environment/emissions/co2_vol_mass.php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calstate.edu/as/cyr/cyr17-18/table05.shtml" TargetMode="External"/><Relationship Id="rId1" Type="http://schemas.openxmlformats.org/officeDocument/2006/relationships/hyperlink" Target="https://www.epa.gov/energy/egrid-2012-subregion-ghg-output-emission-rates" TargetMode="External"/><Relationship Id="rId6" Type="http://schemas.openxmlformats.org/officeDocument/2006/relationships/hyperlink" Target="https://www.ladwp.com/cs/idcplg?IdcService=GET_FILE&amp;dDocName=OPLADWPCCB655007&amp;RevisionSelectionMethod=LatestReleased" TargetMode="External"/><Relationship Id="rId5" Type="http://schemas.openxmlformats.org/officeDocument/2006/relationships/hyperlink" Target="https://www.metric-conversions.org/" TargetMode="External"/><Relationship Id="rId4" Type="http://schemas.openxmlformats.org/officeDocument/2006/relationships/hyperlink" Target="https://www.epa.gov/energy/greenhouse-gases-equivalencies-calculator-calculations-and-reference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1" sqref="F11"/>
    </sheetView>
  </sheetViews>
  <sheetFormatPr defaultRowHeight="15"/>
  <cols>
    <col min="1" max="1" width="8.140625" bestFit="1" customWidth="1"/>
    <col min="2" max="2" width="30.7109375" bestFit="1" customWidth="1"/>
    <col min="3" max="3" width="20.140625" bestFit="1" customWidth="1"/>
    <col min="4" max="6" width="14.28515625" bestFit="1" customWidth="1"/>
    <col min="7" max="7" width="14.28515625" customWidth="1"/>
    <col min="8" max="8" width="14.28515625" style="66" customWidth="1"/>
    <col min="9" max="9" width="9" bestFit="1" customWidth="1"/>
    <col min="10" max="10" width="30.5703125" style="5" bestFit="1" customWidth="1"/>
  </cols>
  <sheetData>
    <row r="1" spans="1:19" ht="15.75" thickBot="1">
      <c r="A1" s="1"/>
      <c r="B1" s="1"/>
      <c r="C1" s="2"/>
      <c r="D1" s="51" t="s">
        <v>9</v>
      </c>
      <c r="E1" s="52" t="s">
        <v>10</v>
      </c>
      <c r="F1" s="53" t="s">
        <v>11</v>
      </c>
      <c r="G1" s="52" t="s">
        <v>103</v>
      </c>
      <c r="H1" s="52" t="s">
        <v>118</v>
      </c>
      <c r="I1" s="54" t="s">
        <v>47</v>
      </c>
      <c r="J1" s="78" t="s">
        <v>139</v>
      </c>
    </row>
    <row r="2" spans="1:19">
      <c r="A2" s="340" t="s">
        <v>143</v>
      </c>
      <c r="B2" s="332" t="s">
        <v>196</v>
      </c>
      <c r="C2" s="84" t="s">
        <v>0</v>
      </c>
      <c r="D2" s="87">
        <f>Oil!B2</f>
        <v>600</v>
      </c>
      <c r="E2" s="87">
        <f>Oil!C2</f>
        <v>355</v>
      </c>
      <c r="F2" s="87">
        <f>Oil!D2</f>
        <v>524</v>
      </c>
      <c r="G2" s="87">
        <f>Oil!E2</f>
        <v>260</v>
      </c>
      <c r="H2" s="87">
        <f>Oil!F2</f>
        <v>255</v>
      </c>
      <c r="I2" s="80" t="s">
        <v>48</v>
      </c>
      <c r="J2" s="92" t="s">
        <v>134</v>
      </c>
    </row>
    <row r="3" spans="1:19">
      <c r="A3" s="341"/>
      <c r="B3" s="333"/>
      <c r="C3" s="85" t="s">
        <v>1</v>
      </c>
      <c r="D3" s="88">
        <f>Oil!B21*1000</f>
        <v>3825.9000000000005</v>
      </c>
      <c r="E3" s="88">
        <f>Oil!C21*1000</f>
        <v>2631.9999999999991</v>
      </c>
      <c r="F3" s="88">
        <f>Oil!D21*1000</f>
        <v>2861.9999999999995</v>
      </c>
      <c r="G3" s="88">
        <f>Oil!E21*1000</f>
        <v>3235.0039999999999</v>
      </c>
      <c r="H3" s="88">
        <f>Oil!F21*1000</f>
        <v>3219.0030000000002</v>
      </c>
      <c r="I3" s="81" t="s">
        <v>48</v>
      </c>
      <c r="J3" s="93" t="s">
        <v>73</v>
      </c>
    </row>
    <row r="4" spans="1:19">
      <c r="A4" s="341"/>
      <c r="B4" s="333"/>
      <c r="C4" s="86" t="s">
        <v>2</v>
      </c>
      <c r="D4" s="88">
        <f>MER!N3</f>
        <v>733891</v>
      </c>
      <c r="E4" s="24">
        <f>MER!N10</f>
        <v>731593</v>
      </c>
      <c r="F4" s="57">
        <f>MER!N17</f>
        <v>570066</v>
      </c>
      <c r="G4" s="57">
        <f>MER!N24</f>
        <v>674699</v>
      </c>
      <c r="H4" s="79">
        <f>MER!N31</f>
        <v>557186</v>
      </c>
      <c r="I4" s="82" t="s">
        <v>66</v>
      </c>
      <c r="J4" s="43" t="s">
        <v>55</v>
      </c>
    </row>
    <row r="5" spans="1:19">
      <c r="A5" s="341"/>
      <c r="B5" s="333"/>
      <c r="C5" s="86" t="s">
        <v>12</v>
      </c>
      <c r="D5" s="88">
        <f>MER!N6</f>
        <v>120</v>
      </c>
      <c r="E5" s="24">
        <f>MER!N13</f>
        <v>44</v>
      </c>
      <c r="F5" s="24">
        <f>MER!N20</f>
        <v>141.86000000000001</v>
      </c>
      <c r="G5" s="24">
        <f>MER!N27</f>
        <v>12</v>
      </c>
      <c r="H5" s="67">
        <f>MER!N34</f>
        <v>0</v>
      </c>
      <c r="I5" s="82" t="s">
        <v>48</v>
      </c>
      <c r="J5" s="43" t="s">
        <v>55</v>
      </c>
    </row>
    <row r="6" spans="1:19" ht="15.75" thickBot="1">
      <c r="A6" s="341"/>
      <c r="B6" s="334"/>
      <c r="C6" s="99" t="s">
        <v>3</v>
      </c>
      <c r="D6" s="89">
        <f>Sunnyportal!D14</f>
        <v>0</v>
      </c>
      <c r="E6" s="89">
        <f>Sunnyportal!E14</f>
        <v>10626.970000000001</v>
      </c>
      <c r="F6" s="89">
        <f>Sunnyportal!F14</f>
        <v>11369.241000000002</v>
      </c>
      <c r="G6" s="89">
        <f>Sunnyportal!G14</f>
        <v>10250.352499999999</v>
      </c>
      <c r="H6" s="89">
        <f>Sunnyportal!H14</f>
        <v>0</v>
      </c>
      <c r="I6" s="83" t="s">
        <v>25</v>
      </c>
      <c r="J6" s="100" t="s">
        <v>97</v>
      </c>
    </row>
    <row r="7" spans="1:19">
      <c r="A7" s="341"/>
      <c r="B7" s="335" t="s">
        <v>197</v>
      </c>
      <c r="C7" s="102" t="s">
        <v>4</v>
      </c>
      <c r="D7" s="87">
        <f>MER!N5</f>
        <v>19738.7</v>
      </c>
      <c r="E7" s="25">
        <f>MER!N12</f>
        <v>20349.29</v>
      </c>
      <c r="F7" s="25">
        <f>MER!N19</f>
        <v>24602.389999999996</v>
      </c>
      <c r="G7" s="25">
        <f>MER!N26</f>
        <v>20178.22</v>
      </c>
      <c r="H7" s="103">
        <f>MER!N33</f>
        <v>24954.91</v>
      </c>
      <c r="I7" s="104" t="s">
        <v>48</v>
      </c>
      <c r="J7" s="44" t="s">
        <v>55</v>
      </c>
    </row>
    <row r="8" spans="1:19" ht="15.75" thickBot="1">
      <c r="A8" s="341"/>
      <c r="B8" s="336"/>
      <c r="C8" s="86" t="s">
        <v>5</v>
      </c>
      <c r="D8" s="88">
        <f>MER!N4</f>
        <v>1571.9499999999998</v>
      </c>
      <c r="E8" s="24">
        <f>MER!N11</f>
        <v>1756</v>
      </c>
      <c r="F8" s="24">
        <f>MER!N18</f>
        <v>2105.8000000000002</v>
      </c>
      <c r="G8" s="24">
        <f>MER!N25</f>
        <v>204</v>
      </c>
      <c r="H8" s="67">
        <f>MER!N32</f>
        <v>2088.7000000000003</v>
      </c>
      <c r="I8" s="82" t="s">
        <v>48</v>
      </c>
      <c r="J8" s="43" t="s">
        <v>55</v>
      </c>
    </row>
    <row r="9" spans="1:19">
      <c r="A9" s="341"/>
      <c r="B9" s="337" t="s">
        <v>166</v>
      </c>
      <c r="C9" s="119" t="s">
        <v>6</v>
      </c>
      <c r="D9" s="39">
        <f>Refrigerants!Q3</f>
        <v>0</v>
      </c>
      <c r="E9" s="25">
        <f>Refrigerants!R3</f>
        <v>0.53125</v>
      </c>
      <c r="F9" s="25">
        <f>Refrigerants!S3</f>
        <v>0</v>
      </c>
      <c r="G9" s="25">
        <f>Refrigerants!T3</f>
        <v>0</v>
      </c>
      <c r="H9" s="77">
        <f>Refrigerants!U3</f>
        <v>0</v>
      </c>
      <c r="I9" s="41" t="s">
        <v>74</v>
      </c>
      <c r="J9" s="92" t="s">
        <v>191</v>
      </c>
    </row>
    <row r="10" spans="1:19">
      <c r="A10" s="341"/>
      <c r="B10" s="338"/>
      <c r="C10" s="120" t="s">
        <v>7</v>
      </c>
      <c r="D10" s="37">
        <f>Refrigerants!Q4</f>
        <v>1</v>
      </c>
      <c r="E10" s="24">
        <f>Refrigerants!R4</f>
        <v>19.987500000000001</v>
      </c>
      <c r="F10" s="24">
        <f>Refrigerants!S4</f>
        <v>21.015625</v>
      </c>
      <c r="G10" s="24">
        <f>Refrigerants!T4</f>
        <v>2</v>
      </c>
      <c r="H10" s="38">
        <f>Refrigerants!U4</f>
        <v>37.958333333333336</v>
      </c>
      <c r="I10" s="12" t="s">
        <v>74</v>
      </c>
      <c r="J10" s="93" t="s">
        <v>191</v>
      </c>
      <c r="M10" s="66"/>
      <c r="N10" s="66"/>
      <c r="O10" s="66"/>
      <c r="P10" s="66"/>
      <c r="Q10" s="66"/>
      <c r="R10" s="66"/>
      <c r="S10" s="66"/>
    </row>
    <row r="11" spans="1:19">
      <c r="A11" s="341"/>
      <c r="B11" s="338"/>
      <c r="C11" s="120" t="s">
        <v>8</v>
      </c>
      <c r="D11" s="37">
        <f>Refrigerants!Q2</f>
        <v>17</v>
      </c>
      <c r="E11" s="24">
        <f>Refrigerants!R2</f>
        <v>15.15625</v>
      </c>
      <c r="F11" s="24">
        <f>Refrigerants!S2</f>
        <v>36.3125</v>
      </c>
      <c r="G11" s="24">
        <f>Refrigerants!T2</f>
        <v>38</v>
      </c>
      <c r="H11" s="38">
        <f>Refrigerants!U2</f>
        <v>73</v>
      </c>
      <c r="I11" s="12" t="s">
        <v>74</v>
      </c>
      <c r="J11" s="93" t="s">
        <v>191</v>
      </c>
      <c r="M11" s="66"/>
      <c r="N11" s="66"/>
      <c r="O11" s="66"/>
      <c r="P11" s="66"/>
      <c r="Q11" s="66"/>
      <c r="R11" s="66"/>
      <c r="S11" s="66"/>
    </row>
    <row r="12" spans="1:19" ht="15.75" thickBot="1">
      <c r="A12" s="341"/>
      <c r="B12" s="339"/>
      <c r="C12" s="122" t="s">
        <v>101</v>
      </c>
      <c r="D12" s="237">
        <f>Refrigerants!Q5</f>
        <v>2</v>
      </c>
      <c r="E12" s="123">
        <f>Refrigerants!R5</f>
        <v>0</v>
      </c>
      <c r="F12" s="123">
        <f>Refrigerants!S5</f>
        <v>14.5</v>
      </c>
      <c r="G12" s="123">
        <f>Refrigerants!T5</f>
        <v>0</v>
      </c>
      <c r="H12" s="243">
        <f>Refrigerants!U5</f>
        <v>74</v>
      </c>
      <c r="I12" s="42" t="s">
        <v>74</v>
      </c>
      <c r="J12" s="158" t="s">
        <v>191</v>
      </c>
      <c r="M12" s="66"/>
      <c r="N12" s="66"/>
      <c r="O12" s="66"/>
      <c r="P12" s="66"/>
      <c r="Q12" s="66"/>
      <c r="R12" s="66"/>
      <c r="S12" s="66"/>
    </row>
    <row r="13" spans="1:19">
      <c r="A13" s="341"/>
      <c r="B13" s="343" t="s">
        <v>100</v>
      </c>
      <c r="C13" s="121" t="s">
        <v>131</v>
      </c>
      <c r="D13" s="39">
        <v>0</v>
      </c>
      <c r="E13" s="25">
        <v>0</v>
      </c>
      <c r="F13" s="247">
        <f>Fertilizers!B5</f>
        <v>1236</v>
      </c>
      <c r="G13" s="247">
        <f>Fertilizers!C5</f>
        <v>418</v>
      </c>
      <c r="H13" s="248">
        <f>Fertilizers!D5</f>
        <v>360</v>
      </c>
      <c r="I13" s="241" t="s">
        <v>74</v>
      </c>
      <c r="J13" s="101" t="s">
        <v>133</v>
      </c>
      <c r="M13" s="66"/>
      <c r="N13" s="66"/>
      <c r="O13" s="66"/>
      <c r="P13" s="66"/>
      <c r="Q13" s="66"/>
      <c r="R13" s="66"/>
      <c r="S13" s="66"/>
    </row>
    <row r="14" spans="1:19" s="66" customFormat="1" ht="15.75" thickBot="1">
      <c r="A14" s="342"/>
      <c r="B14" s="344"/>
      <c r="C14" s="125" t="s">
        <v>130</v>
      </c>
      <c r="D14" s="40">
        <v>0</v>
      </c>
      <c r="E14" s="26">
        <v>0</v>
      </c>
      <c r="F14" s="91">
        <f>Fertilizers!F6</f>
        <v>0.39667128987517331</v>
      </c>
      <c r="G14" s="91">
        <f>Fertilizers!G6</f>
        <v>0.12821698258591463</v>
      </c>
      <c r="H14" s="249">
        <f>Fertilizers!H6</f>
        <v>0.1433194637078132</v>
      </c>
      <c r="I14" s="242" t="s">
        <v>192</v>
      </c>
      <c r="J14" s="124" t="s">
        <v>133</v>
      </c>
    </row>
    <row r="15" spans="1:19" ht="15.75" thickBot="1">
      <c r="A15" s="345" t="s">
        <v>141</v>
      </c>
      <c r="B15" s="127" t="s">
        <v>13</v>
      </c>
      <c r="C15" s="128" t="s">
        <v>25</v>
      </c>
      <c r="D15" s="244">
        <f>MER!N2</f>
        <v>40244202</v>
      </c>
      <c r="E15" s="245">
        <f>MER!N9</f>
        <v>39439257</v>
      </c>
      <c r="F15" s="245">
        <f>MER!N16</f>
        <v>42169248</v>
      </c>
      <c r="G15" s="245">
        <f>MER!N23</f>
        <v>40372423</v>
      </c>
      <c r="H15" s="246">
        <v>38900071</v>
      </c>
      <c r="I15" s="129" t="s">
        <v>25</v>
      </c>
      <c r="J15" s="130" t="s">
        <v>55</v>
      </c>
      <c r="M15" s="66"/>
      <c r="N15" s="66"/>
      <c r="O15" s="66"/>
      <c r="P15" s="66"/>
      <c r="Q15" s="66"/>
      <c r="R15" s="66"/>
      <c r="S15" s="66"/>
    </row>
    <row r="16" spans="1:19" s="66" customFormat="1" ht="15.75" thickBot="1">
      <c r="A16" s="342"/>
      <c r="B16" s="166" t="s">
        <v>23</v>
      </c>
      <c r="C16" s="109" t="s">
        <v>198</v>
      </c>
      <c r="D16" s="110">
        <v>0</v>
      </c>
      <c r="E16" s="245">
        <f>400*1000</f>
        <v>400000</v>
      </c>
      <c r="F16" s="245">
        <f>400*1000</f>
        <v>400000</v>
      </c>
      <c r="G16" s="245">
        <f>400*1000</f>
        <v>400000</v>
      </c>
      <c r="H16" s="245">
        <f>400*1000</f>
        <v>400000</v>
      </c>
      <c r="I16" s="129" t="s">
        <v>25</v>
      </c>
      <c r="J16" s="114" t="s">
        <v>138</v>
      </c>
    </row>
    <row r="17" spans="1:19">
      <c r="A17" s="318" t="s">
        <v>142</v>
      </c>
      <c r="B17" s="321" t="s">
        <v>14</v>
      </c>
      <c r="C17" s="169" t="s">
        <v>15</v>
      </c>
      <c r="D17" s="39">
        <v>0</v>
      </c>
      <c r="E17" s="25">
        <v>0</v>
      </c>
      <c r="F17" s="173">
        <f>'Employee Commuting'!B3</f>
        <v>0.72588782273221886</v>
      </c>
      <c r="G17" s="173">
        <f>'Employee Commuting'!D3</f>
        <v>0.69017980636237886</v>
      </c>
      <c r="H17" s="173">
        <f>'Employee Commuting'!F3</f>
        <v>0.69630872483221473</v>
      </c>
      <c r="I17" s="126" t="s">
        <v>192</v>
      </c>
      <c r="J17" s="44" t="s">
        <v>135</v>
      </c>
      <c r="M17" s="66"/>
      <c r="N17" s="66"/>
      <c r="O17" s="66"/>
      <c r="P17" s="66"/>
      <c r="Q17" s="66"/>
      <c r="R17" s="66"/>
      <c r="S17" s="66"/>
    </row>
    <row r="18" spans="1:19" s="66" customFormat="1">
      <c r="A18" s="319"/>
      <c r="B18" s="322"/>
      <c r="C18" s="170" t="s">
        <v>155</v>
      </c>
      <c r="D18" s="37">
        <v>0</v>
      </c>
      <c r="E18" s="24">
        <v>0</v>
      </c>
      <c r="F18" s="174">
        <f>'Employee Commuting'!B4</f>
        <v>5.4406964091403701E-3</v>
      </c>
      <c r="G18" s="174">
        <f>'Employee Commuting'!D4</f>
        <v>1.6278327481646985E-2</v>
      </c>
      <c r="H18" s="174">
        <f>'Employee Commuting'!F4</f>
        <v>4.6979865771812077E-3</v>
      </c>
      <c r="I18" s="126" t="s">
        <v>192</v>
      </c>
      <c r="J18" s="43" t="s">
        <v>135</v>
      </c>
    </row>
    <row r="19" spans="1:19" s="66" customFormat="1">
      <c r="A19" s="319"/>
      <c r="B19" s="322"/>
      <c r="C19" s="170" t="s">
        <v>156</v>
      </c>
      <c r="D19" s="37">
        <v>0</v>
      </c>
      <c r="E19" s="24">
        <v>0</v>
      </c>
      <c r="F19" s="174">
        <f>'Employee Commuting'!B5</f>
        <v>9.852606588188742E-2</v>
      </c>
      <c r="G19" s="174">
        <f>'Employee Commuting'!D5</f>
        <v>8.915842110862858E-2</v>
      </c>
      <c r="H19" s="174">
        <f>'Employee Commuting'!F5</f>
        <v>8.1208053691275178E-2</v>
      </c>
      <c r="I19" s="126" t="s">
        <v>192</v>
      </c>
      <c r="J19" s="43" t="s">
        <v>135</v>
      </c>
    </row>
    <row r="20" spans="1:19">
      <c r="A20" s="320"/>
      <c r="B20" s="323"/>
      <c r="C20" s="170" t="s">
        <v>16</v>
      </c>
      <c r="D20" s="37">
        <v>0</v>
      </c>
      <c r="E20" s="24">
        <v>0</v>
      </c>
      <c r="F20" s="174">
        <f>'Employee Commuting'!B6</f>
        <v>5.1736076763280243E-2</v>
      </c>
      <c r="G20" s="174">
        <f>'Employee Commuting'!D6</f>
        <v>7.6603894031279929E-2</v>
      </c>
      <c r="H20" s="174">
        <f>'Employee Commuting'!F6</f>
        <v>8.6241610738255037E-2</v>
      </c>
      <c r="I20" s="126" t="s">
        <v>192</v>
      </c>
      <c r="J20" s="43" t="s">
        <v>135</v>
      </c>
      <c r="M20" s="66"/>
      <c r="N20" s="66"/>
      <c r="O20" s="66"/>
      <c r="P20" s="66"/>
      <c r="Q20" s="66"/>
      <c r="R20" s="66"/>
      <c r="S20" s="66"/>
    </row>
    <row r="21" spans="1:19">
      <c r="A21" s="320"/>
      <c r="B21" s="323"/>
      <c r="C21" s="171" t="s">
        <v>157</v>
      </c>
      <c r="D21" s="37">
        <v>0</v>
      </c>
      <c r="E21" s="24">
        <v>0</v>
      </c>
      <c r="F21" s="174">
        <f>'Employee Commuting'!B7</f>
        <v>8.0324463349490546E-2</v>
      </c>
      <c r="G21" s="174">
        <f>'Employee Commuting'!D7</f>
        <v>9.2456644323864245E-2</v>
      </c>
      <c r="H21" s="174">
        <f>'Employee Commuting'!F7</f>
        <v>0.10425055928411633</v>
      </c>
      <c r="I21" s="126" t="s">
        <v>192</v>
      </c>
      <c r="J21" s="43" t="s">
        <v>135</v>
      </c>
      <c r="M21" s="66"/>
      <c r="N21" s="66"/>
      <c r="O21" s="66"/>
      <c r="P21" s="66"/>
      <c r="Q21" s="66"/>
      <c r="R21" s="66"/>
      <c r="S21" s="66"/>
    </row>
    <row r="22" spans="1:19" ht="15.75" thickBot="1">
      <c r="A22" s="320"/>
      <c r="B22" s="324"/>
      <c r="C22" s="172" t="s">
        <v>158</v>
      </c>
      <c r="D22" s="40">
        <v>0</v>
      </c>
      <c r="E22" s="26">
        <v>0</v>
      </c>
      <c r="F22" s="175">
        <f>'Employee Commuting'!B8</f>
        <v>3.4820457018498369E-2</v>
      </c>
      <c r="G22" s="175">
        <f>'Employee Commuting'!D8</f>
        <v>3.5322906692201297E-2</v>
      </c>
      <c r="H22" s="175">
        <f>'Employee Commuting'!F8</f>
        <v>2.7069351230425056E-2</v>
      </c>
      <c r="I22" s="126" t="s">
        <v>192</v>
      </c>
      <c r="J22" s="106" t="s">
        <v>135</v>
      </c>
      <c r="M22" s="66"/>
      <c r="N22" s="66"/>
      <c r="O22" s="66"/>
      <c r="P22" s="66"/>
      <c r="Q22" s="66"/>
      <c r="R22" s="66"/>
      <c r="S22" s="66"/>
    </row>
    <row r="23" spans="1:19">
      <c r="A23" s="320"/>
      <c r="B23" s="325" t="s">
        <v>99</v>
      </c>
      <c r="C23" s="169" t="s">
        <v>15</v>
      </c>
      <c r="D23" s="39">
        <v>0</v>
      </c>
      <c r="E23" s="25">
        <v>0</v>
      </c>
      <c r="F23" s="173">
        <f>'Student Commuting'!B3</f>
        <v>0.62686095843024514</v>
      </c>
      <c r="G23" s="173">
        <f>'Student Commuting'!D3</f>
        <v>0.58660515920765133</v>
      </c>
      <c r="H23" s="238">
        <f>'Student Commuting'!F3</f>
        <v>0.56630451944362536</v>
      </c>
      <c r="I23" s="126" t="s">
        <v>192</v>
      </c>
      <c r="J23" s="43" t="s">
        <v>96</v>
      </c>
    </row>
    <row r="24" spans="1:19" s="66" customFormat="1">
      <c r="A24" s="320"/>
      <c r="B24" s="326"/>
      <c r="C24" s="170" t="s">
        <v>155</v>
      </c>
      <c r="D24" s="37">
        <v>0</v>
      </c>
      <c r="E24" s="24">
        <v>0</v>
      </c>
      <c r="F24" s="174">
        <f>'Student Commuting'!B4</f>
        <v>3.5255231531042134E-3</v>
      </c>
      <c r="G24" s="174">
        <f>'Student Commuting'!D4</f>
        <v>2.0608413941835772E-3</v>
      </c>
      <c r="H24" s="239">
        <f>'Student Commuting'!F4</f>
        <v>6.2957905897310347E-3</v>
      </c>
      <c r="I24" s="126" t="s">
        <v>192</v>
      </c>
      <c r="J24" s="43" t="s">
        <v>96</v>
      </c>
    </row>
    <row r="25" spans="1:19" s="66" customFormat="1">
      <c r="A25" s="320"/>
      <c r="B25" s="326"/>
      <c r="C25" s="170" t="s">
        <v>156</v>
      </c>
      <c r="D25" s="37">
        <v>0</v>
      </c>
      <c r="E25" s="24">
        <v>0</v>
      </c>
      <c r="F25" s="174">
        <f>'Student Commuting'!B5</f>
        <v>6.5718446949483006E-2</v>
      </c>
      <c r="G25" s="174">
        <f>'Student Commuting'!D5</f>
        <v>7.021570766591971E-2</v>
      </c>
      <c r="H25" s="239">
        <f>'Student Commuting'!F5</f>
        <v>7.3197286923457727E-2</v>
      </c>
      <c r="I25" s="126" t="s">
        <v>192</v>
      </c>
      <c r="J25" s="43" t="s">
        <v>96</v>
      </c>
    </row>
    <row r="26" spans="1:19">
      <c r="A26" s="320"/>
      <c r="B26" s="327"/>
      <c r="C26" s="170" t="s">
        <v>16</v>
      </c>
      <c r="D26" s="37">
        <v>0</v>
      </c>
      <c r="E26" s="24">
        <v>0</v>
      </c>
      <c r="F26" s="174">
        <f>'Student Commuting'!B6</f>
        <v>6.2846118425570197E-2</v>
      </c>
      <c r="G26" s="174">
        <f>'Student Commuting'!D6</f>
        <v>4.975913104849651E-2</v>
      </c>
      <c r="H26" s="239">
        <f>'Student Commuting'!F6</f>
        <v>4.9908441946864016E-2</v>
      </c>
      <c r="I26" s="126" t="s">
        <v>192</v>
      </c>
      <c r="J26" s="43" t="s">
        <v>96</v>
      </c>
    </row>
    <row r="27" spans="1:19">
      <c r="A27" s="320"/>
      <c r="B27" s="327"/>
      <c r="C27" s="171" t="s">
        <v>157</v>
      </c>
      <c r="D27" s="37">
        <v>0</v>
      </c>
      <c r="E27" s="24">
        <v>0</v>
      </c>
      <c r="F27" s="174">
        <f>'Student Commuting'!B7</f>
        <v>0.17712226604072881</v>
      </c>
      <c r="G27" s="174">
        <f>'Student Commuting'!D7</f>
        <v>0.2180604780193309</v>
      </c>
      <c r="H27" s="239">
        <f>'Student Commuting'!F7</f>
        <v>0.23545664088801901</v>
      </c>
      <c r="I27" s="126" t="s">
        <v>192</v>
      </c>
      <c r="J27" s="43" t="s">
        <v>96</v>
      </c>
    </row>
    <row r="28" spans="1:19" ht="15.75" thickBot="1">
      <c r="A28" s="320"/>
      <c r="B28" s="328"/>
      <c r="C28" s="178" t="s">
        <v>158</v>
      </c>
      <c r="D28" s="40">
        <v>0</v>
      </c>
      <c r="E28" s="26">
        <v>0</v>
      </c>
      <c r="F28" s="175">
        <f>'Student Commuting'!B8</f>
        <v>6.3926687000868759E-2</v>
      </c>
      <c r="G28" s="175">
        <f>'Student Commuting'!D8</f>
        <v>7.3298682664417969E-2</v>
      </c>
      <c r="H28" s="240">
        <f>'Student Commuting'!F8</f>
        <v>6.883732020830273E-2</v>
      </c>
      <c r="I28" s="126" t="s">
        <v>192</v>
      </c>
      <c r="J28" s="159" t="s">
        <v>96</v>
      </c>
    </row>
    <row r="29" spans="1:19">
      <c r="A29" s="320"/>
      <c r="B29" s="329" t="s">
        <v>144</v>
      </c>
      <c r="C29" s="58" t="s">
        <v>24</v>
      </c>
      <c r="D29" s="39">
        <v>0</v>
      </c>
      <c r="E29" s="25">
        <f>'Business Mileage'!D2</f>
        <v>159159.87499999997</v>
      </c>
      <c r="F29" s="25">
        <f>'Business Mileage'!D3</f>
        <v>180675.02608695652</v>
      </c>
      <c r="G29" s="180">
        <f>'Business Mileage'!C4/'Business Mileage'!B4</f>
        <v>211696.75925925924</v>
      </c>
      <c r="H29" s="77">
        <f>'Business Mileage'!D5</f>
        <v>227755.51401869158</v>
      </c>
      <c r="I29" s="213" t="s">
        <v>95</v>
      </c>
      <c r="J29" s="44" t="s">
        <v>136</v>
      </c>
    </row>
    <row r="30" spans="1:19">
      <c r="A30" s="320"/>
      <c r="B30" s="330"/>
      <c r="C30" s="50" t="s">
        <v>19</v>
      </c>
      <c r="D30" s="37">
        <v>0</v>
      </c>
      <c r="E30" s="94">
        <f>'Business Travel'!B3</f>
        <v>2075.6717471677948</v>
      </c>
      <c r="F30" s="94">
        <f>'Business Travel'!C3</f>
        <v>2356.2600000000002</v>
      </c>
      <c r="G30" s="94">
        <f>'Business Travel'!D3</f>
        <v>2760.8276405182319</v>
      </c>
      <c r="H30" s="216">
        <f>'Business Travel'!E3</f>
        <v>2970.2567038977431</v>
      </c>
      <c r="I30" s="214" t="s">
        <v>75</v>
      </c>
      <c r="J30" s="43" t="s">
        <v>199</v>
      </c>
    </row>
    <row r="31" spans="1:19">
      <c r="A31" s="320"/>
      <c r="B31" s="330"/>
      <c r="C31" s="50" t="s">
        <v>20</v>
      </c>
      <c r="D31" s="37">
        <v>0</v>
      </c>
      <c r="E31" s="94">
        <f>'Business Travel'!B4+'Business Travel'!B5</f>
        <v>103849.03075347224</v>
      </c>
      <c r="F31" s="94">
        <f>'Business Travel'!C4+'Business Travel'!C5</f>
        <v>117887.29000000001</v>
      </c>
      <c r="G31" s="94">
        <f>'Business Travel'!D4+'Business Travel'!D5</f>
        <v>138128.42754950156</v>
      </c>
      <c r="H31" s="216">
        <f>'Business Travel'!E4+'Business Travel'!E5</f>
        <v>148606.4837610609</v>
      </c>
      <c r="I31" s="214" t="s">
        <v>75</v>
      </c>
      <c r="J31" s="43" t="s">
        <v>199</v>
      </c>
    </row>
    <row r="32" spans="1:19">
      <c r="A32" s="320"/>
      <c r="B32" s="330"/>
      <c r="C32" s="50" t="s">
        <v>17</v>
      </c>
      <c r="D32" s="37">
        <v>0</v>
      </c>
      <c r="E32" s="94">
        <f>'Business Travel'!B6</f>
        <v>14874.863504386782</v>
      </c>
      <c r="F32" s="94">
        <f>'Business Travel'!C6</f>
        <v>16885.64</v>
      </c>
      <c r="G32" s="94">
        <f>'Business Travel'!D6</f>
        <v>19784.888611545532</v>
      </c>
      <c r="H32" s="216">
        <f>'Business Travel'!E6</f>
        <v>21285.717794133023</v>
      </c>
      <c r="I32" s="214" t="s">
        <v>75</v>
      </c>
      <c r="J32" s="43" t="s">
        <v>199</v>
      </c>
    </row>
    <row r="33" spans="1:10" ht="15.75" thickBot="1">
      <c r="A33" s="320"/>
      <c r="B33" s="331"/>
      <c r="C33" s="105" t="s">
        <v>18</v>
      </c>
      <c r="D33" s="40">
        <v>0</v>
      </c>
      <c r="E33" s="181">
        <f>'Business Travel'!B7</f>
        <v>381838.58408677019</v>
      </c>
      <c r="F33" s="181">
        <f>'Business Travel'!C7</f>
        <v>433455.33</v>
      </c>
      <c r="G33" s="181">
        <f>'Business Travel'!D7</f>
        <v>507879.20517852518</v>
      </c>
      <c r="H33" s="217">
        <f>'Business Travel'!E7</f>
        <v>546405.57484008919</v>
      </c>
      <c r="I33" s="215" t="s">
        <v>75</v>
      </c>
      <c r="J33" s="159" t="s">
        <v>199</v>
      </c>
    </row>
    <row r="34" spans="1:10" ht="15.75" thickBot="1">
      <c r="A34" s="320"/>
      <c r="B34" s="167" t="s">
        <v>21</v>
      </c>
      <c r="C34" s="179" t="s">
        <v>68</v>
      </c>
      <c r="D34" s="110">
        <f>'Waste Characterization'!B24</f>
        <v>494.81999999999994</v>
      </c>
      <c r="E34" s="111">
        <f>'Waste Characterization'!C24</f>
        <v>509.35999999999996</v>
      </c>
      <c r="F34" s="111">
        <f>'Waste Characterization'!D24</f>
        <v>564.78</v>
      </c>
      <c r="G34" s="111">
        <f>'Waste Characterization'!E24</f>
        <v>632.66999999999996</v>
      </c>
      <c r="H34" s="112">
        <f>'Waste Characterization'!F24</f>
        <v>1070.0900000000001</v>
      </c>
      <c r="I34" s="113" t="s">
        <v>69</v>
      </c>
      <c r="J34" s="108" t="s">
        <v>137</v>
      </c>
    </row>
    <row r="35" spans="1:10" ht="15.75" thickBot="1">
      <c r="A35" s="320"/>
      <c r="B35" s="168" t="s">
        <v>22</v>
      </c>
      <c r="C35" s="115" t="s">
        <v>67</v>
      </c>
      <c r="D35" s="110">
        <f>MER!N7</f>
        <v>94628.160000000003</v>
      </c>
      <c r="E35" s="111">
        <f>MER!N14</f>
        <v>80554.009999999995</v>
      </c>
      <c r="F35" s="111">
        <f>MER!N21</f>
        <v>58013.1</v>
      </c>
      <c r="G35" s="111">
        <f>MER!N28</f>
        <v>66446.28</v>
      </c>
      <c r="H35" s="111">
        <f>MER!N35</f>
        <v>61884.079999999994</v>
      </c>
      <c r="I35" s="107" t="s">
        <v>48</v>
      </c>
      <c r="J35" s="108" t="s">
        <v>55</v>
      </c>
    </row>
    <row r="37" spans="1:10">
      <c r="F37" s="66"/>
    </row>
    <row r="38" spans="1:10">
      <c r="F38" s="66"/>
    </row>
  </sheetData>
  <mergeCells count="10">
    <mergeCell ref="A17:A35"/>
    <mergeCell ref="B17:B22"/>
    <mergeCell ref="B23:B28"/>
    <mergeCell ref="B29:B33"/>
    <mergeCell ref="B2:B6"/>
    <mergeCell ref="B7:B8"/>
    <mergeCell ref="B9:B12"/>
    <mergeCell ref="A2:A14"/>
    <mergeCell ref="B13:B14"/>
    <mergeCell ref="A15:A16"/>
  </mergeCells>
  <hyperlinks>
    <hyperlink ref="J6" r:id="rId1" display="http://www.sunnyportal.com/Templates/PublicPage.aspx?page=c808553b-d904-45d1-bcd3-5732c7c98c85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I14" sqref="I14"/>
    </sheetView>
  </sheetViews>
  <sheetFormatPr defaultRowHeight="15"/>
  <cols>
    <col min="1" max="1" width="9.5703125" customWidth="1"/>
    <col min="2" max="2" width="8" bestFit="1" customWidth="1"/>
    <col min="3" max="4" width="7.7109375" bestFit="1" customWidth="1"/>
    <col min="5" max="5" width="9" bestFit="1" customWidth="1"/>
    <col min="6" max="6" width="10" bestFit="1" customWidth="1"/>
    <col min="7" max="7" width="9" bestFit="1" customWidth="1"/>
    <col min="8" max="8" width="7.7109375" bestFit="1" customWidth="1"/>
    <col min="9" max="9" width="7.7109375" style="66" bestFit="1" customWidth="1"/>
    <col min="10" max="11" width="11.5703125" bestFit="1" customWidth="1"/>
    <col min="12" max="12" width="4" bestFit="1" customWidth="1"/>
    <col min="13" max="13" width="12" bestFit="1" customWidth="1"/>
    <col min="14" max="14" width="9" bestFit="1" customWidth="1"/>
  </cols>
  <sheetData>
    <row r="1" spans="1:14">
      <c r="A1" s="3" t="s">
        <v>98</v>
      </c>
      <c r="B1" s="313" t="s">
        <v>128</v>
      </c>
      <c r="C1" s="313" t="s">
        <v>129</v>
      </c>
      <c r="D1" s="313" t="s">
        <v>9</v>
      </c>
      <c r="E1" s="313" t="s">
        <v>10</v>
      </c>
      <c r="F1" s="313" t="s">
        <v>11</v>
      </c>
      <c r="G1" s="313" t="s">
        <v>103</v>
      </c>
      <c r="H1" s="313" t="s">
        <v>118</v>
      </c>
      <c r="I1" s="313" t="s">
        <v>461</v>
      </c>
    </row>
    <row r="2" spans="1:14">
      <c r="A2" s="3" t="s">
        <v>111</v>
      </c>
      <c r="B2" s="313"/>
      <c r="C2" s="313">
        <v>977.93</v>
      </c>
      <c r="D2" s="14"/>
      <c r="E2" s="14"/>
      <c r="F2" s="313">
        <v>869.452</v>
      </c>
      <c r="G2" s="14">
        <v>934.56600000000003</v>
      </c>
      <c r="H2" s="14"/>
      <c r="I2" s="14">
        <f>G2*$J$10</f>
        <v>1375.0784347176773</v>
      </c>
    </row>
    <row r="3" spans="1:14">
      <c r="A3" s="3" t="s">
        <v>112</v>
      </c>
      <c r="B3" s="313">
        <v>1221.57</v>
      </c>
      <c r="C3" s="14"/>
      <c r="D3" s="14"/>
      <c r="E3" s="313">
        <v>1053.4380000000001</v>
      </c>
      <c r="F3" s="313">
        <v>1014.828</v>
      </c>
      <c r="G3" s="14">
        <v>980.53200000000004</v>
      </c>
      <c r="H3" s="14"/>
      <c r="I3" s="14">
        <f>G3*$J$10</f>
        <v>1442.7107424736118</v>
      </c>
    </row>
    <row r="4" spans="1:14">
      <c r="A4" s="3" t="s">
        <v>113</v>
      </c>
      <c r="B4" s="313">
        <v>1126.69</v>
      </c>
      <c r="C4" s="14"/>
      <c r="D4" s="14"/>
      <c r="E4" s="313">
        <v>1119.1569999999999</v>
      </c>
      <c r="F4" s="313">
        <v>1049.8</v>
      </c>
      <c r="G4" s="14">
        <v>954.15899999999999</v>
      </c>
      <c r="H4" s="14"/>
      <c r="I4" s="14">
        <v>1448.376</v>
      </c>
      <c r="J4" s="313">
        <f>I4/G4</f>
        <v>1.5179608430041533</v>
      </c>
    </row>
    <row r="5" spans="1:14">
      <c r="A5" s="3" t="s">
        <v>114</v>
      </c>
      <c r="B5" s="313">
        <v>1236.46</v>
      </c>
      <c r="C5" s="14"/>
      <c r="D5" s="14"/>
      <c r="E5" s="313">
        <v>1144.0509999999999</v>
      </c>
      <c r="F5" s="313">
        <v>1022.503</v>
      </c>
      <c r="G5" s="14">
        <v>935.01900000000001</v>
      </c>
      <c r="H5" s="14"/>
      <c r="I5" s="14">
        <v>1167.1199999999999</v>
      </c>
      <c r="J5" s="313">
        <f t="shared" ref="J5:J9" si="0">I5/G5</f>
        <v>1.2482313193635637</v>
      </c>
    </row>
    <row r="6" spans="1:14">
      <c r="A6" s="3" t="s">
        <v>115</v>
      </c>
      <c r="B6" s="313">
        <v>923.47</v>
      </c>
      <c r="C6" s="14"/>
      <c r="D6" s="14"/>
      <c r="E6" s="313">
        <v>975.26599999999996</v>
      </c>
      <c r="F6" s="313">
        <v>1040.9459999999999</v>
      </c>
      <c r="G6" s="14">
        <v>905.25900000000001</v>
      </c>
      <c r="H6" s="14"/>
      <c r="I6" s="14">
        <v>929.42700000000002</v>
      </c>
      <c r="J6" s="313">
        <f t="shared" si="0"/>
        <v>1.026697331923792</v>
      </c>
      <c r="L6" s="66"/>
      <c r="M6" s="66"/>
      <c r="N6" s="66"/>
    </row>
    <row r="7" spans="1:14">
      <c r="A7" s="3" t="s">
        <v>116</v>
      </c>
      <c r="B7" s="313">
        <v>967.06</v>
      </c>
      <c r="C7" s="14"/>
      <c r="D7" s="14"/>
      <c r="E7" s="313">
        <v>690.67499999999995</v>
      </c>
      <c r="F7" s="313">
        <v>843.54399999999998</v>
      </c>
      <c r="G7" s="14">
        <v>661.09100000000001</v>
      </c>
      <c r="H7" s="14"/>
      <c r="I7" s="14">
        <v>943.76199999999994</v>
      </c>
      <c r="J7" s="313">
        <f t="shared" si="0"/>
        <v>1.4275825869660907</v>
      </c>
      <c r="L7" s="66"/>
      <c r="M7" s="66"/>
      <c r="N7" s="66"/>
    </row>
    <row r="8" spans="1:14">
      <c r="A8" s="3" t="s">
        <v>105</v>
      </c>
      <c r="B8" s="313">
        <v>1002.79</v>
      </c>
      <c r="C8" s="14"/>
      <c r="D8" s="14"/>
      <c r="E8" s="313">
        <v>867.10299999999995</v>
      </c>
      <c r="F8" s="313">
        <v>715.90099999999995</v>
      </c>
      <c r="G8" s="14">
        <v>728.28899999999999</v>
      </c>
      <c r="H8" s="14"/>
      <c r="I8" s="14">
        <v>1125.5440000000001</v>
      </c>
      <c r="J8" s="313">
        <f t="shared" si="0"/>
        <v>1.5454634080701481</v>
      </c>
      <c r="K8" s="66"/>
      <c r="L8" s="66"/>
      <c r="M8" s="66"/>
      <c r="N8" s="66"/>
    </row>
    <row r="9" spans="1:14">
      <c r="A9" s="3" t="s">
        <v>106</v>
      </c>
      <c r="B9" s="313">
        <v>1069.93</v>
      </c>
      <c r="C9" s="14"/>
      <c r="D9" s="14"/>
      <c r="E9" s="313">
        <v>985.75</v>
      </c>
      <c r="F9" s="313">
        <v>1150.76</v>
      </c>
      <c r="G9" s="14">
        <v>675.84199999999998</v>
      </c>
      <c r="H9" s="14"/>
      <c r="I9" s="14">
        <v>1393.7180000000001</v>
      </c>
      <c r="J9" s="313">
        <f t="shared" si="0"/>
        <v>2.0621950100763198</v>
      </c>
      <c r="L9" s="66"/>
      <c r="M9" s="66"/>
      <c r="N9" s="66"/>
    </row>
    <row r="10" spans="1:14">
      <c r="A10" s="3" t="s">
        <v>107</v>
      </c>
      <c r="B10" s="313">
        <v>1183.23</v>
      </c>
      <c r="C10" s="14"/>
      <c r="D10" s="14"/>
      <c r="E10" s="313">
        <v>1168.4069999999999</v>
      </c>
      <c r="F10" s="313">
        <v>1020.372</v>
      </c>
      <c r="G10" s="14">
        <v>1156.1859999999999</v>
      </c>
      <c r="H10" s="14"/>
      <c r="I10" s="14">
        <f>G10*$J$10</f>
        <v>1701.1601482639987</v>
      </c>
      <c r="J10" s="374">
        <f>AVERAGE(J4:J9)</f>
        <v>1.4713550832340114</v>
      </c>
      <c r="L10" s="66"/>
      <c r="M10" s="66"/>
      <c r="N10" s="66"/>
    </row>
    <row r="11" spans="1:14">
      <c r="A11" s="3" t="s">
        <v>108</v>
      </c>
      <c r="B11" s="313">
        <v>1173.3599999999999</v>
      </c>
      <c r="C11" s="14"/>
      <c r="D11" s="14"/>
      <c r="E11" s="313">
        <v>1040.194</v>
      </c>
      <c r="F11" s="313">
        <v>1032.011</v>
      </c>
      <c r="G11" s="14">
        <v>723.38300000000004</v>
      </c>
      <c r="H11" s="14"/>
      <c r="I11" s="14">
        <f t="shared" ref="I11:I13" si="1">G11*$J$10</f>
        <v>1064.353254175069</v>
      </c>
      <c r="L11" s="66"/>
      <c r="M11" s="66"/>
      <c r="N11" s="66"/>
    </row>
    <row r="12" spans="1:14">
      <c r="A12" s="3" t="s">
        <v>109</v>
      </c>
      <c r="B12" s="313">
        <v>1076.73</v>
      </c>
      <c r="C12" s="14"/>
      <c r="D12" s="14"/>
      <c r="E12" s="313">
        <v>795.45299999999997</v>
      </c>
      <c r="F12" s="313">
        <v>798.06700000000001</v>
      </c>
      <c r="G12" s="14">
        <f>AVERAGE(E12,F12)</f>
        <v>796.76</v>
      </c>
      <c r="H12" s="14"/>
      <c r="I12" s="14">
        <f t="shared" si="1"/>
        <v>1172.3168761175309</v>
      </c>
      <c r="L12" s="66"/>
      <c r="M12" s="66"/>
      <c r="N12" s="66"/>
    </row>
    <row r="13" spans="1:14">
      <c r="A13" s="3" t="s">
        <v>110</v>
      </c>
      <c r="B13" s="313">
        <v>990.51</v>
      </c>
      <c r="C13" s="14"/>
      <c r="D13" s="14"/>
      <c r="E13" s="313">
        <v>787.476</v>
      </c>
      <c r="F13" s="313">
        <v>811.05700000000002</v>
      </c>
      <c r="G13" s="14">
        <f>AVERAGE(E13,F13)</f>
        <v>799.26649999999995</v>
      </c>
      <c r="H13" s="14"/>
      <c r="I13" s="14">
        <f t="shared" si="1"/>
        <v>1176.004827633657</v>
      </c>
    </row>
    <row r="14" spans="1:14">
      <c r="A14" s="8" t="s">
        <v>127</v>
      </c>
      <c r="B14" s="314">
        <f>SUM(B2:B13)</f>
        <v>11971.800000000001</v>
      </c>
      <c r="C14" s="314">
        <f t="shared" ref="C14:I14" si="2">SUM(C2:C13)</f>
        <v>977.93</v>
      </c>
      <c r="D14" s="314">
        <f t="shared" si="2"/>
        <v>0</v>
      </c>
      <c r="E14" s="314">
        <f t="shared" si="2"/>
        <v>10626.970000000001</v>
      </c>
      <c r="F14" s="314">
        <f t="shared" si="2"/>
        <v>11369.241000000002</v>
      </c>
      <c r="G14" s="314">
        <f t="shared" si="2"/>
        <v>10250.352499999999</v>
      </c>
      <c r="H14" s="314">
        <f t="shared" si="2"/>
        <v>0</v>
      </c>
      <c r="I14" s="314">
        <f t="shared" si="2"/>
        <v>14939.571283381543</v>
      </c>
    </row>
    <row r="15" spans="1:14">
      <c r="C15" s="66"/>
      <c r="D15" s="66"/>
      <c r="E15" s="66"/>
      <c r="J15" s="372"/>
    </row>
    <row r="16" spans="1:14">
      <c r="A16" s="55" t="s">
        <v>284</v>
      </c>
    </row>
    <row r="19" spans="2:5">
      <c r="B19" s="66"/>
      <c r="E19" s="66"/>
    </row>
    <row r="20" spans="2:5">
      <c r="B20" s="66"/>
      <c r="E20" s="66"/>
    </row>
    <row r="21" spans="2:5">
      <c r="B21" s="66"/>
      <c r="E21" s="66"/>
    </row>
    <row r="22" spans="2:5">
      <c r="B22" s="66"/>
      <c r="E22" s="66"/>
    </row>
  </sheetData>
  <hyperlinks>
    <hyperlink ref="A16" r:id="rId1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16" workbookViewId="0">
      <selection activeCell="F10" sqref="F10"/>
    </sheetView>
  </sheetViews>
  <sheetFormatPr defaultRowHeight="15"/>
  <cols>
    <col min="2" max="2" width="14.85546875" bestFit="1" customWidth="1"/>
  </cols>
  <sheetData>
    <row r="1" spans="1:2">
      <c r="A1" s="66"/>
      <c r="B1" s="66" t="s">
        <v>126</v>
      </c>
    </row>
    <row r="2" spans="1:2" s="66" customFormat="1">
      <c r="A2" s="75">
        <v>41275</v>
      </c>
      <c r="B2" s="66">
        <v>164.4</v>
      </c>
    </row>
    <row r="3" spans="1:2" s="66" customFormat="1">
      <c r="A3" s="75">
        <v>41306</v>
      </c>
      <c r="B3" s="66">
        <v>150.9</v>
      </c>
    </row>
    <row r="4" spans="1:2" s="66" customFormat="1">
      <c r="A4" s="75">
        <v>41334</v>
      </c>
      <c r="B4" s="66">
        <v>118.7</v>
      </c>
    </row>
    <row r="5" spans="1:2" s="66" customFormat="1">
      <c r="A5" s="75">
        <v>41365</v>
      </c>
      <c r="B5" s="66">
        <v>310.3</v>
      </c>
    </row>
    <row r="6" spans="1:2" s="66" customFormat="1">
      <c r="A6" s="75">
        <v>41395</v>
      </c>
      <c r="B6" s="66">
        <v>133.4</v>
      </c>
    </row>
    <row r="7" spans="1:2" s="66" customFormat="1">
      <c r="A7" s="75">
        <v>41426</v>
      </c>
      <c r="B7" s="66">
        <v>269.2</v>
      </c>
    </row>
    <row r="8" spans="1:2" s="66" customFormat="1">
      <c r="A8" s="75">
        <v>41456</v>
      </c>
      <c r="B8" s="66">
        <v>113.1</v>
      </c>
    </row>
    <row r="9" spans="1:2" s="66" customFormat="1">
      <c r="A9" s="75">
        <v>41487</v>
      </c>
      <c r="B9" s="66">
        <v>114.1</v>
      </c>
    </row>
    <row r="10" spans="1:2" s="66" customFormat="1">
      <c r="A10" s="75">
        <v>41518</v>
      </c>
      <c r="B10" s="66">
        <v>2089.1999999999998</v>
      </c>
    </row>
    <row r="11" spans="1:2" s="66" customFormat="1">
      <c r="A11" s="75">
        <v>41548</v>
      </c>
      <c r="B11" s="66">
        <v>135.6</v>
      </c>
    </row>
    <row r="12" spans="1:2" s="66" customFormat="1">
      <c r="A12" s="75">
        <v>41579</v>
      </c>
      <c r="B12" s="66">
        <v>121.5</v>
      </c>
    </row>
    <row r="13" spans="1:2" s="66" customFormat="1">
      <c r="A13" s="75">
        <v>41609</v>
      </c>
      <c r="B13" s="66">
        <v>10.5</v>
      </c>
    </row>
    <row r="14" spans="1:2" s="66" customFormat="1">
      <c r="A14" s="75">
        <v>41640</v>
      </c>
      <c r="B14" s="66">
        <v>325.2</v>
      </c>
    </row>
    <row r="15" spans="1:2" s="66" customFormat="1">
      <c r="A15" s="75">
        <v>41671</v>
      </c>
      <c r="B15" s="66">
        <v>138.30000000000001</v>
      </c>
    </row>
    <row r="16" spans="1:2" s="66" customFormat="1">
      <c r="A16" s="75">
        <v>41699</v>
      </c>
      <c r="B16" s="66">
        <v>139.6</v>
      </c>
    </row>
    <row r="17" spans="1:2" s="66" customFormat="1">
      <c r="A17" s="75">
        <v>41730</v>
      </c>
      <c r="B17" s="66">
        <v>185.8</v>
      </c>
    </row>
    <row r="18" spans="1:2" s="66" customFormat="1">
      <c r="A18" s="75">
        <v>41760</v>
      </c>
      <c r="B18" s="66">
        <v>316.39999999999998</v>
      </c>
    </row>
    <row r="19" spans="1:2" s="66" customFormat="1">
      <c r="A19" s="75">
        <v>41791</v>
      </c>
      <c r="B19" s="66">
        <v>312.39999999999998</v>
      </c>
    </row>
    <row r="20" spans="1:2" s="66" customFormat="1">
      <c r="A20" s="75">
        <v>41821</v>
      </c>
      <c r="B20" s="66">
        <v>149</v>
      </c>
    </row>
    <row r="21" spans="1:2" s="66" customFormat="1">
      <c r="A21" s="75">
        <v>41852</v>
      </c>
      <c r="B21" s="66">
        <v>112.5</v>
      </c>
    </row>
    <row r="22" spans="1:2" s="66" customFormat="1">
      <c r="A22" s="75">
        <v>41883</v>
      </c>
      <c r="B22" s="66">
        <v>320.5</v>
      </c>
    </row>
    <row r="23" spans="1:2" s="66" customFormat="1">
      <c r="A23" s="75">
        <v>41913</v>
      </c>
      <c r="B23" s="66">
        <v>328.1</v>
      </c>
    </row>
    <row r="24" spans="1:2" s="66" customFormat="1">
      <c r="A24" s="75">
        <v>41944</v>
      </c>
      <c r="B24" s="66">
        <v>62.5</v>
      </c>
    </row>
    <row r="25" spans="1:2" s="66" customFormat="1">
      <c r="A25" s="75">
        <v>41974</v>
      </c>
      <c r="B25" s="66">
        <v>122.1</v>
      </c>
    </row>
    <row r="26" spans="1:2" s="66" customFormat="1">
      <c r="A26" s="75">
        <v>42005</v>
      </c>
      <c r="B26" s="66">
        <v>484.3</v>
      </c>
    </row>
    <row r="27" spans="1:2" s="66" customFormat="1">
      <c r="A27" s="75">
        <v>42036</v>
      </c>
      <c r="B27" s="66">
        <v>78</v>
      </c>
    </row>
    <row r="28" spans="1:2" s="66" customFormat="1">
      <c r="A28" s="75">
        <v>42064</v>
      </c>
      <c r="B28" s="66">
        <v>427.6</v>
      </c>
    </row>
    <row r="29" spans="1:2" s="66" customFormat="1">
      <c r="A29" s="75">
        <v>42095</v>
      </c>
      <c r="B29" s="66">
        <v>109.3</v>
      </c>
    </row>
    <row r="30" spans="1:2" s="66" customFormat="1">
      <c r="A30" s="75">
        <v>42125</v>
      </c>
      <c r="B30" s="66">
        <v>99.4</v>
      </c>
    </row>
    <row r="31" spans="1:2" s="66" customFormat="1">
      <c r="A31" s="75">
        <v>42156</v>
      </c>
      <c r="B31" s="66">
        <v>128.19999999999999</v>
      </c>
    </row>
    <row r="32" spans="1:2" s="66" customFormat="1">
      <c r="A32" s="75">
        <v>42186</v>
      </c>
      <c r="B32" s="66">
        <v>184.7</v>
      </c>
    </row>
    <row r="33" spans="1:2" s="66" customFormat="1">
      <c r="A33" s="75">
        <v>42217</v>
      </c>
      <c r="B33" s="66">
        <v>236.5</v>
      </c>
    </row>
    <row r="34" spans="1:2" s="66" customFormat="1">
      <c r="A34" s="75">
        <v>42248</v>
      </c>
      <c r="B34" s="66">
        <v>141.5</v>
      </c>
    </row>
    <row r="35" spans="1:2" s="66" customFormat="1">
      <c r="A35" s="75">
        <v>42278</v>
      </c>
      <c r="B35" s="66">
        <v>285.8</v>
      </c>
    </row>
    <row r="36" spans="1:2" s="66" customFormat="1">
      <c r="A36" s="75">
        <v>42309</v>
      </c>
      <c r="B36" s="66">
        <v>149.69999999999999</v>
      </c>
    </row>
    <row r="37" spans="1:2" s="66" customFormat="1">
      <c r="A37" s="75">
        <v>42339</v>
      </c>
      <c r="B37" s="66">
        <v>157.4</v>
      </c>
    </row>
    <row r="38" spans="1:2">
      <c r="A38" s="75">
        <v>42370</v>
      </c>
      <c r="B38" s="66">
        <v>137.1</v>
      </c>
    </row>
    <row r="39" spans="1:2">
      <c r="A39" s="75">
        <v>42401</v>
      </c>
      <c r="B39" s="66">
        <v>498.7</v>
      </c>
    </row>
    <row r="40" spans="1:2">
      <c r="A40" s="75">
        <v>42430</v>
      </c>
      <c r="B40" s="66">
        <v>487.8</v>
      </c>
    </row>
    <row r="41" spans="1:2">
      <c r="A41" s="75">
        <v>42461</v>
      </c>
      <c r="B41" s="66">
        <v>276.60000000000002</v>
      </c>
    </row>
    <row r="42" spans="1:2">
      <c r="A42" s="75">
        <v>42491</v>
      </c>
      <c r="B42" s="66">
        <v>410.5</v>
      </c>
    </row>
    <row r="43" spans="1:2">
      <c r="A43" s="75">
        <v>42522</v>
      </c>
      <c r="B43" s="66">
        <v>342.6</v>
      </c>
    </row>
    <row r="44" spans="1:2">
      <c r="A44" s="75">
        <v>42552</v>
      </c>
      <c r="B44" s="66">
        <v>259.60000000000002</v>
      </c>
    </row>
    <row r="45" spans="1:2">
      <c r="A45" s="75">
        <v>42583</v>
      </c>
      <c r="B45" s="66">
        <v>263.2</v>
      </c>
    </row>
    <row r="46" spans="1:2">
      <c r="A46" s="75">
        <v>42614</v>
      </c>
      <c r="B46" s="66">
        <v>191.6</v>
      </c>
    </row>
    <row r="47" spans="1:2">
      <c r="A47" s="75">
        <v>42644</v>
      </c>
      <c r="B47" s="66">
        <v>164.9</v>
      </c>
    </row>
    <row r="48" spans="1:2">
      <c r="A48" s="75">
        <v>42675</v>
      </c>
      <c r="B48" s="66">
        <v>130.1</v>
      </c>
    </row>
    <row r="49" spans="1:2">
      <c r="A49" s="75">
        <v>42705</v>
      </c>
      <c r="B49" s="66">
        <v>72.3</v>
      </c>
    </row>
    <row r="50" spans="1:2">
      <c r="A50" s="75">
        <v>42736</v>
      </c>
    </row>
    <row r="51" spans="1:2">
      <c r="A51" s="75">
        <v>42767</v>
      </c>
    </row>
    <row r="52" spans="1:2">
      <c r="A52" s="75">
        <v>42795</v>
      </c>
    </row>
    <row r="53" spans="1:2">
      <c r="A53" s="75">
        <v>42826</v>
      </c>
    </row>
    <row r="54" spans="1:2">
      <c r="A54" s="75">
        <v>42856</v>
      </c>
    </row>
    <row r="55" spans="1:2">
      <c r="A55" s="75">
        <v>42887</v>
      </c>
    </row>
    <row r="56" spans="1:2">
      <c r="A56" s="75">
        <v>42917</v>
      </c>
    </row>
    <row r="57" spans="1:2">
      <c r="A57" s="75">
        <v>42948</v>
      </c>
    </row>
    <row r="58" spans="1:2">
      <c r="A58" s="75">
        <v>42979</v>
      </c>
    </row>
    <row r="59" spans="1:2">
      <c r="A59" s="75">
        <v>43009</v>
      </c>
    </row>
    <row r="60" spans="1:2">
      <c r="A60" s="75">
        <v>43040</v>
      </c>
    </row>
    <row r="61" spans="1:2">
      <c r="A61" s="75">
        <v>43070</v>
      </c>
    </row>
    <row r="62" spans="1:2">
      <c r="A62" s="75">
        <v>43101</v>
      </c>
    </row>
    <row r="63" spans="1:2">
      <c r="A63" s="75">
        <v>43132</v>
      </c>
    </row>
    <row r="64" spans="1:2">
      <c r="A64" s="75">
        <v>43160</v>
      </c>
    </row>
    <row r="65" spans="1:1">
      <c r="A65" s="75">
        <v>43191</v>
      </c>
    </row>
    <row r="66" spans="1:1">
      <c r="A66" s="75">
        <v>43221</v>
      </c>
    </row>
    <row r="67" spans="1:1">
      <c r="A67" s="75">
        <v>43252</v>
      </c>
    </row>
    <row r="68" spans="1:1">
      <c r="A68" s="75">
        <v>43282</v>
      </c>
    </row>
    <row r="69" spans="1:1">
      <c r="A69" s="75">
        <v>43313</v>
      </c>
    </row>
    <row r="70" spans="1:1">
      <c r="A70" s="75">
        <v>43344</v>
      </c>
    </row>
    <row r="71" spans="1:1">
      <c r="A71" s="75">
        <v>43374</v>
      </c>
    </row>
    <row r="72" spans="1:1">
      <c r="A72" s="75">
        <v>43405</v>
      </c>
    </row>
    <row r="73" spans="1:1">
      <c r="A73" s="75">
        <v>43435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workbookViewId="0">
      <selection activeCell="A189" sqref="A189"/>
    </sheetView>
  </sheetViews>
  <sheetFormatPr defaultColWidth="8.85546875" defaultRowHeight="15"/>
  <cols>
    <col min="1" max="1" width="11.140625" bestFit="1" customWidth="1"/>
    <col min="4" max="4" width="12.28515625" bestFit="1" customWidth="1"/>
    <col min="7" max="7" width="10.7109375" bestFit="1" customWidth="1"/>
    <col min="11" max="11" width="15.5703125" bestFit="1" customWidth="1"/>
    <col min="12" max="12" width="14.28515625" bestFit="1" customWidth="1"/>
    <col min="13" max="13" width="14.28515625" style="63" bestFit="1" customWidth="1"/>
    <col min="14" max="14" width="29.85546875" bestFit="1" customWidth="1"/>
    <col min="15" max="15" width="9.42578125" customWidth="1"/>
  </cols>
  <sheetData>
    <row r="1" spans="1:14">
      <c r="A1" s="361" t="s">
        <v>49</v>
      </c>
      <c r="B1" s="361"/>
      <c r="C1" s="361"/>
      <c r="D1" s="362"/>
      <c r="E1" s="362"/>
      <c r="F1" s="362"/>
      <c r="G1" s="362"/>
      <c r="H1" s="362"/>
      <c r="I1" s="362"/>
      <c r="K1" s="60" t="s">
        <v>46</v>
      </c>
      <c r="L1" s="358" t="s">
        <v>30</v>
      </c>
      <c r="M1" s="359"/>
      <c r="N1" s="61"/>
    </row>
    <row r="2" spans="1:14">
      <c r="A2" s="360" t="s">
        <v>27</v>
      </c>
      <c r="B2" s="360"/>
      <c r="C2" s="360"/>
      <c r="D2" s="360" t="s">
        <v>28</v>
      </c>
      <c r="E2" s="360"/>
      <c r="F2" s="360"/>
      <c r="G2" s="360" t="s">
        <v>29</v>
      </c>
      <c r="H2" s="360"/>
      <c r="I2" s="360"/>
      <c r="K2" s="13" t="s">
        <v>50</v>
      </c>
      <c r="L2" s="60" t="s">
        <v>45</v>
      </c>
      <c r="M2" s="60" t="s">
        <v>104</v>
      </c>
      <c r="N2" s="65" t="s">
        <v>51</v>
      </c>
    </row>
    <row r="3" spans="1:14">
      <c r="A3" s="13" t="s">
        <v>31</v>
      </c>
      <c r="B3" s="13" t="s">
        <v>32</v>
      </c>
      <c r="C3" s="13" t="s">
        <v>33</v>
      </c>
      <c r="D3" s="13" t="s">
        <v>31</v>
      </c>
      <c r="E3" s="13" t="s">
        <v>32</v>
      </c>
      <c r="F3" s="13" t="s">
        <v>33</v>
      </c>
      <c r="G3" s="13" t="s">
        <v>31</v>
      </c>
      <c r="H3" s="13" t="s">
        <v>32</v>
      </c>
      <c r="I3" s="13" t="s">
        <v>33</v>
      </c>
      <c r="K3" s="14">
        <v>364</v>
      </c>
      <c r="L3" s="14">
        <f>SUM(C4:C50)</f>
        <v>100.72099999999999</v>
      </c>
      <c r="M3" s="14">
        <f>SUM(C51:C207)</f>
        <v>457.81399999999991</v>
      </c>
      <c r="N3" s="64" t="s">
        <v>54</v>
      </c>
    </row>
    <row r="4" spans="1:14">
      <c r="A4" s="16">
        <v>42345</v>
      </c>
      <c r="B4" s="17">
        <v>0.40069444444444446</v>
      </c>
      <c r="C4" s="8">
        <v>3.4630000000000001</v>
      </c>
      <c r="D4" s="16">
        <v>42264</v>
      </c>
      <c r="E4" s="17">
        <v>9.4444444444444442E-2</v>
      </c>
      <c r="F4" s="8">
        <v>1.984</v>
      </c>
      <c r="G4" s="16">
        <v>42244</v>
      </c>
      <c r="H4" s="17">
        <v>0.51944444444444449</v>
      </c>
      <c r="I4" s="8">
        <v>1.171</v>
      </c>
      <c r="K4" s="14">
        <v>163</v>
      </c>
      <c r="L4" s="14">
        <f>SUM(F4:F29)</f>
        <v>65.262</v>
      </c>
      <c r="M4" s="14">
        <f>SUM(F30:F81)</f>
        <v>137.863</v>
      </c>
      <c r="N4" s="3" t="s">
        <v>52</v>
      </c>
    </row>
    <row r="5" spans="1:14">
      <c r="A5" s="16">
        <v>42349</v>
      </c>
      <c r="B5" s="17">
        <v>0.53402777777777777</v>
      </c>
      <c r="C5" s="8">
        <v>1.9350000000000001</v>
      </c>
      <c r="D5" s="16">
        <v>42270</v>
      </c>
      <c r="E5" s="17">
        <v>0.40277777777777773</v>
      </c>
      <c r="F5" s="8">
        <v>3.34</v>
      </c>
      <c r="G5" s="16">
        <v>42255</v>
      </c>
      <c r="H5" s="17">
        <v>0.35138888888888892</v>
      </c>
      <c r="I5" s="8">
        <v>2.0529999999999999</v>
      </c>
      <c r="K5" s="14">
        <v>160</v>
      </c>
      <c r="L5" s="14">
        <f>SUM(I4:I42)</f>
        <v>96.120999999999981</v>
      </c>
      <c r="M5" s="14">
        <f>SUM(I43:I94)</f>
        <v>167.32199999999997</v>
      </c>
      <c r="N5" s="3" t="s">
        <v>53</v>
      </c>
    </row>
    <row r="6" spans="1:14">
      <c r="A6" s="16">
        <v>42355</v>
      </c>
      <c r="B6" s="17">
        <v>0.53472222222222221</v>
      </c>
      <c r="C6" s="8">
        <v>1.21</v>
      </c>
      <c r="D6" s="16">
        <v>42285</v>
      </c>
      <c r="E6" s="17">
        <v>0.47916666666666669</v>
      </c>
      <c r="F6" s="8">
        <v>1.19</v>
      </c>
      <c r="G6" s="16">
        <v>42264</v>
      </c>
      <c r="H6" s="17">
        <v>0.47569444444444442</v>
      </c>
      <c r="I6" s="8">
        <v>2.5419999999999998</v>
      </c>
      <c r="K6" s="13" t="s">
        <v>34</v>
      </c>
      <c r="L6" s="13">
        <f>SUM(L3:L5)</f>
        <v>262.10399999999998</v>
      </c>
      <c r="M6" s="60">
        <f>SUM(M3:M5)</f>
        <v>762.99899999999991</v>
      </c>
      <c r="N6" s="3" t="s">
        <v>30</v>
      </c>
    </row>
    <row r="7" spans="1:14">
      <c r="A7" s="16">
        <v>42366</v>
      </c>
      <c r="B7" s="17">
        <v>0.4548611111111111</v>
      </c>
      <c r="C7" s="8">
        <v>3.4809999999999999</v>
      </c>
      <c r="D7" s="16">
        <v>42291</v>
      </c>
      <c r="E7" s="17">
        <v>0.10416666666666667</v>
      </c>
      <c r="F7" s="8">
        <v>1.1890000000000001</v>
      </c>
      <c r="G7" s="16">
        <v>42272</v>
      </c>
      <c r="H7" s="17">
        <v>0.4770833333333333</v>
      </c>
      <c r="I7" s="8">
        <v>3.1880000000000002</v>
      </c>
    </row>
    <row r="8" spans="1:14">
      <c r="A8" s="16">
        <v>42373</v>
      </c>
      <c r="B8" s="17">
        <v>0.39513888888888887</v>
      </c>
      <c r="C8" s="8">
        <v>1.2150000000000001</v>
      </c>
      <c r="D8" s="16">
        <v>42327</v>
      </c>
      <c r="E8" s="17">
        <v>0.20902777777777778</v>
      </c>
      <c r="F8" s="8">
        <v>0.71899999999999997</v>
      </c>
      <c r="G8" s="16">
        <v>42285</v>
      </c>
      <c r="H8" s="17">
        <v>0.40833333333333338</v>
      </c>
      <c r="I8" s="8">
        <v>0.504</v>
      </c>
      <c r="K8" s="116" t="s">
        <v>145</v>
      </c>
    </row>
    <row r="9" spans="1:14">
      <c r="A9" s="16">
        <v>42373</v>
      </c>
      <c r="B9" s="17">
        <v>0.40416666666666662</v>
      </c>
      <c r="C9" s="8">
        <v>2.605</v>
      </c>
      <c r="D9" s="16">
        <v>42327</v>
      </c>
      <c r="E9" s="17">
        <v>0.21527777777777779</v>
      </c>
      <c r="F9" s="8">
        <v>0.28499999999999998</v>
      </c>
      <c r="G9" s="16">
        <v>42286</v>
      </c>
      <c r="H9" s="17">
        <v>0.33958333333333335</v>
      </c>
      <c r="I9" s="8">
        <v>1.3220000000000001</v>
      </c>
      <c r="K9" s="55" t="s">
        <v>146</v>
      </c>
    </row>
    <row r="10" spans="1:14">
      <c r="A10" s="16">
        <v>42377</v>
      </c>
      <c r="B10" s="17">
        <v>0.21111111111111111</v>
      </c>
      <c r="C10" s="8">
        <v>2.4340000000000002</v>
      </c>
      <c r="D10" s="16">
        <v>42338</v>
      </c>
      <c r="E10" s="17">
        <v>0.19097222222222221</v>
      </c>
      <c r="F10" s="8">
        <v>3.2130000000000001</v>
      </c>
      <c r="G10" s="16">
        <v>42293</v>
      </c>
      <c r="H10" s="17">
        <v>0.11805555555555557</v>
      </c>
      <c r="I10" s="8">
        <v>1.708</v>
      </c>
    </row>
    <row r="11" spans="1:14">
      <c r="A11" s="16">
        <v>42382</v>
      </c>
      <c r="B11" s="17">
        <v>0.52083333333333337</v>
      </c>
      <c r="C11" s="8">
        <v>1.8759999999999999</v>
      </c>
      <c r="D11" s="16">
        <v>42346</v>
      </c>
      <c r="E11" s="17">
        <v>0.48958333333333331</v>
      </c>
      <c r="F11" s="8">
        <v>2.669</v>
      </c>
      <c r="G11" s="16">
        <v>42304</v>
      </c>
      <c r="H11" s="17">
        <v>0.38750000000000001</v>
      </c>
      <c r="I11" s="8">
        <v>3.0209999999999999</v>
      </c>
      <c r="K11" s="11" t="s">
        <v>149</v>
      </c>
      <c r="L11" s="14">
        <v>2.2046226218488001</v>
      </c>
      <c r="M11" s="11" t="s">
        <v>74</v>
      </c>
    </row>
    <row r="12" spans="1:14">
      <c r="A12" s="18">
        <v>42398</v>
      </c>
      <c r="B12" s="19">
        <v>0.4055555555555555</v>
      </c>
      <c r="C12" s="15">
        <v>2.972</v>
      </c>
      <c r="D12" s="16">
        <v>42348</v>
      </c>
      <c r="E12" s="17">
        <v>0.50069444444444444</v>
      </c>
      <c r="F12" s="8">
        <v>3.0270000000000001</v>
      </c>
      <c r="G12" s="16">
        <v>42312</v>
      </c>
      <c r="H12" s="17">
        <v>0.64027777777777783</v>
      </c>
      <c r="I12" s="8">
        <v>2.1309999999999998</v>
      </c>
      <c r="K12" s="11" t="s">
        <v>150</v>
      </c>
      <c r="L12" s="117">
        <v>51892</v>
      </c>
      <c r="M12" s="11" t="s">
        <v>151</v>
      </c>
    </row>
    <row r="13" spans="1:14">
      <c r="A13" s="16">
        <v>42405</v>
      </c>
      <c r="B13" s="17">
        <v>0.4236111111111111</v>
      </c>
      <c r="C13" s="8">
        <v>3.718</v>
      </c>
      <c r="D13" s="16">
        <v>42355</v>
      </c>
      <c r="E13" s="17">
        <v>0.53472222222222221</v>
      </c>
      <c r="F13" s="8">
        <v>1.21</v>
      </c>
      <c r="G13" s="16">
        <v>42312</v>
      </c>
      <c r="H13" s="17">
        <v>0.64583333333333337</v>
      </c>
      <c r="I13" s="8">
        <v>1.444</v>
      </c>
      <c r="K13" s="66"/>
      <c r="L13" s="66"/>
      <c r="M13" s="66"/>
      <c r="N13" s="66"/>
    </row>
    <row r="14" spans="1:14">
      <c r="A14" s="16">
        <v>42410</v>
      </c>
      <c r="B14" s="17">
        <v>0.1388888888888889</v>
      </c>
      <c r="C14" s="8">
        <v>1.67</v>
      </c>
      <c r="D14" s="16">
        <v>42368</v>
      </c>
      <c r="E14" s="17">
        <v>0.45</v>
      </c>
      <c r="F14" s="8">
        <v>1.7130000000000001</v>
      </c>
      <c r="G14" s="16">
        <v>42314</v>
      </c>
      <c r="H14" s="17">
        <v>0.45902777777777781</v>
      </c>
      <c r="I14" s="8">
        <v>0.99199999999999999</v>
      </c>
      <c r="L14" s="76" t="s">
        <v>45</v>
      </c>
      <c r="M14" s="76" t="s">
        <v>104</v>
      </c>
    </row>
    <row r="15" spans="1:14">
      <c r="A15" s="16">
        <v>42411</v>
      </c>
      <c r="B15" s="17">
        <v>0.17847222222222223</v>
      </c>
      <c r="C15" s="8">
        <v>1.105</v>
      </c>
      <c r="D15" s="16">
        <v>42384</v>
      </c>
      <c r="E15" s="17">
        <v>12.22</v>
      </c>
      <c r="F15" s="8">
        <v>1.7589999999999999</v>
      </c>
      <c r="G15" s="16">
        <v>42314</v>
      </c>
      <c r="H15" s="17">
        <v>0.47430555555555554</v>
      </c>
      <c r="I15" s="8">
        <v>1.843</v>
      </c>
      <c r="K15" s="11" t="s">
        <v>147</v>
      </c>
      <c r="L15" s="3">
        <f>L6*$L$11</f>
        <v>577.8404076770579</v>
      </c>
      <c r="M15" s="3">
        <f>M6*$L$11</f>
        <v>1682.1248558480124</v>
      </c>
    </row>
    <row r="16" spans="1:14">
      <c r="A16" s="16">
        <v>42436</v>
      </c>
      <c r="B16" s="17">
        <v>9.0277777777777776E-2</v>
      </c>
      <c r="C16" s="8">
        <v>2.72</v>
      </c>
      <c r="D16" s="16">
        <v>42405</v>
      </c>
      <c r="E16" s="17">
        <v>7.2222222222222229E-2</v>
      </c>
      <c r="F16" s="8">
        <v>2.3690000000000002</v>
      </c>
      <c r="G16" s="16">
        <v>42327</v>
      </c>
      <c r="H16" s="17">
        <v>0.58124999999999993</v>
      </c>
      <c r="I16" s="8">
        <v>1.98</v>
      </c>
      <c r="K16" s="11" t="s">
        <v>148</v>
      </c>
      <c r="L16" s="95">
        <f>L15*$L$12</f>
        <v>29985294.435177889</v>
      </c>
      <c r="M16" s="95">
        <f>M15*$L$12</f>
        <v>87288823.019665062</v>
      </c>
    </row>
    <row r="17" spans="1:13">
      <c r="A17" s="16">
        <v>42443</v>
      </c>
      <c r="B17" s="17">
        <v>0.4513888888888889</v>
      </c>
      <c r="C17" s="8">
        <v>3.6629999999999998</v>
      </c>
      <c r="D17" s="16">
        <v>42419</v>
      </c>
      <c r="E17" s="17">
        <v>9.7222222222222224E-2</v>
      </c>
      <c r="F17" s="8">
        <v>3.645</v>
      </c>
      <c r="G17" s="16">
        <v>42367</v>
      </c>
      <c r="H17" s="17">
        <v>0.66319444444444442</v>
      </c>
      <c r="I17" s="8">
        <v>2.6829999999999998</v>
      </c>
    </row>
    <row r="18" spans="1:13">
      <c r="A18" s="16">
        <v>42462</v>
      </c>
      <c r="B18" s="17">
        <v>0.48958333333333331</v>
      </c>
      <c r="C18" s="8">
        <v>2.0409999999999999</v>
      </c>
      <c r="D18" s="16">
        <v>42439</v>
      </c>
      <c r="E18" s="17">
        <v>0.10347222222222223</v>
      </c>
      <c r="F18" s="8">
        <v>1.2490000000000001</v>
      </c>
      <c r="G18" s="16">
        <v>42375</v>
      </c>
      <c r="H18" s="17">
        <v>0.42708333333333331</v>
      </c>
      <c r="I18" s="8">
        <v>1.583</v>
      </c>
    </row>
    <row r="19" spans="1:13">
      <c r="A19" s="16">
        <v>42492</v>
      </c>
      <c r="B19" s="17">
        <v>0.12430555555555556</v>
      </c>
      <c r="C19" s="8">
        <v>2.27</v>
      </c>
      <c r="D19" s="16">
        <v>42447</v>
      </c>
      <c r="E19" s="17">
        <v>0.42638888888888887</v>
      </c>
      <c r="F19" s="8">
        <v>4.2690000000000001</v>
      </c>
      <c r="G19" s="16">
        <v>42375</v>
      </c>
      <c r="H19" s="17">
        <v>0.44027777777777777</v>
      </c>
      <c r="I19" s="8">
        <v>2.33</v>
      </c>
    </row>
    <row r="20" spans="1:13">
      <c r="A20" s="16">
        <v>42492</v>
      </c>
      <c r="B20" s="17">
        <v>0.12708333333333333</v>
      </c>
      <c r="C20" s="8">
        <v>0.36399999999999999</v>
      </c>
      <c r="D20" s="16">
        <v>42452</v>
      </c>
      <c r="E20" s="17">
        <v>5.9722222222222225E-2</v>
      </c>
      <c r="F20" s="8">
        <v>1.2529999999999999</v>
      </c>
      <c r="G20" s="16">
        <v>42380</v>
      </c>
      <c r="H20" s="17">
        <v>0.1388888888888889</v>
      </c>
      <c r="I20" s="8">
        <v>2.282</v>
      </c>
    </row>
    <row r="21" spans="1:13">
      <c r="A21" s="16">
        <v>42495</v>
      </c>
      <c r="B21" s="17">
        <v>0.15069444444444444</v>
      </c>
      <c r="C21" s="8">
        <v>2.9590000000000001</v>
      </c>
      <c r="D21" s="16">
        <v>42468</v>
      </c>
      <c r="E21" s="17">
        <v>0.47222222222222227</v>
      </c>
      <c r="F21" s="8">
        <v>2.4569999999999999</v>
      </c>
      <c r="G21" s="16">
        <v>42397</v>
      </c>
      <c r="H21" s="17">
        <v>0.55208333333333337</v>
      </c>
      <c r="I21" s="8">
        <v>2.6539999999999999</v>
      </c>
    </row>
    <row r="22" spans="1:13">
      <c r="A22" s="16">
        <v>42498</v>
      </c>
      <c r="B22" s="17">
        <v>0.1125</v>
      </c>
      <c r="C22" s="8">
        <v>0.254</v>
      </c>
      <c r="D22" s="16">
        <v>42472</v>
      </c>
      <c r="E22" s="17">
        <v>0.1875</v>
      </c>
      <c r="F22" s="8">
        <v>1.522</v>
      </c>
      <c r="G22" s="16">
        <v>42404</v>
      </c>
      <c r="H22" s="17">
        <v>0.7104166666666667</v>
      </c>
      <c r="I22" s="8">
        <v>4.024</v>
      </c>
    </row>
    <row r="23" spans="1:13">
      <c r="A23" s="16">
        <v>42499</v>
      </c>
      <c r="B23" s="17">
        <v>0.12847222222222224</v>
      </c>
      <c r="C23" s="8">
        <v>2.5579999999999998</v>
      </c>
      <c r="D23" s="16">
        <v>42845</v>
      </c>
      <c r="E23" s="17">
        <v>6.25E-2</v>
      </c>
      <c r="F23" s="8">
        <v>4.4059999999999997</v>
      </c>
      <c r="G23" s="16">
        <v>42411</v>
      </c>
      <c r="H23" s="17">
        <v>0.20694444444444446</v>
      </c>
      <c r="I23" s="8">
        <v>3.415</v>
      </c>
    </row>
    <row r="24" spans="1:13">
      <c r="A24" s="16">
        <v>42499</v>
      </c>
      <c r="B24" s="17">
        <v>0.13055555555555556</v>
      </c>
      <c r="C24" s="8">
        <v>0.88</v>
      </c>
      <c r="D24" s="16">
        <v>42487</v>
      </c>
      <c r="E24" s="17">
        <v>0.21805555555555556</v>
      </c>
      <c r="F24" s="8">
        <v>3.089</v>
      </c>
      <c r="G24" s="16">
        <v>42417</v>
      </c>
      <c r="H24" s="17">
        <v>0.15138888888888888</v>
      </c>
      <c r="I24" s="8">
        <v>3.46</v>
      </c>
    </row>
    <row r="25" spans="1:13">
      <c r="A25" s="16">
        <v>42502</v>
      </c>
      <c r="B25" s="17">
        <v>0.1388888888888889</v>
      </c>
      <c r="C25" s="8">
        <v>3.9249999999999998</v>
      </c>
      <c r="D25" s="16">
        <v>42502</v>
      </c>
      <c r="E25" s="17">
        <v>0.15625</v>
      </c>
      <c r="F25" s="8">
        <v>4.1390000000000002</v>
      </c>
      <c r="G25" s="16">
        <v>42429</v>
      </c>
      <c r="H25" s="17">
        <v>8.819444444444445E-2</v>
      </c>
      <c r="I25" s="8">
        <v>3.9390000000000001</v>
      </c>
    </row>
    <row r="26" spans="1:13">
      <c r="A26" s="16">
        <v>42503</v>
      </c>
      <c r="B26" s="17">
        <v>0.19236111111111112</v>
      </c>
      <c r="C26" s="8">
        <v>6.4000000000000001E-2</v>
      </c>
      <c r="D26" s="16">
        <v>42509</v>
      </c>
      <c r="E26" s="17">
        <v>0.1388888888888889</v>
      </c>
      <c r="F26" s="8">
        <v>3.3039999999999998</v>
      </c>
      <c r="G26" s="16">
        <v>42437</v>
      </c>
      <c r="H26" s="17">
        <v>0.16180555555555556</v>
      </c>
      <c r="I26" s="8">
        <v>3.2389999999999999</v>
      </c>
    </row>
    <row r="27" spans="1:13">
      <c r="A27" s="16">
        <v>42503</v>
      </c>
      <c r="B27" s="17">
        <v>0.19305555555555554</v>
      </c>
      <c r="C27" s="8">
        <v>6.0999999999999999E-2</v>
      </c>
      <c r="D27" s="16">
        <v>42528</v>
      </c>
      <c r="E27" s="17">
        <v>0.17569444444444446</v>
      </c>
      <c r="F27" s="8">
        <v>3.9060000000000001</v>
      </c>
      <c r="G27" s="16">
        <v>42444</v>
      </c>
      <c r="H27" s="17">
        <v>0.1875</v>
      </c>
      <c r="I27" s="8">
        <v>3.302</v>
      </c>
      <c r="K27" s="5"/>
      <c r="L27" s="5"/>
      <c r="M27" s="5"/>
    </row>
    <row r="28" spans="1:13">
      <c r="A28" s="16">
        <v>42506</v>
      </c>
      <c r="B28" s="17">
        <v>0.35555555555555557</v>
      </c>
      <c r="C28" s="8">
        <v>4.0199999999999996</v>
      </c>
      <c r="D28" s="16">
        <v>42531</v>
      </c>
      <c r="E28" s="17">
        <v>0.42708333333333331</v>
      </c>
      <c r="F28" s="8">
        <v>4.0679999999999996</v>
      </c>
      <c r="G28" s="16">
        <v>42454</v>
      </c>
      <c r="H28" s="17">
        <v>9.7222222222222224E-2</v>
      </c>
      <c r="I28" s="8">
        <v>3.5619999999999998</v>
      </c>
      <c r="K28" s="5"/>
      <c r="L28" s="5"/>
      <c r="M28" s="5"/>
    </row>
    <row r="29" spans="1:13">
      <c r="A29" s="16">
        <v>42510</v>
      </c>
      <c r="B29" s="17">
        <v>0.36388888888888887</v>
      </c>
      <c r="C29" s="8">
        <v>2.7250000000000001</v>
      </c>
      <c r="D29" s="16">
        <v>42550</v>
      </c>
      <c r="E29" s="17">
        <v>0.10416666666666667</v>
      </c>
      <c r="F29" s="8">
        <v>3.2879999999999998</v>
      </c>
      <c r="G29" s="16">
        <v>42465</v>
      </c>
      <c r="H29" s="17">
        <v>0.12569444444444444</v>
      </c>
      <c r="I29" s="8">
        <v>1.9470000000000001</v>
      </c>
      <c r="K29" s="5"/>
      <c r="L29" s="5"/>
      <c r="M29" s="5"/>
    </row>
    <row r="30" spans="1:13">
      <c r="A30" s="16">
        <v>42510</v>
      </c>
      <c r="B30" s="17">
        <v>0.3659722222222222</v>
      </c>
      <c r="C30" s="8">
        <v>0.93600000000000005</v>
      </c>
      <c r="D30" s="16">
        <v>42552</v>
      </c>
      <c r="E30" s="17">
        <v>0.625</v>
      </c>
      <c r="F30" s="8">
        <v>2.7069999999999999</v>
      </c>
      <c r="G30" s="16">
        <v>42467</v>
      </c>
      <c r="H30" s="17">
        <v>0.18055555555555555</v>
      </c>
      <c r="I30" s="8">
        <v>2.13</v>
      </c>
      <c r="K30" s="6"/>
      <c r="L30" s="6"/>
      <c r="M30" s="6"/>
    </row>
    <row r="31" spans="1:13">
      <c r="A31" s="16">
        <v>42510</v>
      </c>
      <c r="B31" s="17">
        <v>0.14722222222222223</v>
      </c>
      <c r="C31" s="8">
        <v>0.7</v>
      </c>
      <c r="D31" s="16">
        <v>42553</v>
      </c>
      <c r="E31" s="17">
        <v>0.41666666666666669</v>
      </c>
      <c r="F31" s="8">
        <v>2.85</v>
      </c>
      <c r="G31" s="16">
        <v>42473</v>
      </c>
      <c r="H31" s="17">
        <v>0.27986111111111112</v>
      </c>
      <c r="I31" s="8">
        <v>2.0960000000000001</v>
      </c>
      <c r="K31" s="7"/>
      <c r="L31" s="7"/>
      <c r="M31" s="7"/>
    </row>
    <row r="32" spans="1:13">
      <c r="A32" s="16">
        <v>42514</v>
      </c>
      <c r="B32" s="17">
        <v>0.35555555555555557</v>
      </c>
      <c r="C32" s="8">
        <v>2.5379999999999998</v>
      </c>
      <c r="D32" s="16">
        <v>42554</v>
      </c>
      <c r="E32" s="17">
        <v>0.41875000000000001</v>
      </c>
      <c r="F32" s="8">
        <v>0.53100000000000003</v>
      </c>
      <c r="G32" s="16">
        <v>42484</v>
      </c>
      <c r="H32" s="17">
        <v>0.47361111111111115</v>
      </c>
      <c r="I32" s="8">
        <v>2.5299999999999998</v>
      </c>
      <c r="K32" s="6"/>
      <c r="L32" s="6"/>
      <c r="M32" s="6"/>
    </row>
    <row r="33" spans="1:9">
      <c r="A33" s="16">
        <v>42514</v>
      </c>
      <c r="B33" s="17">
        <v>0.35694444444444445</v>
      </c>
      <c r="C33" s="8">
        <v>5.8000000000000003E-2</v>
      </c>
      <c r="D33" s="16">
        <v>42569</v>
      </c>
      <c r="E33" s="17">
        <v>0.57222222222222219</v>
      </c>
      <c r="F33" s="8">
        <v>3.09</v>
      </c>
      <c r="G33" s="16">
        <v>42484</v>
      </c>
      <c r="H33" s="17">
        <v>0.4770833333333333</v>
      </c>
      <c r="I33" s="8">
        <v>0.377</v>
      </c>
    </row>
    <row r="34" spans="1:9">
      <c r="A34" s="16">
        <v>42517</v>
      </c>
      <c r="B34" s="17">
        <v>0.43402777777777773</v>
      </c>
      <c r="C34" s="8">
        <v>4.024</v>
      </c>
      <c r="D34" s="16">
        <v>42577</v>
      </c>
      <c r="E34" s="17">
        <v>0.64583333333333337</v>
      </c>
      <c r="F34" s="8">
        <v>2.109</v>
      </c>
      <c r="G34" s="16">
        <v>42493</v>
      </c>
      <c r="H34" s="17">
        <v>0.42499999999999999</v>
      </c>
      <c r="I34" s="8">
        <v>2.5920000000000001</v>
      </c>
    </row>
    <row r="35" spans="1:9">
      <c r="A35" s="16">
        <v>42520</v>
      </c>
      <c r="B35" s="17">
        <v>0.36180555555555555</v>
      </c>
      <c r="C35" s="8">
        <v>3.6859999999999999</v>
      </c>
      <c r="D35" s="16">
        <v>42583</v>
      </c>
      <c r="E35" s="17">
        <v>0.68611111111111101</v>
      </c>
      <c r="F35" s="8">
        <v>2.23</v>
      </c>
      <c r="G35" s="16">
        <v>42493</v>
      </c>
      <c r="H35" s="17">
        <v>0.42569444444444443</v>
      </c>
      <c r="I35" s="8">
        <v>0.85</v>
      </c>
    </row>
    <row r="36" spans="1:9">
      <c r="A36" s="16">
        <v>42522</v>
      </c>
      <c r="B36" s="17">
        <v>0.42638888888888887</v>
      </c>
      <c r="C36" s="8">
        <v>2.0659999999999998</v>
      </c>
      <c r="D36" s="16">
        <v>42604</v>
      </c>
      <c r="E36" s="17">
        <v>0.73611111111111116</v>
      </c>
      <c r="F36" s="8">
        <v>4.3090000000000002</v>
      </c>
      <c r="G36" s="16">
        <v>42502</v>
      </c>
      <c r="H36" s="17">
        <v>0.4777777777777778</v>
      </c>
      <c r="I36" s="8">
        <v>4.6219999999999999</v>
      </c>
    </row>
    <row r="37" spans="1:9">
      <c r="A37" s="16">
        <v>42524</v>
      </c>
      <c r="B37" s="17">
        <v>8.7500000000000008E-2</v>
      </c>
      <c r="C37" s="8">
        <v>1.8320000000000001</v>
      </c>
      <c r="D37" s="16">
        <v>42612</v>
      </c>
      <c r="E37" s="17">
        <v>0.6875</v>
      </c>
      <c r="F37" s="8">
        <v>1.0049999999999999</v>
      </c>
      <c r="G37" s="16">
        <v>42510</v>
      </c>
      <c r="H37" s="17">
        <v>0.375</v>
      </c>
      <c r="I37" s="8">
        <v>4.7850000000000001</v>
      </c>
    </row>
    <row r="38" spans="1:9">
      <c r="A38" s="16">
        <v>42527</v>
      </c>
      <c r="B38" s="17">
        <v>0.45902777777777781</v>
      </c>
      <c r="C38" s="8">
        <v>3.9540000000000002</v>
      </c>
      <c r="D38" s="16">
        <v>42625</v>
      </c>
      <c r="E38" s="17">
        <v>0.63541666666666663</v>
      </c>
      <c r="F38" s="8">
        <v>2.3540000000000001</v>
      </c>
      <c r="G38" s="16">
        <v>42524</v>
      </c>
      <c r="H38" s="17">
        <v>0.53888888888888886</v>
      </c>
      <c r="I38" s="8">
        <v>3.0550000000000002</v>
      </c>
    </row>
    <row r="39" spans="1:9">
      <c r="A39" s="16">
        <v>42530</v>
      </c>
      <c r="B39" s="17">
        <v>0.3527777777777778</v>
      </c>
      <c r="C39" s="8">
        <v>3.645</v>
      </c>
      <c r="D39" s="16">
        <v>42634</v>
      </c>
      <c r="E39" s="17">
        <v>0.55486111111111114</v>
      </c>
      <c r="F39" s="8">
        <v>1.8979999999999999</v>
      </c>
      <c r="G39" s="16">
        <v>42530</v>
      </c>
      <c r="H39" s="17">
        <v>0.47083333333333338</v>
      </c>
      <c r="I39" s="8">
        <v>1.859</v>
      </c>
    </row>
    <row r="40" spans="1:9">
      <c r="A40" s="16">
        <v>42531</v>
      </c>
      <c r="B40" s="17">
        <v>0.43402777777777773</v>
      </c>
      <c r="C40" s="8">
        <v>2.5920000000000001</v>
      </c>
      <c r="D40" s="16">
        <v>42641</v>
      </c>
      <c r="E40" s="17">
        <v>0.66597222222222219</v>
      </c>
      <c r="F40" s="8">
        <v>2.6909999999999998</v>
      </c>
      <c r="G40" s="16">
        <v>42534</v>
      </c>
      <c r="H40" s="17">
        <v>0.20277777777777781</v>
      </c>
      <c r="I40" s="8">
        <v>3.4809999999999999</v>
      </c>
    </row>
    <row r="41" spans="1:9">
      <c r="A41" s="16">
        <v>42534</v>
      </c>
      <c r="B41" s="17">
        <v>6.9444444444444434E-2</v>
      </c>
      <c r="C41" s="8">
        <v>0.75900000000000001</v>
      </c>
      <c r="D41" s="16">
        <v>42653</v>
      </c>
      <c r="E41" s="17">
        <v>0.66805555555555562</v>
      </c>
      <c r="F41" s="8">
        <v>2.6930000000000001</v>
      </c>
      <c r="G41" s="16">
        <v>42543</v>
      </c>
      <c r="H41" s="17">
        <v>0.20138888888888887</v>
      </c>
      <c r="I41" s="8">
        <v>2.839</v>
      </c>
    </row>
    <row r="42" spans="1:9">
      <c r="A42" s="16">
        <v>42534</v>
      </c>
      <c r="B42" s="17">
        <v>7.2916666666666671E-2</v>
      </c>
      <c r="C42" s="8">
        <v>1.2350000000000001</v>
      </c>
      <c r="D42" s="16">
        <v>42633</v>
      </c>
      <c r="E42" s="17">
        <v>0.42222222222222222</v>
      </c>
      <c r="F42" s="8">
        <v>3.6190000000000002</v>
      </c>
      <c r="G42" s="16">
        <v>42549</v>
      </c>
      <c r="H42" s="17">
        <v>0.18472222222222223</v>
      </c>
      <c r="I42" s="8">
        <v>2.5859999999999999</v>
      </c>
    </row>
    <row r="43" spans="1:9">
      <c r="A43" s="16">
        <v>42536</v>
      </c>
      <c r="B43" s="17">
        <v>0.43194444444444446</v>
      </c>
      <c r="C43" s="8">
        <v>4.0430000000000001</v>
      </c>
      <c r="D43" s="16">
        <v>42638</v>
      </c>
      <c r="E43" s="17">
        <v>0.38055555555555554</v>
      </c>
      <c r="F43" s="8">
        <v>3.7589999999999999</v>
      </c>
      <c r="G43" s="16">
        <v>42557</v>
      </c>
      <c r="H43" s="17">
        <v>0.54166666666666663</v>
      </c>
      <c r="I43" s="8">
        <v>3.91</v>
      </c>
    </row>
    <row r="44" spans="1:9">
      <c r="A44" s="16">
        <v>42537</v>
      </c>
      <c r="B44" s="17">
        <v>6.25E-2</v>
      </c>
      <c r="C44" s="8">
        <v>0.60399999999999998</v>
      </c>
      <c r="D44" s="16">
        <v>42642</v>
      </c>
      <c r="E44" s="17">
        <v>0.63194444444444442</v>
      </c>
      <c r="F44" s="8">
        <v>2.5640000000000001</v>
      </c>
      <c r="G44" s="16">
        <v>42564</v>
      </c>
      <c r="H44" s="17">
        <v>0.58333333333333337</v>
      </c>
      <c r="I44" s="8">
        <v>2.8889999999999998</v>
      </c>
    </row>
    <row r="45" spans="1:9">
      <c r="A45" s="16">
        <v>42537</v>
      </c>
      <c r="B45" s="17">
        <v>6.3888888888888884E-2</v>
      </c>
      <c r="C45" s="8">
        <v>0.55800000000000005</v>
      </c>
      <c r="D45" s="16">
        <v>42646</v>
      </c>
      <c r="E45" s="17">
        <v>0.59027777777777779</v>
      </c>
      <c r="F45" s="8">
        <v>2.7160000000000002</v>
      </c>
      <c r="G45" s="16">
        <v>42569</v>
      </c>
      <c r="H45" s="17">
        <v>0.69027777777777777</v>
      </c>
      <c r="I45" s="8">
        <v>0.69699999999999995</v>
      </c>
    </row>
    <row r="46" spans="1:9">
      <c r="A46" s="16">
        <v>42538</v>
      </c>
      <c r="B46" s="17">
        <v>0.10555555555555556</v>
      </c>
      <c r="C46" s="8">
        <v>1.44</v>
      </c>
      <c r="D46" s="16">
        <v>42650</v>
      </c>
      <c r="E46" s="17">
        <v>0.3659722222222222</v>
      </c>
      <c r="F46" s="8">
        <v>2.9950000000000001</v>
      </c>
      <c r="G46" s="16">
        <v>42571</v>
      </c>
      <c r="H46" s="17">
        <v>0.57638888888888895</v>
      </c>
      <c r="I46" s="8">
        <v>3.4289999999999998</v>
      </c>
    </row>
    <row r="47" spans="1:9">
      <c r="A47" s="16">
        <v>42541</v>
      </c>
      <c r="B47" s="17">
        <v>0.41736111111111113</v>
      </c>
      <c r="C47" s="8">
        <v>1.851</v>
      </c>
      <c r="D47" s="16">
        <v>42663</v>
      </c>
      <c r="E47" s="17">
        <v>0.61111111111111105</v>
      </c>
      <c r="F47" s="8">
        <v>1.7829999999999999</v>
      </c>
      <c r="G47" s="16">
        <v>42577</v>
      </c>
      <c r="H47" s="17">
        <v>0.4458333333333333</v>
      </c>
      <c r="I47" s="8">
        <v>2.617</v>
      </c>
    </row>
    <row r="48" spans="1:9">
      <c r="A48" s="16">
        <v>42549</v>
      </c>
      <c r="B48" s="17">
        <v>0.35416666666666669</v>
      </c>
      <c r="C48" s="8">
        <v>2.9020000000000001</v>
      </c>
      <c r="D48" s="16">
        <v>42681</v>
      </c>
      <c r="E48" s="17">
        <v>0.67499999999999993</v>
      </c>
      <c r="F48" s="8">
        <v>2.0020000000000002</v>
      </c>
      <c r="G48" s="16">
        <v>42583</v>
      </c>
      <c r="H48" s="17">
        <v>0.36805555555555558</v>
      </c>
      <c r="I48" s="8">
        <v>3.8250000000000002</v>
      </c>
    </row>
    <row r="49" spans="1:9">
      <c r="A49" s="16">
        <v>42550</v>
      </c>
      <c r="B49" s="17">
        <v>0.1875</v>
      </c>
      <c r="C49" s="8">
        <v>2.028</v>
      </c>
      <c r="D49" s="16">
        <v>42688</v>
      </c>
      <c r="E49" s="17">
        <v>0.48402777777777778</v>
      </c>
      <c r="F49" s="8">
        <v>3</v>
      </c>
      <c r="G49" s="16">
        <v>42592</v>
      </c>
      <c r="H49" s="17">
        <v>0.68333333333333324</v>
      </c>
      <c r="I49" s="8">
        <v>3.0859999999999999</v>
      </c>
    </row>
    <row r="50" spans="1:9">
      <c r="A50" s="16">
        <v>42551</v>
      </c>
      <c r="B50" s="17">
        <v>0.18888888888888888</v>
      </c>
      <c r="C50" s="8">
        <v>3.0819999999999999</v>
      </c>
      <c r="D50" s="16">
        <v>42692</v>
      </c>
      <c r="E50" s="17">
        <v>0.60972222222222217</v>
      </c>
      <c r="F50" s="8">
        <v>2.544</v>
      </c>
      <c r="G50" s="16">
        <v>42604</v>
      </c>
      <c r="H50" s="17">
        <v>0.72222222222222221</v>
      </c>
      <c r="I50" s="8">
        <v>4.5860000000000003</v>
      </c>
    </row>
    <row r="51" spans="1:9">
      <c r="A51" s="16">
        <v>42556</v>
      </c>
      <c r="B51" s="17">
        <v>0.62847222222222221</v>
      </c>
      <c r="C51" s="8">
        <v>1.516</v>
      </c>
      <c r="D51" s="16">
        <v>42696</v>
      </c>
      <c r="E51" s="17">
        <v>0.6777777777777777</v>
      </c>
      <c r="F51" s="8">
        <v>2.6150000000000002</v>
      </c>
      <c r="G51" s="16">
        <v>42611</v>
      </c>
      <c r="H51" s="17">
        <v>0.36736111111111108</v>
      </c>
      <c r="I51" s="8">
        <v>4.2679999999999998</v>
      </c>
    </row>
    <row r="52" spans="1:9">
      <c r="A52" s="16">
        <v>42557</v>
      </c>
      <c r="B52" s="17">
        <v>0.4861111111111111</v>
      </c>
      <c r="C52" s="8">
        <v>2.9249999999999998</v>
      </c>
      <c r="D52" s="16">
        <v>42703</v>
      </c>
      <c r="E52" s="17">
        <v>0.60486111111111118</v>
      </c>
      <c r="F52" s="8">
        <v>3.0960000000000001</v>
      </c>
      <c r="G52" s="16">
        <v>42613</v>
      </c>
      <c r="H52" s="17">
        <v>0.60416666666666663</v>
      </c>
      <c r="I52" s="8">
        <v>2.1880000000000002</v>
      </c>
    </row>
    <row r="53" spans="1:9">
      <c r="A53" s="16">
        <v>42558</v>
      </c>
      <c r="B53" s="17">
        <v>0.43402777777777773</v>
      </c>
      <c r="C53" s="8">
        <v>3.585</v>
      </c>
      <c r="D53" s="16">
        <v>42706</v>
      </c>
      <c r="E53" s="17">
        <v>0.48888888888888887</v>
      </c>
      <c r="F53" s="8">
        <v>1.6319999999999999</v>
      </c>
      <c r="G53" s="16">
        <v>42619</v>
      </c>
      <c r="H53" s="17">
        <v>0.64236111111111105</v>
      </c>
      <c r="I53" s="8">
        <v>3.4460000000000002</v>
      </c>
    </row>
    <row r="54" spans="1:9">
      <c r="A54" s="16">
        <v>42559</v>
      </c>
      <c r="B54" s="17">
        <v>0.47916666666666669</v>
      </c>
      <c r="C54" s="8">
        <v>1.2689999999999999</v>
      </c>
      <c r="D54" s="16">
        <v>42710</v>
      </c>
      <c r="E54" s="17">
        <v>0.66666666666666663</v>
      </c>
      <c r="F54" s="8">
        <v>2.556</v>
      </c>
      <c r="G54" s="16">
        <v>42625</v>
      </c>
      <c r="H54" s="17">
        <v>0.64444444444444449</v>
      </c>
      <c r="I54" s="8">
        <v>3.2410000000000001</v>
      </c>
    </row>
    <row r="55" spans="1:9">
      <c r="A55" s="16">
        <v>42562</v>
      </c>
      <c r="B55" s="17">
        <v>0.47916666666666669</v>
      </c>
      <c r="C55" s="8">
        <v>3.8140000000000001</v>
      </c>
      <c r="D55" s="16">
        <v>42713</v>
      </c>
      <c r="E55" s="17">
        <v>0.52222222222222225</v>
      </c>
      <c r="F55" s="8">
        <v>2.3639999999999999</v>
      </c>
      <c r="G55" s="16">
        <v>42655</v>
      </c>
      <c r="H55" s="17">
        <v>4.6527777777777779E-2</v>
      </c>
      <c r="I55" s="8">
        <v>2.8410000000000002</v>
      </c>
    </row>
    <row r="56" spans="1:9">
      <c r="A56" s="16">
        <v>42562</v>
      </c>
      <c r="B56" s="17">
        <v>0.63541666666666663</v>
      </c>
      <c r="C56" s="8">
        <v>0.5</v>
      </c>
      <c r="D56" s="16">
        <v>42717</v>
      </c>
      <c r="E56" s="17">
        <v>0.38194444444444442</v>
      </c>
      <c r="F56" s="8">
        <v>4.306</v>
      </c>
      <c r="G56" s="16">
        <v>42656</v>
      </c>
      <c r="H56" s="17">
        <v>0.41666666666666669</v>
      </c>
      <c r="I56" s="8">
        <v>3.3040000000000003</v>
      </c>
    </row>
    <row r="57" spans="1:9">
      <c r="A57" s="16">
        <v>42562</v>
      </c>
      <c r="B57" s="17">
        <v>0.63680555555555551</v>
      </c>
      <c r="C57" s="8">
        <v>5.2999999999999999E-2</v>
      </c>
      <c r="D57" s="16">
        <v>42719</v>
      </c>
      <c r="E57" s="17">
        <v>0.47152777777777777</v>
      </c>
      <c r="F57" s="8">
        <v>3.4350000000000001</v>
      </c>
      <c r="G57" s="16">
        <v>42663</v>
      </c>
      <c r="H57" s="17">
        <v>0.39999999999999997</v>
      </c>
      <c r="I57" s="8">
        <v>4.101</v>
      </c>
    </row>
    <row r="58" spans="1:9">
      <c r="A58" s="16">
        <v>42566</v>
      </c>
      <c r="B58" s="17">
        <v>0.44791666666666669</v>
      </c>
      <c r="C58" s="8">
        <v>3.012</v>
      </c>
      <c r="D58" s="16">
        <v>42723</v>
      </c>
      <c r="E58" s="17">
        <v>0.70138888888888884</v>
      </c>
      <c r="F58" s="8">
        <v>3.2810000000000001</v>
      </c>
      <c r="G58" s="16">
        <v>42670</v>
      </c>
      <c r="H58" s="17">
        <v>0.65694444444444444</v>
      </c>
      <c r="I58" s="8">
        <v>2.5299999999999998</v>
      </c>
    </row>
    <row r="59" spans="1:9">
      <c r="A59" s="16">
        <v>42569</v>
      </c>
      <c r="B59" s="17">
        <v>0.64722222222222225</v>
      </c>
      <c r="C59" s="8">
        <v>0.45400000000000001</v>
      </c>
      <c r="D59" s="16">
        <v>42744</v>
      </c>
      <c r="E59" s="17">
        <v>0.50624999999999998</v>
      </c>
      <c r="F59" s="8">
        <v>2.2429999999999999</v>
      </c>
      <c r="G59" s="16">
        <v>42674</v>
      </c>
      <c r="H59" s="17">
        <v>0.64374999999999993</v>
      </c>
      <c r="I59" s="8">
        <v>1.72</v>
      </c>
    </row>
    <row r="60" spans="1:9">
      <c r="A60" s="16">
        <v>42580</v>
      </c>
      <c r="B60" s="17">
        <v>0.41319444444444442</v>
      </c>
      <c r="C60" s="8">
        <v>3.12</v>
      </c>
      <c r="D60" s="16">
        <v>42758</v>
      </c>
      <c r="E60" s="17">
        <v>0.62013888888888891</v>
      </c>
      <c r="F60" s="8">
        <v>2.819</v>
      </c>
      <c r="G60" s="16">
        <v>42682</v>
      </c>
      <c r="H60" s="17">
        <v>0.4548611111111111</v>
      </c>
      <c r="I60" s="8">
        <v>2.5720000000000001</v>
      </c>
    </row>
    <row r="61" spans="1:9">
      <c r="A61" s="16">
        <v>42583</v>
      </c>
      <c r="B61" s="17">
        <v>0.61805555555555558</v>
      </c>
      <c r="C61" s="8">
        <v>3.5739999999999998</v>
      </c>
      <c r="D61" s="16">
        <v>42767</v>
      </c>
      <c r="E61" s="17">
        <v>0.61805555555555558</v>
      </c>
      <c r="F61" s="8">
        <v>2.669</v>
      </c>
      <c r="G61" s="16">
        <v>42688</v>
      </c>
      <c r="H61" s="17">
        <v>0.68958333333333333</v>
      </c>
      <c r="I61" s="8">
        <v>3.504</v>
      </c>
    </row>
    <row r="62" spans="1:9">
      <c r="A62" s="16">
        <v>42585</v>
      </c>
      <c r="B62" s="17">
        <v>0.38611111111111113</v>
      </c>
      <c r="C62" s="8">
        <v>1.339</v>
      </c>
      <c r="D62" s="16">
        <v>42774</v>
      </c>
      <c r="E62" s="17">
        <v>0.40277777777777773</v>
      </c>
      <c r="F62" s="8">
        <v>2.0329999999999999</v>
      </c>
      <c r="G62" s="16">
        <v>42695</v>
      </c>
      <c r="H62" s="17">
        <v>0.38819444444444445</v>
      </c>
      <c r="I62" s="8">
        <v>4.492</v>
      </c>
    </row>
    <row r="63" spans="1:9">
      <c r="A63" s="16">
        <v>42585</v>
      </c>
      <c r="B63" s="17">
        <v>0.3923611111111111</v>
      </c>
      <c r="C63" s="8">
        <v>1.718</v>
      </c>
      <c r="D63" s="16">
        <v>42790</v>
      </c>
      <c r="E63" s="17">
        <v>0.46180555555555558</v>
      </c>
      <c r="F63" s="8">
        <v>2.581</v>
      </c>
      <c r="G63" s="16">
        <v>42696</v>
      </c>
      <c r="H63" s="17">
        <v>0.69513888888888886</v>
      </c>
      <c r="I63" s="8">
        <v>2.6659999999999999</v>
      </c>
    </row>
    <row r="64" spans="1:9">
      <c r="A64" s="16">
        <v>42587</v>
      </c>
      <c r="B64" s="17">
        <v>0.54097222222222219</v>
      </c>
      <c r="C64" s="8">
        <v>1.8979999999999999</v>
      </c>
      <c r="D64" s="16">
        <v>42802</v>
      </c>
      <c r="E64" s="17">
        <v>0.60069444444444442</v>
      </c>
      <c r="F64" s="8">
        <v>2.879</v>
      </c>
      <c r="G64" s="16">
        <v>42697</v>
      </c>
      <c r="H64" s="17">
        <v>0.47569444444444442</v>
      </c>
      <c r="I64" s="8">
        <v>0.42699999999999999</v>
      </c>
    </row>
    <row r="65" spans="1:9">
      <c r="A65" s="16">
        <v>42592</v>
      </c>
      <c r="B65" s="17">
        <v>0.40833333333333338</v>
      </c>
      <c r="C65" s="8">
        <v>1.7269999999999999</v>
      </c>
      <c r="D65" s="16">
        <v>42808</v>
      </c>
      <c r="E65" s="17">
        <v>0.39861111111111108</v>
      </c>
      <c r="F65" s="8">
        <v>4.218</v>
      </c>
      <c r="G65" s="16">
        <v>42705</v>
      </c>
      <c r="H65" s="17">
        <v>0.77777777777777779</v>
      </c>
      <c r="I65" s="8">
        <v>4.1520000000000001</v>
      </c>
    </row>
    <row r="66" spans="1:9">
      <c r="A66" s="16">
        <v>42598</v>
      </c>
      <c r="B66" s="17">
        <v>0.69444444444444453</v>
      </c>
      <c r="C66" s="8">
        <v>0.79999999999999993</v>
      </c>
      <c r="D66" s="16">
        <v>42822</v>
      </c>
      <c r="E66" s="17">
        <v>0.42499999999999999</v>
      </c>
      <c r="F66" s="8">
        <v>3</v>
      </c>
      <c r="G66" s="16">
        <v>42711</v>
      </c>
      <c r="H66" s="17">
        <v>0.6479166666666667</v>
      </c>
      <c r="I66" s="8">
        <v>0.32600000000000001</v>
      </c>
    </row>
    <row r="67" spans="1:9">
      <c r="A67" s="16">
        <v>42599</v>
      </c>
      <c r="B67" s="17">
        <v>0.39583333333333331</v>
      </c>
      <c r="C67" s="8">
        <v>1.0169999999999999</v>
      </c>
      <c r="D67" s="16">
        <v>42832</v>
      </c>
      <c r="E67" s="17">
        <v>0.45624999999999999</v>
      </c>
      <c r="F67" s="8">
        <v>2.54</v>
      </c>
      <c r="G67" s="16">
        <v>42712</v>
      </c>
      <c r="H67" s="17">
        <v>0.48888888888888887</v>
      </c>
      <c r="I67" s="8">
        <v>3.7889999999999997</v>
      </c>
    </row>
    <row r="68" spans="1:9">
      <c r="A68" s="16">
        <v>42604</v>
      </c>
      <c r="B68" s="17">
        <v>0.74652777777777779</v>
      </c>
      <c r="C68" s="8">
        <v>1.7669999999999999</v>
      </c>
      <c r="D68" s="16">
        <v>42844</v>
      </c>
      <c r="E68" s="17">
        <v>0.70347222222222217</v>
      </c>
      <c r="F68" s="8">
        <v>3.2280000000000002</v>
      </c>
      <c r="G68" s="16">
        <v>42723</v>
      </c>
      <c r="H68" s="17">
        <v>0.67222222222222217</v>
      </c>
      <c r="I68" s="8">
        <v>4.58</v>
      </c>
    </row>
    <row r="69" spans="1:9">
      <c r="A69" s="16">
        <v>42605</v>
      </c>
      <c r="B69" s="17">
        <v>0.53263888888888888</v>
      </c>
      <c r="C69" s="8">
        <v>0.45800000000000002</v>
      </c>
      <c r="D69" s="16">
        <v>42846</v>
      </c>
      <c r="E69" s="17">
        <v>0.46736111111111112</v>
      </c>
      <c r="F69" s="8">
        <v>2.5030000000000001</v>
      </c>
      <c r="G69" s="16">
        <v>42725</v>
      </c>
      <c r="H69" s="17">
        <v>0.60416666666666663</v>
      </c>
      <c r="I69" s="8">
        <v>1.3049999999999999</v>
      </c>
    </row>
    <row r="70" spans="1:9">
      <c r="A70" s="16">
        <v>42605</v>
      </c>
      <c r="B70" s="17">
        <v>0.56041666666666667</v>
      </c>
      <c r="C70" s="8">
        <v>2.4220000000000002</v>
      </c>
      <c r="D70" s="16">
        <v>42851</v>
      </c>
      <c r="E70" s="17">
        <v>0.40416666666666662</v>
      </c>
      <c r="F70" s="8">
        <v>3.016</v>
      </c>
      <c r="G70" s="16">
        <v>42741</v>
      </c>
      <c r="H70" s="17">
        <v>0.46597222222222223</v>
      </c>
      <c r="I70" s="8">
        <v>3.3220000000000001</v>
      </c>
    </row>
    <row r="71" spans="1:9">
      <c r="A71" s="16">
        <v>42608</v>
      </c>
      <c r="B71" s="17">
        <v>0.72083333333333333</v>
      </c>
      <c r="C71" s="8">
        <v>4.08</v>
      </c>
      <c r="D71" s="16">
        <v>42853</v>
      </c>
      <c r="E71" s="17">
        <v>0.60416666666666663</v>
      </c>
      <c r="F71" s="8">
        <v>2.4500000000000002</v>
      </c>
      <c r="G71" s="16">
        <v>42755</v>
      </c>
      <c r="H71" s="17">
        <v>0.47916666666666669</v>
      </c>
      <c r="I71" s="8">
        <v>3.9529999999999998</v>
      </c>
    </row>
    <row r="72" spans="1:9">
      <c r="A72" s="16">
        <v>42610</v>
      </c>
      <c r="B72" s="17">
        <v>0.62222222222222223</v>
      </c>
      <c r="C72" s="8">
        <v>3.5259999999999998</v>
      </c>
      <c r="D72" s="16">
        <v>42858</v>
      </c>
      <c r="E72" s="17">
        <v>0.43541666666666662</v>
      </c>
      <c r="F72" s="8">
        <v>2.6739999999999999</v>
      </c>
      <c r="G72" s="16">
        <v>42760</v>
      </c>
      <c r="H72" s="17">
        <v>0.70694444444444438</v>
      </c>
      <c r="I72" s="8">
        <v>3.9209999999999998</v>
      </c>
    </row>
    <row r="73" spans="1:9">
      <c r="A73" s="16">
        <v>42611</v>
      </c>
      <c r="B73" s="17">
        <v>0.375</v>
      </c>
      <c r="C73" s="8">
        <v>3.5019999999999998</v>
      </c>
      <c r="D73" s="16">
        <v>42860</v>
      </c>
      <c r="E73" s="17">
        <v>0.44027777777777777</v>
      </c>
      <c r="F73" s="8">
        <v>2.0760000000000001</v>
      </c>
      <c r="G73" s="16">
        <v>42762</v>
      </c>
      <c r="H73" s="17">
        <v>0.45624999999999999</v>
      </c>
      <c r="I73" s="8">
        <v>3.8540000000000001</v>
      </c>
    </row>
    <row r="74" spans="1:9">
      <c r="A74" s="16">
        <v>42612</v>
      </c>
      <c r="B74" s="17">
        <v>0.53541666666666665</v>
      </c>
      <c r="C74" s="8">
        <v>0.58799999999999997</v>
      </c>
      <c r="D74" s="16">
        <v>42866</v>
      </c>
      <c r="E74" s="17">
        <v>0.44513888888888892</v>
      </c>
      <c r="F74" s="8">
        <v>3.3279999999999998</v>
      </c>
      <c r="G74" s="16">
        <v>42765</v>
      </c>
      <c r="H74" s="17">
        <v>0.58958333333333335</v>
      </c>
      <c r="I74" s="8">
        <v>2.681</v>
      </c>
    </row>
    <row r="75" spans="1:9">
      <c r="A75" s="16">
        <v>42614</v>
      </c>
      <c r="B75" s="17">
        <v>0.39583333333333331</v>
      </c>
      <c r="C75" s="8">
        <v>2.9980000000000002</v>
      </c>
      <c r="D75" s="16">
        <v>42871</v>
      </c>
      <c r="E75" s="17">
        <v>0.63611111111111118</v>
      </c>
      <c r="F75" s="8">
        <v>2.8660000000000001</v>
      </c>
      <c r="G75" s="16">
        <v>42768</v>
      </c>
      <c r="H75" s="17">
        <v>0.70833333333333337</v>
      </c>
      <c r="I75" s="8">
        <v>3.87</v>
      </c>
    </row>
    <row r="76" spans="1:9">
      <c r="A76" s="16">
        <v>42615</v>
      </c>
      <c r="B76" s="17">
        <v>0.60416666666666663</v>
      </c>
      <c r="C76" s="8">
        <v>1.548</v>
      </c>
      <c r="D76" s="16">
        <v>42872</v>
      </c>
      <c r="E76" s="17">
        <v>0.42708333333333331</v>
      </c>
      <c r="F76" s="8">
        <v>3.09</v>
      </c>
      <c r="G76" s="16">
        <v>42769</v>
      </c>
      <c r="H76" s="17">
        <v>0.36458333333333331</v>
      </c>
      <c r="I76" s="8">
        <v>3.2509999999999999</v>
      </c>
    </row>
    <row r="77" spans="1:9">
      <c r="A77" s="16">
        <v>42615</v>
      </c>
      <c r="B77" s="17">
        <v>0.7583333333333333</v>
      </c>
      <c r="C77" s="8">
        <v>4.4850000000000003</v>
      </c>
      <c r="D77" s="16">
        <v>42873</v>
      </c>
      <c r="E77" s="17">
        <v>0.63958333333333328</v>
      </c>
      <c r="F77" s="8">
        <v>2.4540000000000002</v>
      </c>
      <c r="G77" s="16">
        <v>42773</v>
      </c>
      <c r="H77" s="17">
        <v>0.64444444444444449</v>
      </c>
      <c r="I77" s="8">
        <v>2.9930000000000003</v>
      </c>
    </row>
    <row r="78" spans="1:9">
      <c r="A78" s="16">
        <v>42620</v>
      </c>
      <c r="B78" s="17">
        <v>0.6972222222222223</v>
      </c>
      <c r="C78" s="8">
        <v>1.6359999999999999</v>
      </c>
      <c r="D78" s="16">
        <v>42881</v>
      </c>
      <c r="E78" s="17">
        <v>0.52569444444444446</v>
      </c>
      <c r="F78" s="8">
        <v>2.323</v>
      </c>
      <c r="G78" s="16">
        <v>42779</v>
      </c>
      <c r="H78" s="17">
        <v>0.67013888888888884</v>
      </c>
      <c r="I78" s="8">
        <v>4.4809999999999999</v>
      </c>
    </row>
    <row r="79" spans="1:9">
      <c r="A79" s="16">
        <v>42627</v>
      </c>
      <c r="B79" s="17">
        <v>0.41666666666666669</v>
      </c>
      <c r="C79" s="8">
        <v>1.4319999999999999</v>
      </c>
      <c r="D79" s="16">
        <v>42905</v>
      </c>
      <c r="E79" s="17">
        <v>0.64027777777777783</v>
      </c>
      <c r="F79" s="8">
        <v>2.6120000000000001</v>
      </c>
      <c r="G79" s="16">
        <v>42786</v>
      </c>
      <c r="H79" s="17">
        <v>0.40625</v>
      </c>
      <c r="I79" s="8">
        <v>4.9569999999999999</v>
      </c>
    </row>
    <row r="80" spans="1:9">
      <c r="A80" s="16">
        <v>42632</v>
      </c>
      <c r="B80" s="17">
        <v>0.42499999999999999</v>
      </c>
      <c r="C80" s="8">
        <v>3.9569999999999999</v>
      </c>
      <c r="D80" s="16">
        <v>42909</v>
      </c>
      <c r="E80" s="17">
        <v>0.50972222222222219</v>
      </c>
      <c r="F80" s="8">
        <v>1.5649999999999999</v>
      </c>
      <c r="G80" s="16">
        <v>42795</v>
      </c>
      <c r="H80" s="17">
        <v>0.64444444444444449</v>
      </c>
      <c r="I80" s="8">
        <v>3.0009999999999999</v>
      </c>
    </row>
    <row r="81" spans="1:9">
      <c r="A81" s="16">
        <v>42634</v>
      </c>
      <c r="B81" s="17">
        <v>0.56874999999999998</v>
      </c>
      <c r="C81" s="8">
        <v>3.01</v>
      </c>
      <c r="D81" s="16">
        <v>42916</v>
      </c>
      <c r="E81" s="17">
        <v>0.43541666666666662</v>
      </c>
      <c r="F81" s="8">
        <v>1.962</v>
      </c>
      <c r="G81" s="16">
        <v>42797</v>
      </c>
      <c r="H81" s="17">
        <v>0.44444444444444442</v>
      </c>
      <c r="I81" s="8">
        <v>1.946</v>
      </c>
    </row>
    <row r="82" spans="1:9">
      <c r="A82" s="16">
        <v>42638</v>
      </c>
      <c r="B82" s="17">
        <v>0.43055555555555558</v>
      </c>
      <c r="C82" s="8">
        <v>3.351</v>
      </c>
      <c r="G82" s="16">
        <v>42801</v>
      </c>
      <c r="H82" s="17">
        <v>0.2951388888888889</v>
      </c>
      <c r="I82" s="8">
        <v>3.5880000000000001</v>
      </c>
    </row>
    <row r="83" spans="1:9">
      <c r="A83" s="16">
        <v>43005</v>
      </c>
      <c r="B83" s="17">
        <v>0.43402777777777773</v>
      </c>
      <c r="C83" s="8">
        <v>1.0309999999999999</v>
      </c>
      <c r="G83" s="16">
        <v>42804</v>
      </c>
      <c r="H83" s="17">
        <v>0.66319444444444442</v>
      </c>
      <c r="I83" s="8">
        <v>2.04</v>
      </c>
    </row>
    <row r="84" spans="1:9">
      <c r="A84" s="16">
        <v>42643</v>
      </c>
      <c r="B84" s="17">
        <v>0.37083333333333335</v>
      </c>
      <c r="C84" s="8">
        <v>4.319</v>
      </c>
      <c r="G84" s="16">
        <v>42814</v>
      </c>
      <c r="H84" s="17">
        <v>0.65347222222222223</v>
      </c>
      <c r="I84" s="8">
        <v>4.1360000000000001</v>
      </c>
    </row>
    <row r="85" spans="1:9">
      <c r="A85" s="16">
        <v>42644</v>
      </c>
      <c r="B85" s="17">
        <v>0.62013888888888891</v>
      </c>
      <c r="C85" s="8">
        <v>2.012</v>
      </c>
      <c r="G85" s="16">
        <v>42821</v>
      </c>
      <c r="H85" s="17">
        <v>0.65763888888888888</v>
      </c>
      <c r="I85" s="8">
        <v>4.0119999999999996</v>
      </c>
    </row>
    <row r="86" spans="1:9">
      <c r="A86" s="16">
        <v>42645</v>
      </c>
      <c r="B86" s="17">
        <v>0.56111111111111112</v>
      </c>
      <c r="C86" s="8">
        <v>7.5609999999999999</v>
      </c>
      <c r="G86" s="16">
        <v>42829</v>
      </c>
      <c r="H86" s="17">
        <v>0.42638888888888887</v>
      </c>
      <c r="I86" s="8">
        <v>3.5009999999999999</v>
      </c>
    </row>
    <row r="87" spans="1:9">
      <c r="A87" s="16">
        <v>42650</v>
      </c>
      <c r="B87" s="17">
        <v>0.36041666666666666</v>
      </c>
      <c r="C87" s="8">
        <v>5.85</v>
      </c>
      <c r="G87" s="16">
        <v>42845</v>
      </c>
      <c r="H87" s="17">
        <v>0.27291666666666664</v>
      </c>
      <c r="I87" s="8">
        <v>3.9159999999999999</v>
      </c>
    </row>
    <row r="88" spans="1:9">
      <c r="A88" s="16">
        <v>42653</v>
      </c>
      <c r="B88" s="17">
        <v>0.47291666666666665</v>
      </c>
      <c r="C88" s="8">
        <v>3.4830000000000001</v>
      </c>
      <c r="G88" s="16">
        <v>42851</v>
      </c>
      <c r="H88" s="17">
        <v>0.69097222222222221</v>
      </c>
      <c r="I88" s="8">
        <v>3.2719999999999998</v>
      </c>
    </row>
    <row r="89" spans="1:9">
      <c r="A89" s="16">
        <v>42654</v>
      </c>
      <c r="B89" s="17">
        <v>0.44861111111111113</v>
      </c>
      <c r="C89" s="8">
        <v>1.288</v>
      </c>
      <c r="G89" s="16">
        <v>42857</v>
      </c>
      <c r="H89" s="17">
        <v>0.63888888888888895</v>
      </c>
      <c r="I89" s="8">
        <v>3.5819999999999999</v>
      </c>
    </row>
    <row r="90" spans="1:9">
      <c r="A90" s="16">
        <v>42655</v>
      </c>
      <c r="B90" s="17">
        <v>0.55486111111111114</v>
      </c>
      <c r="C90" s="8">
        <v>1.5780000000000001</v>
      </c>
      <c r="G90" s="16">
        <v>42864</v>
      </c>
      <c r="H90" s="17">
        <v>0.67083333333333339</v>
      </c>
      <c r="I90" s="8">
        <v>3.6120000000000001</v>
      </c>
    </row>
    <row r="91" spans="1:9">
      <c r="A91" s="16">
        <v>42658</v>
      </c>
      <c r="B91" s="17">
        <v>0.375</v>
      </c>
      <c r="C91" s="8">
        <v>6.3049999999999997</v>
      </c>
      <c r="G91" s="16">
        <v>42873</v>
      </c>
      <c r="H91" s="17">
        <v>0.57638888888888895</v>
      </c>
      <c r="I91" s="8">
        <v>1.5720000000000001</v>
      </c>
    </row>
    <row r="92" spans="1:9">
      <c r="A92" s="16">
        <v>42660</v>
      </c>
      <c r="B92" s="17">
        <v>0.56319444444444444</v>
      </c>
      <c r="C92" s="8">
        <v>2.093</v>
      </c>
      <c r="G92" s="16">
        <v>42885</v>
      </c>
      <c r="H92" s="17">
        <v>0.33333333333333331</v>
      </c>
      <c r="I92" s="8">
        <v>4.84</v>
      </c>
    </row>
    <row r="93" spans="1:9">
      <c r="A93" s="16">
        <v>42661</v>
      </c>
      <c r="B93" s="17">
        <v>0.41944444444444445</v>
      </c>
      <c r="C93" s="8">
        <v>1.956</v>
      </c>
      <c r="G93" s="16">
        <v>42913</v>
      </c>
      <c r="H93" s="17">
        <v>0.48541666666666666</v>
      </c>
      <c r="I93" s="8">
        <v>3.2639999999999998</v>
      </c>
    </row>
    <row r="94" spans="1:9">
      <c r="A94" s="16">
        <v>42663</v>
      </c>
      <c r="B94" s="17">
        <v>0.59861111111111109</v>
      </c>
      <c r="C94" s="8">
        <v>1.9910000000000001</v>
      </c>
      <c r="G94" s="16">
        <v>42915</v>
      </c>
      <c r="H94" s="17">
        <v>0.60555555555555551</v>
      </c>
      <c r="I94" s="8">
        <v>3.266</v>
      </c>
    </row>
    <row r="95" spans="1:9">
      <c r="A95" s="16">
        <v>42665</v>
      </c>
      <c r="B95" s="17">
        <v>0.41875000000000001</v>
      </c>
      <c r="C95" s="8">
        <v>4.1349999999999998</v>
      </c>
    </row>
    <row r="96" spans="1:9">
      <c r="A96" s="16">
        <v>42668</v>
      </c>
      <c r="B96" s="17">
        <v>0.65208333333333335</v>
      </c>
      <c r="C96" s="8">
        <v>2.7959999999999998</v>
      </c>
    </row>
    <row r="97" spans="1:3">
      <c r="A97" s="16">
        <v>42670</v>
      </c>
      <c r="B97" s="17">
        <v>0.3611111111111111</v>
      </c>
      <c r="C97" s="8">
        <v>5.0660000000000007</v>
      </c>
    </row>
    <row r="98" spans="1:3">
      <c r="A98" s="16">
        <v>42675</v>
      </c>
      <c r="B98" s="17">
        <v>0.72499999999999998</v>
      </c>
      <c r="C98" s="8">
        <v>1.9050000000000002</v>
      </c>
    </row>
    <row r="99" spans="1:3">
      <c r="A99" s="16">
        <v>42677</v>
      </c>
      <c r="B99" s="17">
        <v>0.38541666666666669</v>
      </c>
      <c r="C99" s="8">
        <v>4.1680000000000001</v>
      </c>
    </row>
    <row r="100" spans="1:3">
      <c r="A100" s="16">
        <v>42679</v>
      </c>
      <c r="B100" s="17">
        <v>0.38750000000000001</v>
      </c>
      <c r="C100" s="8">
        <v>3.5310000000000001</v>
      </c>
    </row>
    <row r="101" spans="1:3">
      <c r="A101" s="16">
        <v>42681</v>
      </c>
      <c r="B101" s="17">
        <v>0.67499999999999993</v>
      </c>
      <c r="C101" s="8">
        <v>2.819</v>
      </c>
    </row>
    <row r="102" spans="1:3">
      <c r="A102" s="16">
        <v>42682</v>
      </c>
      <c r="B102" s="17">
        <v>0.61458333333333337</v>
      </c>
      <c r="C102" s="8">
        <v>1.6479999999999999</v>
      </c>
    </row>
    <row r="103" spans="1:3">
      <c r="A103" s="16">
        <v>42686</v>
      </c>
      <c r="B103" s="17">
        <v>0.67083333333333339</v>
      </c>
      <c r="C103" s="8">
        <v>1.8320000000000001</v>
      </c>
    </row>
    <row r="104" spans="1:3">
      <c r="A104" s="16">
        <v>42687</v>
      </c>
      <c r="B104" s="17">
        <v>0.41388888888888892</v>
      </c>
      <c r="C104" s="8">
        <v>2.6230000000000002</v>
      </c>
    </row>
    <row r="105" spans="1:3">
      <c r="A105" s="16">
        <v>42688</v>
      </c>
      <c r="B105" s="17">
        <v>0.54236111111111118</v>
      </c>
      <c r="C105" s="8">
        <v>3.8719999999999999</v>
      </c>
    </row>
    <row r="106" spans="1:3">
      <c r="A106" s="16">
        <v>42689</v>
      </c>
      <c r="B106" s="17">
        <v>0.65833333333333333</v>
      </c>
      <c r="C106" s="8">
        <v>2.0789999999999997</v>
      </c>
    </row>
    <row r="107" spans="1:3">
      <c r="A107" s="16">
        <v>42692</v>
      </c>
      <c r="B107" s="17">
        <v>0.35555555555555557</v>
      </c>
      <c r="C107" s="8">
        <v>4.3170000000000002</v>
      </c>
    </row>
    <row r="108" spans="1:3">
      <c r="A108" s="16">
        <v>42696</v>
      </c>
      <c r="B108" s="17">
        <v>0.67222222222222217</v>
      </c>
      <c r="C108" s="8">
        <v>1.224</v>
      </c>
    </row>
    <row r="109" spans="1:3">
      <c r="A109" s="16">
        <v>42697</v>
      </c>
      <c r="B109" s="17">
        <v>0.59236111111111112</v>
      </c>
      <c r="C109" s="8">
        <v>1.02</v>
      </c>
    </row>
    <row r="110" spans="1:3">
      <c r="A110" s="16">
        <v>43066</v>
      </c>
      <c r="B110" s="17">
        <v>0.42222222222222222</v>
      </c>
      <c r="C110" s="8">
        <v>5.3999999999999999E-2</v>
      </c>
    </row>
    <row r="111" spans="1:3">
      <c r="A111" s="16">
        <v>43432</v>
      </c>
      <c r="B111" s="17">
        <v>0.4055555555555555</v>
      </c>
      <c r="C111" s="8">
        <v>0.79400000000000004</v>
      </c>
    </row>
    <row r="112" spans="1:3">
      <c r="A112" s="16">
        <v>42703</v>
      </c>
      <c r="B112" s="17">
        <v>0.62430555555555556</v>
      </c>
      <c r="C112" s="8">
        <v>1.0409999999999999</v>
      </c>
    </row>
    <row r="113" spans="1:3">
      <c r="A113" s="16">
        <v>42706</v>
      </c>
      <c r="B113" s="17">
        <v>0.45833333333333331</v>
      </c>
      <c r="C113" s="8">
        <v>4.3929999999999998</v>
      </c>
    </row>
    <row r="114" spans="1:3">
      <c r="A114" s="16">
        <v>42709</v>
      </c>
      <c r="B114" s="17">
        <v>0.55833333333333335</v>
      </c>
      <c r="C114" s="8">
        <v>3.1080000000000001</v>
      </c>
    </row>
    <row r="115" spans="1:3">
      <c r="A115" s="16">
        <v>42710</v>
      </c>
      <c r="B115" s="17">
        <v>0.5180555555555556</v>
      </c>
      <c r="C115" s="8">
        <v>0.6</v>
      </c>
    </row>
    <row r="116" spans="1:3">
      <c r="A116" s="16">
        <v>42713</v>
      </c>
      <c r="B116" s="17">
        <v>0.48888888888888887</v>
      </c>
      <c r="C116" s="8">
        <v>2.1339999999999999</v>
      </c>
    </row>
    <row r="117" spans="1:3">
      <c r="A117" s="16">
        <v>42714</v>
      </c>
      <c r="B117" s="17">
        <v>0.62152777777777779</v>
      </c>
      <c r="C117" s="8">
        <v>3.2</v>
      </c>
    </row>
    <row r="118" spans="1:3">
      <c r="A118" s="16">
        <v>42717</v>
      </c>
      <c r="B118" s="17">
        <v>0.46597222222222223</v>
      </c>
      <c r="C118" s="8">
        <v>1.2410000000000001</v>
      </c>
    </row>
    <row r="119" spans="1:3">
      <c r="A119" s="16">
        <v>42719</v>
      </c>
      <c r="B119" s="17">
        <v>0.5180555555555556</v>
      </c>
      <c r="C119" s="8">
        <v>1.39</v>
      </c>
    </row>
    <row r="120" spans="1:3">
      <c r="A120" s="16">
        <v>42720</v>
      </c>
      <c r="B120" s="17">
        <v>0.45555555555555555</v>
      </c>
      <c r="C120" s="8">
        <v>1.3879999999999999</v>
      </c>
    </row>
    <row r="121" spans="1:3">
      <c r="A121" s="16">
        <v>42724</v>
      </c>
      <c r="B121" s="17">
        <v>0.51944444444444449</v>
      </c>
      <c r="C121" s="8">
        <v>3.7879999999999998</v>
      </c>
    </row>
    <row r="122" spans="1:3">
      <c r="A122" s="16">
        <v>42725</v>
      </c>
      <c r="B122" s="17">
        <v>0.92638888888888893</v>
      </c>
      <c r="C122" s="8">
        <v>0.62</v>
      </c>
    </row>
    <row r="123" spans="1:3">
      <c r="A123" s="16">
        <v>42726</v>
      </c>
      <c r="B123" s="17">
        <v>0.42083333333333334</v>
      </c>
      <c r="C123" s="8">
        <v>3.8690000000000002</v>
      </c>
    </row>
    <row r="124" spans="1:3">
      <c r="A124" s="16">
        <v>42727</v>
      </c>
      <c r="B124" s="17">
        <v>0.5625</v>
      </c>
      <c r="C124" s="8">
        <v>3.76</v>
      </c>
    </row>
    <row r="125" spans="1:3">
      <c r="A125" s="16">
        <v>42730</v>
      </c>
      <c r="B125" s="17">
        <v>0.60069444444444442</v>
      </c>
      <c r="C125" s="8">
        <v>3.83</v>
      </c>
    </row>
    <row r="126" spans="1:3">
      <c r="A126" s="16">
        <v>42734</v>
      </c>
      <c r="B126" s="17">
        <v>0.59861111111111109</v>
      </c>
      <c r="C126" s="8">
        <v>1.9739999999999998</v>
      </c>
    </row>
    <row r="127" spans="1:3">
      <c r="A127" s="16">
        <v>42735</v>
      </c>
      <c r="B127" s="17">
        <v>0.83888888888888891</v>
      </c>
      <c r="C127" s="8">
        <v>4.3680000000000003</v>
      </c>
    </row>
    <row r="128" spans="1:3">
      <c r="A128" s="16">
        <v>42738</v>
      </c>
      <c r="B128" s="17">
        <v>0.39097222222222222</v>
      </c>
      <c r="C128" s="8">
        <v>4.8869999999999996</v>
      </c>
    </row>
    <row r="129" spans="1:3">
      <c r="A129" s="16">
        <v>42740</v>
      </c>
      <c r="B129" s="17">
        <v>0.29166666666666669</v>
      </c>
      <c r="C129" s="8">
        <v>4.0190000000000001</v>
      </c>
    </row>
    <row r="130" spans="1:3">
      <c r="A130" s="16">
        <v>42745</v>
      </c>
      <c r="B130" s="17">
        <v>0.63611111111111118</v>
      </c>
      <c r="C130" s="8">
        <v>4.2930000000000001</v>
      </c>
    </row>
    <row r="131" spans="1:3">
      <c r="A131" s="16">
        <v>42746</v>
      </c>
      <c r="B131" s="17">
        <v>0.66666666666666663</v>
      </c>
      <c r="C131" s="8">
        <v>0.64800000000000002</v>
      </c>
    </row>
    <row r="132" spans="1:3">
      <c r="A132" s="16">
        <v>42748</v>
      </c>
      <c r="B132" s="17">
        <v>0.65694444444444444</v>
      </c>
      <c r="C132" s="8">
        <v>4.6399999999999997</v>
      </c>
    </row>
    <row r="133" spans="1:3">
      <c r="A133" s="16">
        <v>42750</v>
      </c>
      <c r="B133" s="17">
        <v>0.98472222222222217</v>
      </c>
      <c r="C133" s="8">
        <v>6.07</v>
      </c>
    </row>
    <row r="134" spans="1:3">
      <c r="A134" s="16">
        <v>42752</v>
      </c>
      <c r="B134" s="17">
        <v>0.59722222222222221</v>
      </c>
      <c r="C134" s="8">
        <v>2.5859999999999999</v>
      </c>
    </row>
    <row r="135" spans="1:3">
      <c r="A135" s="16">
        <v>42754</v>
      </c>
      <c r="B135" s="17">
        <v>0.41666666666666669</v>
      </c>
      <c r="C135" s="8">
        <v>4.508</v>
      </c>
    </row>
    <row r="136" spans="1:3">
      <c r="A136" s="16">
        <v>42756</v>
      </c>
      <c r="B136" s="17">
        <v>0.375</v>
      </c>
      <c r="C136" s="8">
        <v>3.754</v>
      </c>
    </row>
    <row r="137" spans="1:3">
      <c r="A137" s="16">
        <v>42758</v>
      </c>
      <c r="B137" s="17">
        <v>0.45902777777777781</v>
      </c>
      <c r="C137" s="8">
        <v>2.4820000000000002</v>
      </c>
    </row>
    <row r="138" spans="1:3">
      <c r="A138" s="16">
        <v>42760</v>
      </c>
      <c r="B138" s="17">
        <v>0.47291666666666665</v>
      </c>
      <c r="C138" s="8">
        <v>2.1219999999999999</v>
      </c>
    </row>
    <row r="139" spans="1:3">
      <c r="A139" s="16">
        <v>42765</v>
      </c>
      <c r="B139" s="17">
        <v>0.41666666666666669</v>
      </c>
      <c r="C139" s="8">
        <v>2.7730000000000001</v>
      </c>
    </row>
    <row r="140" spans="1:3">
      <c r="A140" s="16">
        <v>42767</v>
      </c>
      <c r="B140" s="17">
        <v>0.375</v>
      </c>
      <c r="C140" s="8">
        <v>3.1720000000000002</v>
      </c>
    </row>
    <row r="141" spans="1:3">
      <c r="A141" s="16">
        <v>42772</v>
      </c>
      <c r="B141" s="17">
        <v>0.46527777777777773</v>
      </c>
      <c r="C141" s="8">
        <v>3.5300000000000002</v>
      </c>
    </row>
    <row r="142" spans="1:3">
      <c r="A142" s="16">
        <v>42774</v>
      </c>
      <c r="B142" s="17">
        <v>0.40069444444444446</v>
      </c>
      <c r="C142" s="8">
        <v>1.262</v>
      </c>
    </row>
    <row r="143" spans="1:3">
      <c r="A143" s="16">
        <v>42777</v>
      </c>
      <c r="B143" s="17">
        <v>0.58333333333333337</v>
      </c>
      <c r="C143" s="8">
        <v>2.66</v>
      </c>
    </row>
    <row r="144" spans="1:3">
      <c r="A144" s="16">
        <v>42779</v>
      </c>
      <c r="B144" s="17">
        <v>0.22916666666666666</v>
      </c>
      <c r="C144" s="8">
        <v>5.5649999999999995</v>
      </c>
    </row>
    <row r="145" spans="1:3">
      <c r="A145" s="16">
        <v>42781</v>
      </c>
      <c r="B145" s="17">
        <v>0.5131944444444444</v>
      </c>
      <c r="C145" s="8">
        <v>2.3340000000000001</v>
      </c>
    </row>
    <row r="146" spans="1:3">
      <c r="A146" s="16">
        <v>42783</v>
      </c>
      <c r="B146" s="17">
        <v>0.69097222222222221</v>
      </c>
      <c r="C146" s="8">
        <v>3.2130000000000001</v>
      </c>
    </row>
    <row r="147" spans="1:3">
      <c r="A147" s="16">
        <v>42786</v>
      </c>
      <c r="B147" s="17">
        <v>0.48333333333333334</v>
      </c>
      <c r="C147" s="8">
        <v>4.4290000000000003</v>
      </c>
    </row>
    <row r="148" spans="1:3">
      <c r="A148" s="16">
        <v>42790</v>
      </c>
      <c r="B148" s="17">
        <v>0.35694444444444445</v>
      </c>
      <c r="C148" s="8">
        <v>2.827</v>
      </c>
    </row>
    <row r="149" spans="1:3">
      <c r="A149" s="16">
        <v>42792</v>
      </c>
      <c r="B149" s="17">
        <v>0.67569444444444438</v>
      </c>
      <c r="C149" s="8">
        <v>4.944</v>
      </c>
    </row>
    <row r="150" spans="1:3">
      <c r="A150" s="16">
        <v>42794</v>
      </c>
      <c r="B150" s="17">
        <v>0.36388888888888887</v>
      </c>
      <c r="C150" s="8">
        <v>4.6319999999999997</v>
      </c>
    </row>
    <row r="151" spans="1:3">
      <c r="A151" s="16">
        <v>42795</v>
      </c>
      <c r="B151" s="17">
        <v>0.39583333333333331</v>
      </c>
      <c r="C151" s="8">
        <v>4.3540000000000001</v>
      </c>
    </row>
    <row r="152" spans="1:3">
      <c r="A152" s="16">
        <v>42797</v>
      </c>
      <c r="B152" s="17">
        <v>0.45069444444444445</v>
      </c>
      <c r="C152" s="8">
        <v>3.601</v>
      </c>
    </row>
    <row r="153" spans="1:3">
      <c r="A153" s="16">
        <v>42800</v>
      </c>
      <c r="B153" s="17">
        <v>0.59722222222222221</v>
      </c>
      <c r="C153" s="8">
        <v>4.8320000000000007</v>
      </c>
    </row>
    <row r="154" spans="1:3">
      <c r="A154" s="16">
        <v>42801</v>
      </c>
      <c r="B154" s="17">
        <v>0.67708333333333337</v>
      </c>
      <c r="C154" s="8">
        <v>1.5249999999999999</v>
      </c>
    </row>
    <row r="155" spans="1:3">
      <c r="A155" s="16">
        <v>42803</v>
      </c>
      <c r="B155" s="17">
        <v>0.33263888888888887</v>
      </c>
      <c r="C155" s="8">
        <v>4.391</v>
      </c>
    </row>
    <row r="156" spans="1:3">
      <c r="A156" s="16">
        <v>42804</v>
      </c>
      <c r="B156" s="17">
        <v>0.41388888888888892</v>
      </c>
      <c r="C156" s="8">
        <v>2.3180000000000001</v>
      </c>
    </row>
    <row r="157" spans="1:3">
      <c r="A157" s="16">
        <v>42807</v>
      </c>
      <c r="B157" s="17">
        <v>0.36527777777777781</v>
      </c>
      <c r="C157" s="8">
        <v>5.1360000000000001</v>
      </c>
    </row>
    <row r="158" spans="1:3">
      <c r="A158" s="16">
        <v>42808</v>
      </c>
      <c r="B158" s="17">
        <v>0.70138888888888884</v>
      </c>
      <c r="C158" s="8">
        <v>2.6190000000000002</v>
      </c>
    </row>
    <row r="159" spans="1:3">
      <c r="A159" s="16">
        <v>42810</v>
      </c>
      <c r="B159" s="17">
        <v>0.5</v>
      </c>
      <c r="C159" s="8">
        <v>4.1520000000000001</v>
      </c>
    </row>
    <row r="160" spans="1:3">
      <c r="A160" s="16">
        <v>42813</v>
      </c>
      <c r="B160" s="17">
        <v>0.34513888888888888</v>
      </c>
      <c r="C160" s="8">
        <v>4.407</v>
      </c>
    </row>
    <row r="161" spans="1:3">
      <c r="A161" s="16">
        <v>42814</v>
      </c>
      <c r="B161" s="17">
        <v>0.68194444444444446</v>
      </c>
      <c r="C161" s="8">
        <v>4.3929999999999998</v>
      </c>
    </row>
    <row r="162" spans="1:3">
      <c r="A162" s="16">
        <v>42815</v>
      </c>
      <c r="B162" s="17">
        <v>0.31944444444444448</v>
      </c>
      <c r="C162" s="8">
        <v>2.5169999999999999</v>
      </c>
    </row>
    <row r="163" spans="1:3">
      <c r="A163" s="16">
        <v>42817</v>
      </c>
      <c r="B163" s="17">
        <v>0.67708333333333337</v>
      </c>
      <c r="C163" s="8">
        <v>2.3450000000000002</v>
      </c>
    </row>
    <row r="164" spans="1:3">
      <c r="A164" s="16">
        <v>42819</v>
      </c>
      <c r="B164" s="17">
        <v>0.48958333333333331</v>
      </c>
      <c r="C164" s="8">
        <v>5.1930000000000005</v>
      </c>
    </row>
    <row r="165" spans="1:3">
      <c r="A165" s="16">
        <v>42821</v>
      </c>
      <c r="B165" s="17">
        <v>0.58333333333333337</v>
      </c>
      <c r="C165" s="8">
        <v>1.7450000000000001</v>
      </c>
    </row>
    <row r="166" spans="1:3">
      <c r="A166" s="16">
        <v>42822</v>
      </c>
      <c r="B166" s="17">
        <v>0.69097222222222221</v>
      </c>
      <c r="C166" s="8">
        <v>1.879</v>
      </c>
    </row>
    <row r="167" spans="1:3">
      <c r="A167" s="16">
        <v>42823</v>
      </c>
      <c r="B167" s="17">
        <v>0.68472222222222223</v>
      </c>
      <c r="C167" s="8">
        <v>1.8540000000000001</v>
      </c>
    </row>
    <row r="168" spans="1:3">
      <c r="A168" s="16">
        <v>42826</v>
      </c>
      <c r="B168" s="17">
        <v>0.51388888888888895</v>
      </c>
      <c r="C168" s="8">
        <v>8.0350000000000001</v>
      </c>
    </row>
    <row r="169" spans="1:3">
      <c r="A169" s="16">
        <v>42828</v>
      </c>
      <c r="B169" s="17">
        <v>0.72569444444444453</v>
      </c>
      <c r="C169" s="8">
        <v>2.1829999999999998</v>
      </c>
    </row>
    <row r="170" spans="1:3">
      <c r="A170" s="16">
        <v>42831</v>
      </c>
      <c r="B170" s="17">
        <v>0.52777777777777779</v>
      </c>
      <c r="C170" s="8">
        <v>3.6030000000000002</v>
      </c>
    </row>
    <row r="171" spans="1:3">
      <c r="A171" s="16">
        <v>42832</v>
      </c>
      <c r="B171" s="17">
        <v>0.68888888888888899</v>
      </c>
      <c r="C171" s="8">
        <v>2.3809999999999998</v>
      </c>
    </row>
    <row r="172" spans="1:3">
      <c r="A172" s="16">
        <v>42837</v>
      </c>
      <c r="B172" s="17">
        <v>0.42291666666666666</v>
      </c>
      <c r="C172" s="8">
        <v>3.161</v>
      </c>
    </row>
    <row r="173" spans="1:3">
      <c r="A173" s="16">
        <v>42841</v>
      </c>
      <c r="B173" s="17">
        <v>0.41666666666666669</v>
      </c>
      <c r="C173" s="8">
        <v>3.2080000000000002</v>
      </c>
    </row>
    <row r="174" spans="1:3">
      <c r="A174" s="16">
        <v>42842</v>
      </c>
      <c r="B174" s="17">
        <v>0.33263888888888887</v>
      </c>
      <c r="C174" s="8">
        <v>2.9119999999999999</v>
      </c>
    </row>
    <row r="175" spans="1:3">
      <c r="A175" s="16">
        <v>42846</v>
      </c>
      <c r="B175" s="17">
        <v>0.45694444444444443</v>
      </c>
      <c r="C175" s="8">
        <v>1.254</v>
      </c>
    </row>
    <row r="176" spans="1:3">
      <c r="A176" s="16">
        <v>42849</v>
      </c>
      <c r="B176" s="17">
        <v>0.36180555555555555</v>
      </c>
      <c r="C176" s="8">
        <v>4.5179999999999998</v>
      </c>
    </row>
    <row r="177" spans="1:3">
      <c r="A177" s="16">
        <v>42850</v>
      </c>
      <c r="B177" s="17">
        <v>0.35069444444444442</v>
      </c>
      <c r="C177" s="8">
        <v>3.4510000000000001</v>
      </c>
    </row>
    <row r="178" spans="1:3">
      <c r="A178" s="16">
        <v>42853</v>
      </c>
      <c r="B178" s="17">
        <v>0.3923611111111111</v>
      </c>
      <c r="C178" s="8">
        <v>1.9670000000000001</v>
      </c>
    </row>
    <row r="179" spans="1:3">
      <c r="A179" s="16">
        <v>42856</v>
      </c>
      <c r="B179" s="17">
        <v>0.37013888888888885</v>
      </c>
      <c r="C179" s="8">
        <v>2.028</v>
      </c>
    </row>
    <row r="180" spans="1:3">
      <c r="A180" s="16">
        <v>42858</v>
      </c>
      <c r="B180" s="17">
        <v>0.77500000000000002</v>
      </c>
      <c r="C180" s="8">
        <v>2.5339999999999998</v>
      </c>
    </row>
    <row r="181" spans="1:3">
      <c r="A181" s="16">
        <v>42860</v>
      </c>
      <c r="B181" s="17">
        <v>0.62569444444444444</v>
      </c>
      <c r="C181" s="8">
        <v>2.2330000000000001</v>
      </c>
    </row>
    <row r="182" spans="1:3">
      <c r="A182" s="16">
        <v>42862</v>
      </c>
      <c r="B182" s="17">
        <v>0.71875</v>
      </c>
      <c r="C182" s="8">
        <v>3.2559999999999998</v>
      </c>
    </row>
    <row r="183" spans="1:3">
      <c r="A183" s="16">
        <v>42863</v>
      </c>
      <c r="B183" s="17">
        <v>0.36319444444444443</v>
      </c>
      <c r="C183" s="8">
        <v>3.25</v>
      </c>
    </row>
    <row r="184" spans="1:3">
      <c r="A184" s="16">
        <v>42864</v>
      </c>
      <c r="B184" s="17">
        <v>0.35416666666666669</v>
      </c>
      <c r="C184" s="8">
        <v>1.603</v>
      </c>
    </row>
    <row r="185" spans="1:3">
      <c r="A185" s="16">
        <v>42866</v>
      </c>
      <c r="B185" s="17">
        <v>0.45833333333333331</v>
      </c>
      <c r="C185" s="8">
        <v>7.5259999999999998</v>
      </c>
    </row>
    <row r="186" spans="1:3">
      <c r="A186" s="16">
        <v>42867</v>
      </c>
      <c r="B186" s="17">
        <v>0.36041666666666666</v>
      </c>
      <c r="C186" s="8">
        <v>1.194</v>
      </c>
    </row>
    <row r="187" spans="1:3">
      <c r="A187" s="16">
        <v>42869</v>
      </c>
      <c r="B187" s="17">
        <v>0.58472222222222225</v>
      </c>
      <c r="C187" s="8">
        <v>4.5890000000000004</v>
      </c>
    </row>
    <row r="188" spans="1:3">
      <c r="A188" s="16">
        <v>42871</v>
      </c>
      <c r="B188" s="17">
        <v>0.36180555555555555</v>
      </c>
      <c r="C188" s="8">
        <v>4.7460000000000004</v>
      </c>
    </row>
    <row r="189" spans="1:3">
      <c r="A189" s="16">
        <v>42873</v>
      </c>
      <c r="B189" s="17">
        <v>0.69444444444444453</v>
      </c>
      <c r="C189" s="8">
        <v>1.929</v>
      </c>
    </row>
    <row r="190" spans="1:3">
      <c r="A190" s="16">
        <v>42874</v>
      </c>
      <c r="B190" s="17">
        <v>0.58124999999999993</v>
      </c>
      <c r="C190" s="8">
        <v>0.90400000000000003</v>
      </c>
    </row>
    <row r="191" spans="1:3">
      <c r="A191" s="16">
        <v>42876</v>
      </c>
      <c r="B191" s="17">
        <v>0.6479166666666667</v>
      </c>
      <c r="C191" s="8">
        <v>2.2709999999999999</v>
      </c>
    </row>
    <row r="192" spans="1:3">
      <c r="A192" s="16">
        <v>42878</v>
      </c>
      <c r="B192" s="17">
        <v>0.63472222222222219</v>
      </c>
      <c r="C192" s="8">
        <v>2.2959999999999998</v>
      </c>
    </row>
    <row r="193" spans="1:3">
      <c r="A193" s="16">
        <v>42879</v>
      </c>
      <c r="B193" s="17">
        <v>0.63611111111111118</v>
      </c>
      <c r="C193" s="8">
        <v>2.1880000000000002</v>
      </c>
    </row>
    <row r="194" spans="1:3">
      <c r="A194" s="16">
        <v>42880</v>
      </c>
      <c r="B194" s="17">
        <v>0.58402777777777781</v>
      </c>
      <c r="C194" s="8">
        <v>2.0379999999999998</v>
      </c>
    </row>
    <row r="195" spans="1:3">
      <c r="A195" s="16">
        <v>42884</v>
      </c>
      <c r="B195" s="17">
        <v>0.52638888888888891</v>
      </c>
      <c r="C195" s="8">
        <v>4.1630000000000003</v>
      </c>
    </row>
    <row r="196" spans="1:3">
      <c r="A196" s="16">
        <v>42888</v>
      </c>
      <c r="B196" s="17">
        <v>0.49861111111111112</v>
      </c>
      <c r="C196" s="8">
        <v>5.5440000000000005</v>
      </c>
    </row>
    <row r="197" spans="1:3">
      <c r="A197" s="16">
        <v>42895</v>
      </c>
      <c r="B197" s="17">
        <v>0.44722222222222219</v>
      </c>
      <c r="C197" s="8">
        <v>2.109</v>
      </c>
    </row>
    <row r="198" spans="1:3">
      <c r="A198" s="16">
        <v>42887</v>
      </c>
      <c r="B198" s="17">
        <v>0.54583333333333328</v>
      </c>
      <c r="C198" s="8">
        <v>3.08</v>
      </c>
    </row>
    <row r="199" spans="1:3">
      <c r="A199" s="16">
        <v>42899</v>
      </c>
      <c r="B199" s="17">
        <v>0.68263888888888891</v>
      </c>
      <c r="C199" s="8">
        <v>2.0910000000000002</v>
      </c>
    </row>
    <row r="200" spans="1:3">
      <c r="A200" s="16">
        <v>42901</v>
      </c>
      <c r="B200" s="17">
        <v>0.79166666666666663</v>
      </c>
      <c r="C200" s="8">
        <v>1.8859999999999999</v>
      </c>
    </row>
    <row r="201" spans="1:3">
      <c r="A201" s="16">
        <v>42905</v>
      </c>
      <c r="B201" s="17">
        <v>0.47291666666666665</v>
      </c>
      <c r="C201" s="8">
        <v>4.2389999999999999</v>
      </c>
    </row>
    <row r="202" spans="1:3">
      <c r="A202" s="16">
        <v>42907</v>
      </c>
      <c r="B202" s="17">
        <v>0.38125000000000003</v>
      </c>
      <c r="C202" s="8">
        <v>2.851</v>
      </c>
    </row>
    <row r="203" spans="1:3">
      <c r="A203" s="16">
        <v>42909</v>
      </c>
      <c r="B203" s="17">
        <v>0.5444444444444444</v>
      </c>
      <c r="C203" s="8">
        <v>3.2810000000000001</v>
      </c>
    </row>
    <row r="204" spans="1:3">
      <c r="A204" s="16">
        <v>42910</v>
      </c>
      <c r="B204" s="17">
        <v>0.36458333333333331</v>
      </c>
      <c r="C204" s="8">
        <v>3.26</v>
      </c>
    </row>
    <row r="205" spans="1:3">
      <c r="A205" s="16">
        <v>42912</v>
      </c>
      <c r="B205" s="17">
        <v>0.65347222222222223</v>
      </c>
      <c r="C205" s="8">
        <v>7.0920000000000005</v>
      </c>
    </row>
    <row r="206" spans="1:3">
      <c r="A206" s="16">
        <v>42913</v>
      </c>
      <c r="B206" s="17">
        <v>0.48541666666666666</v>
      </c>
      <c r="C206" s="8">
        <v>0.89</v>
      </c>
    </row>
    <row r="207" spans="1:3">
      <c r="A207" s="16">
        <v>42916</v>
      </c>
      <c r="B207" s="17">
        <v>0.59375</v>
      </c>
      <c r="C207" s="8">
        <v>2.3239999999999998</v>
      </c>
    </row>
  </sheetData>
  <mergeCells count="5">
    <mergeCell ref="L1:M1"/>
    <mergeCell ref="A2:C2"/>
    <mergeCell ref="D2:F2"/>
    <mergeCell ref="G2:I2"/>
    <mergeCell ref="A1:I1"/>
  </mergeCells>
  <hyperlinks>
    <hyperlink ref="K9" r:id="rId1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N20" sqref="N20"/>
    </sheetView>
  </sheetViews>
  <sheetFormatPr defaultRowHeight="15"/>
  <cols>
    <col min="1" max="1" width="10.85546875" style="66" bestFit="1" customWidth="1"/>
    <col min="2" max="6" width="7" style="66" bestFit="1" customWidth="1"/>
    <col min="7" max="7" width="6.7109375" style="66" bestFit="1" customWidth="1"/>
    <col min="8" max="8" width="6.5703125" style="66" bestFit="1" customWidth="1"/>
    <col min="9" max="9" width="7" style="66" bestFit="1" customWidth="1"/>
    <col min="10" max="10" width="6.7109375" style="66" bestFit="1" customWidth="1"/>
    <col min="11" max="11" width="6.42578125" style="66" bestFit="1" customWidth="1"/>
    <col min="12" max="13" width="7" style="66" bestFit="1" customWidth="1"/>
    <col min="14" max="14" width="7.85546875" style="66" bestFit="1" customWidth="1"/>
    <col min="15" max="15" width="8.140625" style="66" customWidth="1"/>
    <col min="16" max="16" width="11.140625" style="66" bestFit="1" customWidth="1"/>
    <col min="17" max="20" width="7.85546875" style="66" bestFit="1" customWidth="1"/>
    <col min="21" max="21" width="8" style="66" bestFit="1" customWidth="1"/>
    <col min="22" max="23" width="11.7109375" style="66" customWidth="1"/>
    <col min="24" max="16384" width="9.140625" style="66"/>
  </cols>
  <sheetData>
    <row r="1" spans="1:21">
      <c r="A1" s="20" t="s">
        <v>56</v>
      </c>
      <c r="B1" s="20">
        <v>41456</v>
      </c>
      <c r="C1" s="20">
        <v>41487</v>
      </c>
      <c r="D1" s="20">
        <v>41518</v>
      </c>
      <c r="E1" s="20">
        <v>41548</v>
      </c>
      <c r="F1" s="20">
        <v>41579</v>
      </c>
      <c r="G1" s="20">
        <v>41609</v>
      </c>
      <c r="H1" s="20">
        <v>41640</v>
      </c>
      <c r="I1" s="20">
        <v>41671</v>
      </c>
      <c r="J1" s="20">
        <v>41699</v>
      </c>
      <c r="K1" s="20">
        <v>41730</v>
      </c>
      <c r="L1" s="20">
        <v>41760</v>
      </c>
      <c r="M1" s="20">
        <v>41791</v>
      </c>
      <c r="N1" s="151" t="s">
        <v>57</v>
      </c>
      <c r="P1" s="151" t="s">
        <v>184</v>
      </c>
      <c r="Q1" s="151" t="s">
        <v>57</v>
      </c>
      <c r="R1" s="151" t="s">
        <v>64</v>
      </c>
      <c r="S1" s="151" t="s">
        <v>65</v>
      </c>
      <c r="T1" s="151" t="s">
        <v>117</v>
      </c>
      <c r="U1" s="151" t="s">
        <v>125</v>
      </c>
    </row>
    <row r="2" spans="1:21">
      <c r="A2" s="21" t="s">
        <v>70</v>
      </c>
      <c r="B2" s="118">
        <v>0</v>
      </c>
      <c r="C2" s="118">
        <v>0</v>
      </c>
      <c r="D2" s="118">
        <v>5</v>
      </c>
      <c r="E2" s="118">
        <v>0</v>
      </c>
      <c r="F2" s="118">
        <v>12</v>
      </c>
      <c r="G2" s="118">
        <v>0</v>
      </c>
      <c r="H2" s="118">
        <v>0</v>
      </c>
      <c r="I2" s="118">
        <v>0</v>
      </c>
      <c r="J2" s="118">
        <v>0</v>
      </c>
      <c r="K2" s="118">
        <v>0</v>
      </c>
      <c r="L2" s="118">
        <v>0</v>
      </c>
      <c r="M2" s="118">
        <v>0</v>
      </c>
      <c r="N2" s="152">
        <f t="shared" ref="N2:N3" si="0">SUM(B2:M2)</f>
        <v>17</v>
      </c>
      <c r="P2" s="21" t="s">
        <v>70</v>
      </c>
      <c r="Q2" s="27">
        <f>VLOOKUP(P2,$A$2:$N$5,14,0)</f>
        <v>17</v>
      </c>
      <c r="R2" s="27">
        <f>VLOOKUP(P2,$A$7:$N$10,14,0)</f>
        <v>15.15625</v>
      </c>
      <c r="S2" s="27">
        <f>VLOOKUP(P2,$A$12:$N$15,14,0)</f>
        <v>36.3125</v>
      </c>
      <c r="T2" s="27">
        <f>VLOOKUP(P2,$A$17:$N$19,14,0)</f>
        <v>38</v>
      </c>
      <c r="U2" s="27">
        <f>VLOOKUP(P2,$A$22:$N$25,14,0)</f>
        <v>73</v>
      </c>
    </row>
    <row r="3" spans="1:21">
      <c r="A3" s="21" t="s">
        <v>71</v>
      </c>
      <c r="B3" s="118">
        <v>0</v>
      </c>
      <c r="C3" s="118">
        <v>0</v>
      </c>
      <c r="D3" s="118">
        <v>0</v>
      </c>
      <c r="E3" s="118">
        <v>0</v>
      </c>
      <c r="F3" s="118">
        <v>0</v>
      </c>
      <c r="G3" s="118">
        <v>0</v>
      </c>
      <c r="H3" s="118">
        <v>0</v>
      </c>
      <c r="I3" s="118">
        <v>0</v>
      </c>
      <c r="J3" s="118">
        <v>0</v>
      </c>
      <c r="K3" s="118">
        <v>0</v>
      </c>
      <c r="L3" s="118">
        <v>0</v>
      </c>
      <c r="M3" s="118">
        <v>0</v>
      </c>
      <c r="N3" s="152">
        <f t="shared" si="0"/>
        <v>0</v>
      </c>
      <c r="P3" s="21" t="s">
        <v>71</v>
      </c>
      <c r="Q3" s="27">
        <f>VLOOKUP(P3,$A$2:$N$5,14,0)</f>
        <v>0</v>
      </c>
      <c r="R3" s="27">
        <f>VLOOKUP(P3,$A$7:$N$10,14,0)</f>
        <v>0.53125</v>
      </c>
      <c r="S3" s="27">
        <f>VLOOKUP(P3,$A$12:$N$15,14,0)</f>
        <v>0</v>
      </c>
      <c r="T3" s="27">
        <f>VLOOKUP(P3,$A$17:$N$19,14,0)</f>
        <v>0</v>
      </c>
      <c r="U3" s="27">
        <f>VLOOKUP(P3,$A$22:$N$25,14,0)</f>
        <v>0</v>
      </c>
    </row>
    <row r="4" spans="1:21">
      <c r="A4" s="21" t="s">
        <v>72</v>
      </c>
      <c r="B4" s="118">
        <v>1</v>
      </c>
      <c r="C4" s="118">
        <v>0</v>
      </c>
      <c r="D4" s="118">
        <v>0</v>
      </c>
      <c r="E4" s="118">
        <v>0</v>
      </c>
      <c r="F4" s="118">
        <v>0</v>
      </c>
      <c r="G4" s="118">
        <v>0</v>
      </c>
      <c r="H4" s="118">
        <v>0</v>
      </c>
      <c r="I4" s="118">
        <v>0</v>
      </c>
      <c r="J4" s="118">
        <v>0</v>
      </c>
      <c r="K4" s="118">
        <v>0</v>
      </c>
      <c r="L4" s="118">
        <v>0</v>
      </c>
      <c r="M4" s="118">
        <v>0</v>
      </c>
      <c r="N4" s="152">
        <f>SUM(B4:M4)</f>
        <v>1</v>
      </c>
      <c r="P4" s="21" t="s">
        <v>72</v>
      </c>
      <c r="Q4" s="27">
        <f>VLOOKUP(P4,$A$2:$N$5,14,0)</f>
        <v>1</v>
      </c>
      <c r="R4" s="27">
        <f>VLOOKUP(P4,$A$7:$N$10,14,0)</f>
        <v>19.987500000000001</v>
      </c>
      <c r="S4" s="27">
        <f>VLOOKUP(P4,$A$12:$N$15,14,0)</f>
        <v>21.015625</v>
      </c>
      <c r="T4" s="27">
        <f>VLOOKUP(P4,$A$17:$N$19,14,0)</f>
        <v>2</v>
      </c>
      <c r="U4" s="27">
        <f>VLOOKUP(P4,$A$22:$N$25,14,0)</f>
        <v>37.958333333333336</v>
      </c>
    </row>
    <row r="5" spans="1:21">
      <c r="A5" s="21" t="s">
        <v>207</v>
      </c>
      <c r="B5" s="118">
        <v>0</v>
      </c>
      <c r="C5" s="118">
        <v>0</v>
      </c>
      <c r="D5" s="118">
        <v>0</v>
      </c>
      <c r="E5" s="118">
        <v>0</v>
      </c>
      <c r="F5" s="118">
        <v>0</v>
      </c>
      <c r="G5" s="118">
        <v>0</v>
      </c>
      <c r="H5" s="118">
        <v>0</v>
      </c>
      <c r="I5" s="118">
        <v>0</v>
      </c>
      <c r="J5" s="118">
        <v>2</v>
      </c>
      <c r="K5" s="118">
        <v>0</v>
      </c>
      <c r="L5" s="118">
        <v>0</v>
      </c>
      <c r="M5" s="118">
        <v>0</v>
      </c>
      <c r="N5" s="152">
        <f>SUM(B5:M5)</f>
        <v>2</v>
      </c>
      <c r="P5" s="21" t="s">
        <v>207</v>
      </c>
      <c r="Q5" s="27">
        <f>VLOOKUP(P5,$A$2:$N$5,14,0)</f>
        <v>2</v>
      </c>
      <c r="R5" s="27">
        <f>VLOOKUP(P5,$A$7:$N$10,14,0)</f>
        <v>0</v>
      </c>
      <c r="S5" s="27">
        <f>VLOOKUP(P5,$A$12:$N$15,14,0)</f>
        <v>14.5</v>
      </c>
      <c r="T5" s="27">
        <f>VLOOKUP(P5,$A$17:$N$20,14,0)</f>
        <v>0</v>
      </c>
      <c r="U5" s="27">
        <f>VLOOKUP(P5,$A$22:$N$25,14,0)</f>
        <v>74</v>
      </c>
    </row>
    <row r="6" spans="1:21">
      <c r="A6" s="20" t="s">
        <v>56</v>
      </c>
      <c r="B6" s="20">
        <v>41821</v>
      </c>
      <c r="C6" s="20">
        <v>41852</v>
      </c>
      <c r="D6" s="20">
        <v>41883</v>
      </c>
      <c r="E6" s="20">
        <v>41913</v>
      </c>
      <c r="F6" s="20">
        <v>41944</v>
      </c>
      <c r="G6" s="20">
        <v>41974</v>
      </c>
      <c r="H6" s="20">
        <v>42005</v>
      </c>
      <c r="I6" s="20">
        <v>42036</v>
      </c>
      <c r="J6" s="20">
        <v>42064</v>
      </c>
      <c r="K6" s="20">
        <v>42095</v>
      </c>
      <c r="L6" s="20">
        <v>42125</v>
      </c>
      <c r="M6" s="20">
        <v>42156</v>
      </c>
      <c r="N6" s="151" t="s">
        <v>64</v>
      </c>
      <c r="P6" s="156" t="s">
        <v>102</v>
      </c>
      <c r="Q6" s="157">
        <f>SUM(Q2:Q5)</f>
        <v>20</v>
      </c>
      <c r="R6" s="157">
        <f>SUM(R2:R5)</f>
        <v>35.674999999999997</v>
      </c>
      <c r="S6" s="157">
        <f>SUM(S2:S5)</f>
        <v>71.828125</v>
      </c>
      <c r="T6" s="157">
        <f>SUM(T2:T5)</f>
        <v>40</v>
      </c>
      <c r="U6" s="157">
        <f>SUM(U2:U5)</f>
        <v>184.95833333333334</v>
      </c>
    </row>
    <row r="7" spans="1:21">
      <c r="A7" s="21" t="s">
        <v>70</v>
      </c>
      <c r="B7" s="118">
        <v>0</v>
      </c>
      <c r="C7" s="118">
        <v>0</v>
      </c>
      <c r="D7" s="118">
        <v>0</v>
      </c>
      <c r="E7" s="118">
        <f>(64.5+50)/16</f>
        <v>7.15625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8</v>
      </c>
      <c r="N7" s="152">
        <f>SUM(B7:M7)</f>
        <v>15.15625</v>
      </c>
    </row>
    <row r="8" spans="1:21">
      <c r="A8" s="21" t="s">
        <v>71</v>
      </c>
      <c r="B8" s="118">
        <v>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f>8.5/16</f>
        <v>0.53125</v>
      </c>
      <c r="N8" s="152">
        <f>SUM(B8:M8)</f>
        <v>0.53125</v>
      </c>
    </row>
    <row r="9" spans="1:21">
      <c r="A9" s="21" t="s">
        <v>72</v>
      </c>
      <c r="B9" s="118">
        <v>0</v>
      </c>
      <c r="C9" s="118">
        <f>128.3/16</f>
        <v>8.0187500000000007</v>
      </c>
      <c r="D9" s="118">
        <v>1</v>
      </c>
      <c r="E9" s="118">
        <f>18/16</f>
        <v>1.125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9</v>
      </c>
      <c r="L9" s="118">
        <v>0</v>
      </c>
      <c r="M9" s="118">
        <f>13.5/16</f>
        <v>0.84375</v>
      </c>
      <c r="N9" s="152">
        <f>SUM(B9:M9)</f>
        <v>19.987500000000001</v>
      </c>
    </row>
    <row r="10" spans="1:21">
      <c r="A10" s="21" t="s">
        <v>207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52">
        <f>SUM(B10:M10)</f>
        <v>0</v>
      </c>
    </row>
    <row r="11" spans="1:21">
      <c r="A11" s="20" t="s">
        <v>56</v>
      </c>
      <c r="B11" s="20">
        <v>42186</v>
      </c>
      <c r="C11" s="20">
        <v>42217</v>
      </c>
      <c r="D11" s="20">
        <v>42248</v>
      </c>
      <c r="E11" s="20">
        <v>42278</v>
      </c>
      <c r="F11" s="20">
        <v>42309</v>
      </c>
      <c r="G11" s="20">
        <v>42339</v>
      </c>
      <c r="H11" s="153">
        <v>42370</v>
      </c>
      <c r="I11" s="153">
        <v>42401</v>
      </c>
      <c r="J11" s="153">
        <v>42430</v>
      </c>
      <c r="K11" s="153">
        <v>42461</v>
      </c>
      <c r="L11" s="153">
        <v>42491</v>
      </c>
      <c r="M11" s="153">
        <v>42522</v>
      </c>
      <c r="N11" s="151" t="s">
        <v>65</v>
      </c>
    </row>
    <row r="12" spans="1:21">
      <c r="A12" s="21" t="s">
        <v>70</v>
      </c>
      <c r="B12" s="118">
        <v>0</v>
      </c>
      <c r="C12" s="118">
        <v>8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19</v>
      </c>
      <c r="J12" s="118">
        <v>2</v>
      </c>
      <c r="K12" s="118">
        <f>6+(5/16)</f>
        <v>6.3125</v>
      </c>
      <c r="L12" s="118">
        <v>0</v>
      </c>
      <c r="M12" s="118">
        <v>1</v>
      </c>
      <c r="N12" s="95">
        <f>SUM(B12:M12)</f>
        <v>36.3125</v>
      </c>
    </row>
    <row r="13" spans="1:21">
      <c r="A13" s="21" t="s">
        <v>71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95">
        <f>SUM(B13:M13)</f>
        <v>0</v>
      </c>
    </row>
    <row r="14" spans="1:21">
      <c r="A14" s="21" t="s">
        <v>72</v>
      </c>
      <c r="B14" s="118">
        <v>0</v>
      </c>
      <c r="C14" s="118">
        <v>0</v>
      </c>
      <c r="D14" s="118">
        <v>1</v>
      </c>
      <c r="E14" s="118">
        <f>(184+8.25)/16</f>
        <v>12.015625</v>
      </c>
      <c r="F14" s="118">
        <f>128/16</f>
        <v>8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95">
        <f>SUM(B14:M14)</f>
        <v>21.015625</v>
      </c>
    </row>
    <row r="15" spans="1:21">
      <c r="A15" s="21" t="s">
        <v>207</v>
      </c>
      <c r="B15" s="118">
        <v>0</v>
      </c>
      <c r="C15" s="118">
        <v>0</v>
      </c>
      <c r="D15" s="118">
        <v>0</v>
      </c>
      <c r="E15" s="118">
        <f>216/16</f>
        <v>13.5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1</v>
      </c>
      <c r="N15" s="95">
        <f>SUM(B15:M15)</f>
        <v>14.5</v>
      </c>
    </row>
    <row r="16" spans="1:21">
      <c r="A16" s="20" t="s">
        <v>56</v>
      </c>
      <c r="B16" s="153">
        <v>42552</v>
      </c>
      <c r="C16" s="153">
        <v>42583</v>
      </c>
      <c r="D16" s="153">
        <v>42614</v>
      </c>
      <c r="E16" s="153">
        <v>42644</v>
      </c>
      <c r="F16" s="153">
        <v>42675</v>
      </c>
      <c r="G16" s="153">
        <v>42705</v>
      </c>
      <c r="H16" s="153">
        <v>42736</v>
      </c>
      <c r="I16" s="153">
        <v>42767</v>
      </c>
      <c r="J16" s="153">
        <v>42795</v>
      </c>
      <c r="K16" s="153">
        <v>42826</v>
      </c>
      <c r="L16" s="153">
        <v>42856</v>
      </c>
      <c r="M16" s="153">
        <v>42887</v>
      </c>
      <c r="N16" s="151" t="s">
        <v>117</v>
      </c>
    </row>
    <row r="17" spans="1:16">
      <c r="A17" s="21" t="s">
        <v>70</v>
      </c>
      <c r="B17" s="154">
        <v>2</v>
      </c>
      <c r="C17" s="154">
        <v>18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18</v>
      </c>
      <c r="M17" s="154">
        <v>0</v>
      </c>
      <c r="N17" s="95">
        <f>SUM(B17:M17)</f>
        <v>38</v>
      </c>
    </row>
    <row r="18" spans="1:16">
      <c r="A18" s="21" t="s">
        <v>71</v>
      </c>
      <c r="B18" s="154">
        <v>0</v>
      </c>
      <c r="C18" s="154">
        <v>0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95">
        <f>SUM(B18:M18)</f>
        <v>0</v>
      </c>
    </row>
    <row r="19" spans="1:16">
      <c r="A19" s="21" t="s">
        <v>72</v>
      </c>
      <c r="B19" s="154">
        <v>0</v>
      </c>
      <c r="C19" s="154">
        <v>0</v>
      </c>
      <c r="D19" s="154">
        <v>0</v>
      </c>
      <c r="E19" s="154">
        <v>0</v>
      </c>
      <c r="F19" s="154">
        <v>2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95">
        <f>SUM(B19:M19)</f>
        <v>2</v>
      </c>
    </row>
    <row r="20" spans="1:16">
      <c r="A20" s="21" t="s">
        <v>207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95">
        <f>SUM(B20:M20)</f>
        <v>0</v>
      </c>
    </row>
    <row r="21" spans="1:16">
      <c r="A21" s="20" t="s">
        <v>56</v>
      </c>
      <c r="B21" s="153">
        <v>42917</v>
      </c>
      <c r="C21" s="153">
        <v>42948</v>
      </c>
      <c r="D21" s="153">
        <v>42979</v>
      </c>
      <c r="E21" s="153">
        <v>43009</v>
      </c>
      <c r="F21" s="153">
        <v>43040</v>
      </c>
      <c r="G21" s="153">
        <v>43070</v>
      </c>
      <c r="H21" s="153">
        <v>43101</v>
      </c>
      <c r="I21" s="153">
        <v>43132</v>
      </c>
      <c r="J21" s="153">
        <v>43160</v>
      </c>
      <c r="K21" s="153">
        <v>43191</v>
      </c>
      <c r="L21" s="153">
        <v>43221</v>
      </c>
      <c r="M21" s="153">
        <v>43252</v>
      </c>
      <c r="N21" s="151" t="s">
        <v>125</v>
      </c>
    </row>
    <row r="22" spans="1:16">
      <c r="A22" s="21" t="s">
        <v>70</v>
      </c>
      <c r="B22" s="72">
        <v>6</v>
      </c>
      <c r="C22" s="72">
        <v>2</v>
      </c>
      <c r="D22" s="72">
        <v>3</v>
      </c>
      <c r="E22" s="72">
        <v>57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5</v>
      </c>
      <c r="L22" s="118">
        <v>0</v>
      </c>
      <c r="M22" s="118">
        <v>0</v>
      </c>
      <c r="N22" s="95">
        <f>SUM(B22:M22)</f>
        <v>73</v>
      </c>
    </row>
    <row r="23" spans="1:16">
      <c r="A23" s="21" t="s">
        <v>71</v>
      </c>
      <c r="B23" s="154">
        <v>0</v>
      </c>
      <c r="C23" s="154">
        <v>0</v>
      </c>
      <c r="D23" s="154">
        <v>0</v>
      </c>
      <c r="E23" s="154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95">
        <f>SUM(B23:M23)</f>
        <v>0</v>
      </c>
      <c r="P23" s="186" t="s">
        <v>185</v>
      </c>
    </row>
    <row r="24" spans="1:16">
      <c r="A24" s="21" t="s">
        <v>72</v>
      </c>
      <c r="B24" s="154">
        <v>0</v>
      </c>
      <c r="C24" s="72">
        <f>24+(2/16)</f>
        <v>24.125</v>
      </c>
      <c r="D24" s="72">
        <f>10+(2/6)</f>
        <v>10.333333333333334</v>
      </c>
      <c r="E24" s="154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3.5</v>
      </c>
      <c r="N24" s="95">
        <f>SUM(B24:M24)</f>
        <v>37.958333333333336</v>
      </c>
      <c r="P24" s="185" t="s">
        <v>187</v>
      </c>
    </row>
    <row r="25" spans="1:16">
      <c r="A25" s="21" t="s">
        <v>207</v>
      </c>
      <c r="B25" s="72">
        <v>60</v>
      </c>
      <c r="C25" s="154">
        <v>0</v>
      </c>
      <c r="D25" s="154">
        <v>0</v>
      </c>
      <c r="E25" s="154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14</v>
      </c>
      <c r="N25" s="95">
        <f>SUM(B25:M25)</f>
        <v>74</v>
      </c>
      <c r="P25" s="185" t="s">
        <v>186</v>
      </c>
    </row>
    <row r="26" spans="1:16">
      <c r="A26" s="20" t="s">
        <v>56</v>
      </c>
      <c r="B26" s="153">
        <v>43282</v>
      </c>
      <c r="C26" s="153">
        <v>43313</v>
      </c>
      <c r="D26" s="153">
        <v>43344</v>
      </c>
      <c r="E26" s="153">
        <v>43374</v>
      </c>
      <c r="F26" s="153">
        <v>43405</v>
      </c>
      <c r="G26" s="153">
        <v>43435</v>
      </c>
      <c r="H26" s="153">
        <v>43466</v>
      </c>
      <c r="I26" s="153">
        <v>43497</v>
      </c>
      <c r="J26" s="153">
        <v>43525</v>
      </c>
      <c r="K26" s="153">
        <v>43556</v>
      </c>
      <c r="L26" s="153">
        <v>43586</v>
      </c>
      <c r="M26" s="153">
        <v>43617</v>
      </c>
      <c r="N26" s="151" t="s">
        <v>189</v>
      </c>
      <c r="P26" s="185" t="s">
        <v>188</v>
      </c>
    </row>
    <row r="27" spans="1:16" ht="15" customHeight="1">
      <c r="A27" s="21" t="s">
        <v>70</v>
      </c>
      <c r="B27" s="72"/>
      <c r="C27" s="72"/>
      <c r="D27" s="72"/>
      <c r="E27" s="72"/>
      <c r="F27" s="118"/>
      <c r="G27" s="118"/>
      <c r="H27" s="118"/>
      <c r="I27" s="118"/>
      <c r="J27" s="118"/>
      <c r="K27" s="118"/>
      <c r="L27" s="118"/>
      <c r="M27" s="118"/>
      <c r="N27" s="95">
        <f>SUM(B27:M27)</f>
        <v>0</v>
      </c>
      <c r="P27" s="185" t="s">
        <v>190</v>
      </c>
    </row>
    <row r="28" spans="1:16">
      <c r="A28" s="21" t="s">
        <v>71</v>
      </c>
      <c r="B28" s="154"/>
      <c r="C28" s="154"/>
      <c r="D28" s="154"/>
      <c r="E28" s="154"/>
      <c r="F28" s="118"/>
      <c r="G28" s="118"/>
      <c r="H28" s="118"/>
      <c r="I28" s="118"/>
      <c r="J28" s="118"/>
      <c r="K28" s="118"/>
      <c r="L28" s="118"/>
      <c r="M28" s="118"/>
      <c r="N28" s="95">
        <f>SUM(B28:M28)</f>
        <v>0</v>
      </c>
    </row>
    <row r="29" spans="1:16">
      <c r="A29" s="21" t="s">
        <v>72</v>
      </c>
      <c r="B29" s="154"/>
      <c r="C29" s="72"/>
      <c r="D29" s="72"/>
      <c r="E29" s="154"/>
      <c r="F29" s="118"/>
      <c r="G29" s="118"/>
      <c r="H29" s="118"/>
      <c r="I29" s="118"/>
      <c r="J29" s="118"/>
      <c r="K29" s="118"/>
      <c r="L29" s="118"/>
      <c r="M29" s="118"/>
      <c r="N29" s="95">
        <f>SUM(B29:M29)</f>
        <v>0</v>
      </c>
    </row>
    <row r="30" spans="1:16">
      <c r="A30" s="21" t="s">
        <v>207</v>
      </c>
      <c r="B30" s="154"/>
      <c r="C30" s="72"/>
      <c r="D30" s="72"/>
      <c r="E30" s="154"/>
      <c r="F30" s="118"/>
      <c r="G30" s="118"/>
      <c r="H30" s="118"/>
      <c r="I30" s="118"/>
      <c r="J30" s="118"/>
      <c r="K30" s="118"/>
      <c r="L30" s="118"/>
      <c r="M30" s="118"/>
      <c r="N30" s="95">
        <f t="shared" ref="N30" si="1">SUM(B30:M30)</f>
        <v>0</v>
      </c>
    </row>
    <row r="40" spans="2:12">
      <c r="B40" s="4"/>
      <c r="D40" s="4"/>
    </row>
    <row r="41" spans="2:12">
      <c r="E41" s="4"/>
      <c r="F41" s="4"/>
    </row>
    <row r="48" spans="2:12">
      <c r="G48" s="4"/>
      <c r="H48" s="4"/>
      <c r="I48" s="4"/>
      <c r="J48" s="4"/>
      <c r="K48" s="4"/>
      <c r="L48" s="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8" sqref="D18"/>
    </sheetView>
  </sheetViews>
  <sheetFormatPr defaultRowHeight="15"/>
  <cols>
    <col min="1" max="1" width="32.85546875" bestFit="1" customWidth="1"/>
    <col min="2" max="2" width="12" bestFit="1" customWidth="1"/>
    <col min="3" max="4" width="12" style="66" bestFit="1" customWidth="1"/>
    <col min="5" max="5" width="7.140625" bestFit="1" customWidth="1"/>
    <col min="6" max="8" width="12" bestFit="1" customWidth="1"/>
  </cols>
  <sheetData>
    <row r="1" spans="1:8">
      <c r="A1" s="283" t="s">
        <v>152</v>
      </c>
      <c r="B1" s="284">
        <v>2015</v>
      </c>
      <c r="C1" s="284">
        <v>2016</v>
      </c>
      <c r="D1" s="284">
        <v>2017</v>
      </c>
      <c r="F1" s="363" t="s">
        <v>132</v>
      </c>
      <c r="G1" s="363"/>
      <c r="H1" s="363"/>
    </row>
    <row r="2" spans="1:8">
      <c r="A2" s="29" t="s">
        <v>119</v>
      </c>
      <c r="B2" s="11">
        <v>36</v>
      </c>
      <c r="C2" s="11">
        <v>18</v>
      </c>
      <c r="D2" s="11">
        <v>60</v>
      </c>
      <c r="F2" s="49">
        <v>2015</v>
      </c>
      <c r="G2" s="49">
        <v>2016</v>
      </c>
      <c r="H2" s="49">
        <v>2017</v>
      </c>
    </row>
    <row r="3" spans="1:8">
      <c r="A3" s="29" t="s">
        <v>120</v>
      </c>
      <c r="B3" s="11">
        <v>800</v>
      </c>
      <c r="C3" s="11">
        <v>300</v>
      </c>
      <c r="D3" s="11">
        <v>0</v>
      </c>
      <c r="F3" s="3">
        <f>B8*$A$8</f>
        <v>8.321775312066574E-3</v>
      </c>
      <c r="G3" s="3">
        <f>C8*$A$8</f>
        <v>4.160887656033287E-3</v>
      </c>
      <c r="H3" s="3">
        <f>D8*$A$8</f>
        <v>1.3869625520110956E-2</v>
      </c>
    </row>
    <row r="4" spans="1:8">
      <c r="A4" s="29" t="s">
        <v>121</v>
      </c>
      <c r="B4" s="11">
        <v>400</v>
      </c>
      <c r="C4" s="11">
        <v>100</v>
      </c>
      <c r="D4" s="11">
        <v>300</v>
      </c>
      <c r="F4" s="3">
        <f>B9*$A$9</f>
        <v>0.21574973031283709</v>
      </c>
      <c r="G4" s="3">
        <f>C9*$A$9</f>
        <v>8.0906148867313912E-2</v>
      </c>
      <c r="H4" s="3">
        <f>D9*$A$9</f>
        <v>0</v>
      </c>
    </row>
    <row r="5" spans="1:8">
      <c r="A5" s="48" t="s">
        <v>34</v>
      </c>
      <c r="B5" s="68">
        <f>SUM(B2:B4)</f>
        <v>1236</v>
      </c>
      <c r="C5" s="68">
        <f t="shared" ref="C5:D5" si="0">SUM(C2:C4)</f>
        <v>418</v>
      </c>
      <c r="D5" s="68">
        <f t="shared" si="0"/>
        <v>360</v>
      </c>
      <c r="F5" s="3">
        <f>B10*$A$10</f>
        <v>0.17259978425026967</v>
      </c>
      <c r="G5" s="3">
        <f>C10*$A$10</f>
        <v>4.3149946062567418E-2</v>
      </c>
      <c r="H5" s="3">
        <f>D10*$A$10</f>
        <v>0.12944983818770225</v>
      </c>
    </row>
    <row r="6" spans="1:8">
      <c r="D6" s="70"/>
      <c r="F6" s="90">
        <f>SUM(F3:F5)</f>
        <v>0.39667128987517331</v>
      </c>
      <c r="G6" s="90">
        <f t="shared" ref="G6:H6" si="1">SUM(G3:G5)</f>
        <v>0.12821698258591463</v>
      </c>
      <c r="H6" s="90">
        <f t="shared" si="1"/>
        <v>0.1433194637078132</v>
      </c>
    </row>
    <row r="7" spans="1:8">
      <c r="A7" s="283" t="s">
        <v>130</v>
      </c>
      <c r="B7" s="283">
        <v>2015</v>
      </c>
      <c r="C7" s="283">
        <v>2016</v>
      </c>
      <c r="D7" s="283">
        <v>2017</v>
      </c>
    </row>
    <row r="8" spans="1:8">
      <c r="A8" s="69">
        <f>6/(6+9+6)</f>
        <v>0.2857142857142857</v>
      </c>
      <c r="B8" s="3">
        <f>B2/$B$5</f>
        <v>2.9126213592233011E-2</v>
      </c>
      <c r="C8" s="3">
        <f t="shared" ref="C8:D8" si="2">C2/$B$5</f>
        <v>1.4563106796116505E-2</v>
      </c>
      <c r="D8" s="3">
        <f t="shared" si="2"/>
        <v>4.8543689320388349E-2</v>
      </c>
    </row>
    <row r="9" spans="1:8">
      <c r="A9" s="69">
        <f>15/(15+15+15)</f>
        <v>0.33333333333333331</v>
      </c>
      <c r="B9" s="3">
        <f>B3/$B$5</f>
        <v>0.6472491909385113</v>
      </c>
      <c r="C9" s="3">
        <f t="shared" ref="C9:D9" si="3">C3/$B$5</f>
        <v>0.24271844660194175</v>
      </c>
      <c r="D9" s="3">
        <f t="shared" si="3"/>
        <v>0</v>
      </c>
    </row>
    <row r="10" spans="1:8">
      <c r="A10" s="69">
        <f>16/(16+6+8)</f>
        <v>0.53333333333333333</v>
      </c>
      <c r="B10" s="3">
        <f>B4/$B$5</f>
        <v>0.32362459546925565</v>
      </c>
      <c r="C10" s="3">
        <f t="shared" ref="C10:D10" si="4">C4/$B$5</f>
        <v>8.0906148867313912E-2</v>
      </c>
      <c r="D10" s="3">
        <f t="shared" si="4"/>
        <v>0.24271844660194175</v>
      </c>
    </row>
    <row r="12" spans="1:8" s="66" customFormat="1"/>
  </sheetData>
  <mergeCells count="1">
    <mergeCell ref="F1:H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15" sqref="E15"/>
    </sheetView>
  </sheetViews>
  <sheetFormatPr defaultRowHeight="15"/>
  <cols>
    <col min="1" max="1" width="18.42578125" style="66" bestFit="1" customWidth="1"/>
    <col min="2" max="2" width="9.5703125" style="66" bestFit="1" customWidth="1"/>
    <col min="3" max="3" width="14.140625" style="66" bestFit="1" customWidth="1"/>
    <col min="4" max="4" width="9.5703125" style="66" bestFit="1" customWidth="1"/>
    <col min="5" max="5" width="14.140625" style="66" bestFit="1" customWidth="1"/>
    <col min="6" max="6" width="9.5703125" style="66" bestFit="1" customWidth="1"/>
    <col min="7" max="7" width="14.140625" style="66" bestFit="1" customWidth="1"/>
    <col min="8" max="16384" width="9.140625" style="66"/>
  </cols>
  <sheetData>
    <row r="1" spans="1:10">
      <c r="B1" s="363">
        <v>2016</v>
      </c>
      <c r="C1" s="363"/>
      <c r="D1" s="363">
        <v>2017</v>
      </c>
      <c r="E1" s="363"/>
      <c r="F1" s="363">
        <v>2018</v>
      </c>
      <c r="G1" s="363"/>
    </row>
    <row r="2" spans="1:10">
      <c r="A2" s="287" t="s">
        <v>38</v>
      </c>
      <c r="B2" s="156" t="s">
        <v>153</v>
      </c>
      <c r="C2" s="156" t="s">
        <v>179</v>
      </c>
      <c r="D2" s="156" t="s">
        <v>153</v>
      </c>
      <c r="E2" s="156" t="s">
        <v>179</v>
      </c>
      <c r="F2" s="156" t="s">
        <v>153</v>
      </c>
      <c r="G2" s="156" t="s">
        <v>179</v>
      </c>
    </row>
    <row r="3" spans="1:10">
      <c r="A3" s="34" t="s">
        <v>15</v>
      </c>
      <c r="B3" s="147">
        <f>'[4]2016 Summary'!B45</f>
        <v>0.62686095843024514</v>
      </c>
      <c r="C3" s="148">
        <f>'[4]2016 Summary'!B98</f>
        <v>11.277629497019303</v>
      </c>
      <c r="D3" s="147">
        <f>'[4]2017 Summary'!B39</f>
        <v>0.58660515920765133</v>
      </c>
      <c r="E3" s="148">
        <f>'[4]2017 Summary'!B86</f>
        <v>13.654160711831738</v>
      </c>
      <c r="F3" s="69">
        <f>'[4]2018 Summary'!B32</f>
        <v>0.56630451944362536</v>
      </c>
      <c r="G3" s="148">
        <f>'[4]2018 Summary'!B72</f>
        <v>12.45430128818804</v>
      </c>
      <c r="J3" s="74"/>
    </row>
    <row r="4" spans="1:10">
      <c r="A4" s="34" t="s">
        <v>155</v>
      </c>
      <c r="B4" s="147">
        <f>'[4]2016 Summary'!B46</f>
        <v>3.5255231531042134E-3</v>
      </c>
      <c r="C4" s="148">
        <f>'[4]2016 Summary'!B99</f>
        <v>7.8976666666666659</v>
      </c>
      <c r="D4" s="147">
        <f>'[4]2017 Summary'!B40</f>
        <v>2.0608413941835772E-3</v>
      </c>
      <c r="E4" s="148">
        <f>'[4]2017 Summary'!B87</f>
        <v>3.8675000000000002</v>
      </c>
      <c r="F4" s="69">
        <f>'[4]2018 Summary'!B33</f>
        <v>6.2957905897310347E-3</v>
      </c>
      <c r="G4" s="148">
        <f>'[4]2018 Summary'!B73</f>
        <v>4.040633333333334</v>
      </c>
      <c r="J4" s="74"/>
    </row>
    <row r="5" spans="1:10">
      <c r="A5" s="34" t="s">
        <v>156</v>
      </c>
      <c r="B5" s="147">
        <f>'[4]2016 Summary'!B47</f>
        <v>6.5718446949483006E-2</v>
      </c>
      <c r="C5" s="148">
        <f>'[4]2016 Summary'!B100</f>
        <v>13.359618838689562</v>
      </c>
      <c r="D5" s="147">
        <f>'[4]2017 Summary'!B41</f>
        <v>7.021570766591971E-2</v>
      </c>
      <c r="E5" s="148">
        <f>'[4]2017 Summary'!B88</f>
        <v>11.46484457124955</v>
      </c>
      <c r="F5" s="69">
        <f>'[4]2018 Summary'!B34</f>
        <v>7.3197286923457727E-2</v>
      </c>
      <c r="G5" s="148">
        <f>'[4]2018 Summary'!B74</f>
        <v>10.445639370863054</v>
      </c>
      <c r="J5" s="74"/>
    </row>
    <row r="6" spans="1:10">
      <c r="A6" s="34" t="s">
        <v>16</v>
      </c>
      <c r="B6" s="147">
        <f>'[4]2016 Summary'!B48</f>
        <v>6.2846118425570197E-2</v>
      </c>
      <c r="C6" s="148">
        <f>'[4]2016 Summary'!B101</f>
        <v>29.511038889148328</v>
      </c>
      <c r="D6" s="147">
        <f>'[4]2017 Summary'!B42</f>
        <v>4.975913104849651E-2</v>
      </c>
      <c r="E6" s="148">
        <f>'[4]2017 Summary'!B89</f>
        <v>22.835504787000438</v>
      </c>
      <c r="F6" s="69">
        <f>'[4]2018 Summary'!B35</f>
        <v>4.9908441946864016E-2</v>
      </c>
      <c r="G6" s="148">
        <f>'[4]2018 Summary'!B75</f>
        <v>26.958743980768723</v>
      </c>
      <c r="J6" s="74"/>
    </row>
    <row r="7" spans="1:10">
      <c r="A7" s="135" t="s">
        <v>157</v>
      </c>
      <c r="B7" s="147">
        <f>'[4]2016 Summary'!B50</f>
        <v>0.17712226604072881</v>
      </c>
      <c r="C7" s="148">
        <f>'[4]2016 Summary'!B103</f>
        <v>11.843396007752849</v>
      </c>
      <c r="D7" s="147">
        <f>'[4]2017 Summary'!B44</f>
        <v>0.2180604780193309</v>
      </c>
      <c r="E7" s="148">
        <f>'[4]2017 Summary'!B91</f>
        <v>10.223050923745088</v>
      </c>
      <c r="F7" s="69">
        <f>'[4]2018 Summary'!B37</f>
        <v>0.23545664088801901</v>
      </c>
      <c r="G7" s="148">
        <f>'[4]2018 Summary'!B77</f>
        <v>11.403466720502099</v>
      </c>
      <c r="J7" s="74"/>
    </row>
    <row r="8" spans="1:10">
      <c r="A8" s="136" t="s">
        <v>158</v>
      </c>
      <c r="B8" s="147">
        <f>'[4]2016 Summary'!B51</f>
        <v>6.3926687000868759E-2</v>
      </c>
      <c r="C8" s="148">
        <f>'[4]2016 Summary'!B104</f>
        <v>2.675010822510822</v>
      </c>
      <c r="D8" s="147">
        <f>'[4]2017 Summary'!B45</f>
        <v>7.3298682664417969E-2</v>
      </c>
      <c r="E8" s="148">
        <f>'[4]2017 Summary'!B92</f>
        <v>2.6695793650793651</v>
      </c>
      <c r="F8" s="69">
        <f>'[4]2018 Summary'!B38</f>
        <v>6.883732020830273E-2</v>
      </c>
      <c r="G8" s="148">
        <f>'[4]2018 Summary'!B78</f>
        <v>2.68</v>
      </c>
      <c r="J8" s="74"/>
    </row>
    <row r="10" spans="1:10">
      <c r="A10" s="285" t="s">
        <v>162</v>
      </c>
      <c r="B10" s="286">
        <v>2016</v>
      </c>
      <c r="C10" s="286">
        <v>2017</v>
      </c>
      <c r="D10" s="286">
        <v>2018</v>
      </c>
    </row>
    <row r="11" spans="1:10">
      <c r="A11" s="98" t="s">
        <v>159</v>
      </c>
      <c r="B11" s="149">
        <f>'[4]2016 Summary'!K1</f>
        <v>696</v>
      </c>
      <c r="C11" s="149">
        <f>'[4]2017 Summary'!K1</f>
        <v>482</v>
      </c>
      <c r="D11" s="150">
        <f>'[4]2018 Summary'!K1</f>
        <v>658</v>
      </c>
    </row>
    <row r="12" spans="1:10">
      <c r="A12" s="98" t="s">
        <v>180</v>
      </c>
      <c r="B12" s="149">
        <v>22469</v>
      </c>
      <c r="C12" s="150">
        <v>22166.7</v>
      </c>
      <c r="D12" s="150">
        <v>22745.599999999999</v>
      </c>
    </row>
    <row r="13" spans="1:10">
      <c r="A13" s="98" t="s">
        <v>463</v>
      </c>
      <c r="B13" s="149">
        <f>'[4]2016 Summary'!J21</f>
        <v>8.2643678160919549</v>
      </c>
      <c r="C13" s="149">
        <f>'[4]2017 Summary'!J18</f>
        <v>9.0248962655601659</v>
      </c>
      <c r="D13" s="150">
        <f>'[4]2018 Summary'!J14</f>
        <v>8.401215805471125</v>
      </c>
    </row>
    <row r="15" spans="1:10">
      <c r="A15" s="286" t="s">
        <v>181</v>
      </c>
      <c r="B15" s="286" t="s">
        <v>182</v>
      </c>
      <c r="C15" s="286" t="s">
        <v>183</v>
      </c>
    </row>
    <row r="16" spans="1:10">
      <c r="A16" s="3" t="s">
        <v>163</v>
      </c>
      <c r="B16" s="137">
        <v>300</v>
      </c>
      <c r="C16" s="137">
        <v>232</v>
      </c>
    </row>
    <row r="17" spans="1:3">
      <c r="A17" s="3" t="s">
        <v>165</v>
      </c>
      <c r="B17" s="28">
        <f>B16/365</f>
        <v>0.82191780821917804</v>
      </c>
      <c r="C17" s="28">
        <f>C16/365</f>
        <v>0.63561643835616444</v>
      </c>
    </row>
    <row r="18" spans="1:3">
      <c r="A18" s="3" t="s">
        <v>164</v>
      </c>
      <c r="B18" s="148">
        <f>52.1429*B17</f>
        <v>42.85717808219178</v>
      </c>
      <c r="C18" s="148">
        <f>52.1429*C17</f>
        <v>33.142884383561643</v>
      </c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19" sqref="J19"/>
    </sheetView>
  </sheetViews>
  <sheetFormatPr defaultRowHeight="15"/>
  <cols>
    <col min="1" max="1" width="18.42578125" bestFit="1" customWidth="1"/>
    <col min="2" max="2" width="9.5703125" bestFit="1" customWidth="1"/>
    <col min="3" max="3" width="10.28515625" style="66" bestFit="1" customWidth="1"/>
    <col min="4" max="4" width="11.140625" bestFit="1" customWidth="1"/>
    <col min="5" max="5" width="10.28515625" bestFit="1" customWidth="1"/>
    <col min="6" max="6" width="9.5703125" bestFit="1" customWidth="1"/>
    <col min="7" max="7" width="10.28515625" bestFit="1" customWidth="1"/>
  </cols>
  <sheetData>
    <row r="1" spans="1:7" s="66" customFormat="1">
      <c r="B1" s="364">
        <v>2016</v>
      </c>
      <c r="C1" s="364"/>
      <c r="D1" s="364">
        <v>2017</v>
      </c>
      <c r="E1" s="364"/>
      <c r="F1" s="364">
        <v>2018</v>
      </c>
      <c r="G1" s="364"/>
    </row>
    <row r="2" spans="1:7">
      <c r="A2" s="287" t="s">
        <v>38</v>
      </c>
      <c r="B2" s="156" t="s">
        <v>153</v>
      </c>
      <c r="C2" s="156" t="s">
        <v>154</v>
      </c>
      <c r="D2" s="156" t="s">
        <v>153</v>
      </c>
      <c r="E2" s="156" t="s">
        <v>154</v>
      </c>
      <c r="F2" s="302" t="s">
        <v>153</v>
      </c>
      <c r="G2" s="302" t="s">
        <v>154</v>
      </c>
    </row>
    <row r="3" spans="1:7">
      <c r="A3" s="34" t="s">
        <v>15</v>
      </c>
      <c r="B3" s="133">
        <v>0.72588782273221886</v>
      </c>
      <c r="C3" s="132">
        <v>15.006206050694988</v>
      </c>
      <c r="D3" s="133">
        <v>0.69017980636237886</v>
      </c>
      <c r="E3" s="132">
        <v>15.234778854114536</v>
      </c>
      <c r="F3" s="133">
        <v>0.69630872483221473</v>
      </c>
      <c r="G3" s="132">
        <v>14.751632128514036</v>
      </c>
    </row>
    <row r="4" spans="1:7">
      <c r="A4" s="34" t="s">
        <v>155</v>
      </c>
      <c r="B4" s="133">
        <v>5.4406964091403701E-3</v>
      </c>
      <c r="C4" s="132">
        <v>6.9087272727272735</v>
      </c>
      <c r="D4" s="133">
        <v>1.6278327481646985E-2</v>
      </c>
      <c r="E4" s="132">
        <v>7.3783660130718944</v>
      </c>
      <c r="F4" s="133">
        <v>4.6979865771812077E-3</v>
      </c>
      <c r="G4" s="132">
        <v>8.1421428571428578</v>
      </c>
    </row>
    <row r="5" spans="1:7">
      <c r="A5" s="34" t="s">
        <v>156</v>
      </c>
      <c r="B5" s="133">
        <v>9.852606588188742E-2</v>
      </c>
      <c r="C5" s="132">
        <v>15.257620481927702</v>
      </c>
      <c r="D5" s="133">
        <v>8.915842110862858E-2</v>
      </c>
      <c r="E5" s="132">
        <v>14.146443914081143</v>
      </c>
      <c r="F5" s="133">
        <v>8.1208053691275178E-2</v>
      </c>
      <c r="G5" s="132">
        <v>15.069917355371903</v>
      </c>
    </row>
    <row r="6" spans="1:7">
      <c r="A6" s="34" t="s">
        <v>16</v>
      </c>
      <c r="B6" s="133">
        <v>5.1736076763280243E-2</v>
      </c>
      <c r="C6" s="132">
        <v>35.72673040152965</v>
      </c>
      <c r="D6" s="133">
        <v>7.6603894031279929E-2</v>
      </c>
      <c r="E6" s="132">
        <v>36.818277777777766</v>
      </c>
      <c r="F6" s="133">
        <v>8.6241610738255037E-2</v>
      </c>
      <c r="G6" s="132">
        <v>36.476757457846958</v>
      </c>
    </row>
    <row r="7" spans="1:7" s="66" customFormat="1">
      <c r="A7" s="135" t="s">
        <v>157</v>
      </c>
      <c r="B7" s="133">
        <v>8.0324463349490546E-2</v>
      </c>
      <c r="C7" s="132">
        <v>13.961711822660094</v>
      </c>
      <c r="D7" s="133">
        <v>9.2456644323864245E-2</v>
      </c>
      <c r="E7" s="132">
        <v>13.88734177215191</v>
      </c>
      <c r="F7" s="133">
        <v>0.10425055928411633</v>
      </c>
      <c r="G7" s="132">
        <v>13.315343347639482</v>
      </c>
    </row>
    <row r="8" spans="1:7">
      <c r="A8" s="136" t="s">
        <v>158</v>
      </c>
      <c r="B8" s="133">
        <v>3.4820457018498369E-2</v>
      </c>
      <c r="C8" s="132">
        <v>2.9197159090909137</v>
      </c>
      <c r="D8" s="133">
        <v>3.5322906692201297E-2</v>
      </c>
      <c r="E8" s="132">
        <v>2.8670783132530167</v>
      </c>
      <c r="F8" s="133">
        <v>2.7069351230425056E-2</v>
      </c>
      <c r="G8" s="132">
        <v>3.1056611570247967</v>
      </c>
    </row>
    <row r="9" spans="1:7" s="66" customFormat="1">
      <c r="A9" s="97"/>
      <c r="B9" s="96"/>
      <c r="C9" s="96"/>
    </row>
    <row r="10" spans="1:7" s="66" customFormat="1">
      <c r="A10" s="285" t="s">
        <v>161</v>
      </c>
      <c r="B10" s="286">
        <v>2016</v>
      </c>
      <c r="C10" s="286">
        <v>2017</v>
      </c>
      <c r="D10" s="286">
        <v>2018</v>
      </c>
    </row>
    <row r="11" spans="1:7" s="66" customFormat="1">
      <c r="A11" s="98" t="s">
        <v>159</v>
      </c>
      <c r="B11" s="134">
        <v>2390</v>
      </c>
      <c r="C11" s="134">
        <v>2276</v>
      </c>
      <c r="D11" s="134">
        <v>2210</v>
      </c>
    </row>
    <row r="12" spans="1:7">
      <c r="A12" s="98" t="s">
        <v>160</v>
      </c>
      <c r="B12" s="134">
        <v>2700</v>
      </c>
      <c r="C12" s="134">
        <v>2732</v>
      </c>
      <c r="D12" s="134">
        <v>2764</v>
      </c>
    </row>
    <row r="13" spans="1:7">
      <c r="A13" s="3" t="s">
        <v>140</v>
      </c>
      <c r="B13" s="131">
        <f>B11/B12</f>
        <v>0.88518518518518519</v>
      </c>
      <c r="C13" s="131">
        <f>C11/C12</f>
        <v>0.83308931185944368</v>
      </c>
      <c r="D13" s="131">
        <f>D11/D12</f>
        <v>0.79956584659913166</v>
      </c>
    </row>
    <row r="14" spans="1:7" s="66" customFormat="1">
      <c r="A14" s="5"/>
      <c r="B14" s="131"/>
      <c r="C14" s="131"/>
      <c r="D14" s="131"/>
    </row>
    <row r="15" spans="1:7">
      <c r="B15" s="286">
        <v>2016</v>
      </c>
      <c r="C15" s="286">
        <v>2017</v>
      </c>
      <c r="D15" s="286">
        <v>2018</v>
      </c>
    </row>
    <row r="16" spans="1:7" s="66" customFormat="1">
      <c r="A16" s="98" t="s">
        <v>283</v>
      </c>
      <c r="B16" s="134">
        <v>4131.5503457178893</v>
      </c>
      <c r="C16" s="134">
        <v>3099.0643977929062</v>
      </c>
      <c r="D16" s="134">
        <v>3046.4763505666051</v>
      </c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35" sqref="G35"/>
    </sheetView>
  </sheetViews>
  <sheetFormatPr defaultRowHeight="15"/>
  <cols>
    <col min="1" max="1" width="31.7109375" bestFit="1" customWidth="1"/>
    <col min="2" max="5" width="12.5703125" bestFit="1" customWidth="1"/>
  </cols>
  <sheetData>
    <row r="1" spans="1:6">
      <c r="A1" s="176" t="s">
        <v>38</v>
      </c>
      <c r="B1" s="177" t="s">
        <v>10</v>
      </c>
      <c r="C1" s="176" t="s">
        <v>11</v>
      </c>
      <c r="D1" s="176" t="s">
        <v>103</v>
      </c>
      <c r="E1" s="176" t="s">
        <v>118</v>
      </c>
    </row>
    <row r="2" spans="1:6">
      <c r="A2" s="182" t="s">
        <v>24</v>
      </c>
      <c r="B2" s="118">
        <f>'Business Mileage'!D2</f>
        <v>159159.87499999997</v>
      </c>
      <c r="C2" s="118">
        <f>'Business Mileage'!D3</f>
        <v>180675.02608695652</v>
      </c>
      <c r="D2" s="118">
        <f>'Business Mileage'!D4</f>
        <v>211696.75925925924</v>
      </c>
      <c r="E2" s="118">
        <f>'Business Mileage'!D5</f>
        <v>227755.51401869158</v>
      </c>
    </row>
    <row r="3" spans="1:6">
      <c r="A3" s="182" t="s">
        <v>19</v>
      </c>
      <c r="B3" s="232">
        <f>($C3/$C$2)*B$2</f>
        <v>2075.6717471677948</v>
      </c>
      <c r="C3" s="280">
        <v>2356.2600000000002</v>
      </c>
      <c r="D3" s="232">
        <f t="shared" ref="D3:E7" si="0">($C3/$C$2)*D$2</f>
        <v>2760.8276405182319</v>
      </c>
      <c r="E3" s="232">
        <f t="shared" si="0"/>
        <v>2970.2567038977431</v>
      </c>
    </row>
    <row r="4" spans="1:6">
      <c r="A4" s="182" t="s">
        <v>40</v>
      </c>
      <c r="B4" s="232">
        <f>($C4/$C$2)*B$2</f>
        <v>46816.032498337867</v>
      </c>
      <c r="C4" s="280">
        <v>53144.6</v>
      </c>
      <c r="D4" s="232">
        <f t="shared" si="0"/>
        <v>62269.47816636756</v>
      </c>
      <c r="E4" s="232">
        <f t="shared" si="0"/>
        <v>66993.075647833422</v>
      </c>
    </row>
    <row r="5" spans="1:6">
      <c r="A5" s="182" t="s">
        <v>42</v>
      </c>
      <c r="B5" s="232">
        <f>($C5/$C$2)*B$2</f>
        <v>57032.998255134371</v>
      </c>
      <c r="C5" s="280">
        <v>64742.69</v>
      </c>
      <c r="D5" s="232">
        <f t="shared" si="0"/>
        <v>75858.949383134008</v>
      </c>
      <c r="E5" s="232">
        <f t="shared" si="0"/>
        <v>81613.408113227473</v>
      </c>
      <c r="F5" s="62"/>
    </row>
    <row r="6" spans="1:6">
      <c r="A6" s="182" t="s">
        <v>157</v>
      </c>
      <c r="B6" s="232">
        <f>($C6/$C$2)*B$2</f>
        <v>14874.863504386782</v>
      </c>
      <c r="C6" s="280">
        <v>16885.64</v>
      </c>
      <c r="D6" s="232">
        <f t="shared" si="0"/>
        <v>19784.888611545532</v>
      </c>
      <c r="E6" s="232">
        <f t="shared" si="0"/>
        <v>21285.717794133023</v>
      </c>
    </row>
    <row r="7" spans="1:6">
      <c r="A7" s="182" t="s">
        <v>41</v>
      </c>
      <c r="B7" s="232">
        <f t="shared" ref="B7" si="1">($C7/$C$2)*B$2</f>
        <v>381838.58408677019</v>
      </c>
      <c r="C7" s="280">
        <v>433455.33</v>
      </c>
      <c r="D7" s="232">
        <f t="shared" si="0"/>
        <v>507879.20517852518</v>
      </c>
      <c r="E7" s="232">
        <f t="shared" si="0"/>
        <v>546405.57484008919</v>
      </c>
    </row>
    <row r="8" spans="1:6">
      <c r="A8" s="62"/>
      <c r="B8" s="62"/>
      <c r="C8" s="62"/>
      <c r="D8" s="62"/>
      <c r="E8" s="62"/>
      <c r="F8" s="62"/>
    </row>
    <row r="9" spans="1:6">
      <c r="B9" s="259" t="s">
        <v>311</v>
      </c>
    </row>
    <row r="10" spans="1:6">
      <c r="C10" s="66"/>
    </row>
    <row r="11" spans="1:6">
      <c r="C11" s="66"/>
    </row>
    <row r="12" spans="1:6">
      <c r="C12" s="66"/>
    </row>
    <row r="13" spans="1:6">
      <c r="C13" s="66"/>
    </row>
    <row r="14" spans="1:6">
      <c r="C14" s="66"/>
    </row>
    <row r="15" spans="1:6">
      <c r="C15" s="6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" sqref="A1:D1"/>
    </sheetView>
  </sheetViews>
  <sheetFormatPr defaultRowHeight="15"/>
  <cols>
    <col min="1" max="1" width="13.7109375" bestFit="1" customWidth="1"/>
    <col min="2" max="2" width="12.5703125" bestFit="1" customWidth="1"/>
    <col min="3" max="3" width="14" bestFit="1" customWidth="1"/>
    <col min="4" max="5" width="11.5703125" bestFit="1" customWidth="1"/>
  </cols>
  <sheetData>
    <row r="1" spans="1:5">
      <c r="A1" s="30" t="s">
        <v>124</v>
      </c>
      <c r="B1" s="30" t="s">
        <v>123</v>
      </c>
      <c r="C1" s="30" t="s">
        <v>39</v>
      </c>
      <c r="D1" s="30" t="s">
        <v>122</v>
      </c>
    </row>
    <row r="2" spans="1:5">
      <c r="A2" s="184">
        <v>2014</v>
      </c>
      <c r="B2" s="73">
        <v>0.56000000000000005</v>
      </c>
      <c r="C2" s="211">
        <v>89129.53</v>
      </c>
      <c r="D2" s="72">
        <f>C2/B2</f>
        <v>159159.87499999997</v>
      </c>
      <c r="E2" s="71"/>
    </row>
    <row r="3" spans="1:5">
      <c r="A3" s="184">
        <v>2015</v>
      </c>
      <c r="B3" s="73">
        <v>0.57499999999999996</v>
      </c>
      <c r="C3" s="211">
        <v>103888.14</v>
      </c>
      <c r="D3" s="72">
        <f t="shared" ref="D3:D5" si="0">C3/B3</f>
        <v>180675.02608695652</v>
      </c>
      <c r="E3" s="71"/>
    </row>
    <row r="4" spans="1:5">
      <c r="A4" s="184">
        <v>2016</v>
      </c>
      <c r="B4" s="73">
        <v>0.54</v>
      </c>
      <c r="C4" s="212">
        <v>114316.25</v>
      </c>
      <c r="D4" s="72">
        <f t="shared" si="0"/>
        <v>211696.75925925924</v>
      </c>
      <c r="E4" s="71"/>
    </row>
    <row r="5" spans="1:5">
      <c r="A5" s="184">
        <v>2017</v>
      </c>
      <c r="B5" s="73">
        <v>0.53500000000000003</v>
      </c>
      <c r="C5" s="211">
        <v>121849.2</v>
      </c>
      <c r="D5" s="72">
        <f t="shared" si="0"/>
        <v>227755.51401869158</v>
      </c>
      <c r="E5" s="71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0"/>
  <sheetViews>
    <sheetView topLeftCell="AT1" workbookViewId="0">
      <selection activeCell="AX27" sqref="AW24:AX27"/>
    </sheetView>
  </sheetViews>
  <sheetFormatPr defaultRowHeight="15"/>
  <cols>
    <col min="1" max="1" width="29.28515625" bestFit="1" customWidth="1"/>
    <col min="2" max="60" width="10.7109375" customWidth="1"/>
  </cols>
  <sheetData>
    <row r="1" spans="1:70">
      <c r="A1" s="30" t="s">
        <v>76</v>
      </c>
      <c r="B1" s="31">
        <v>41456</v>
      </c>
      <c r="C1" s="31">
        <v>41487</v>
      </c>
      <c r="D1" s="31">
        <v>41518</v>
      </c>
      <c r="E1" s="31">
        <v>41548</v>
      </c>
      <c r="F1" s="31">
        <v>41579</v>
      </c>
      <c r="G1" s="31">
        <v>41609</v>
      </c>
      <c r="H1" s="31">
        <v>41640</v>
      </c>
      <c r="I1" s="31">
        <v>41671</v>
      </c>
      <c r="J1" s="31">
        <v>41699</v>
      </c>
      <c r="K1" s="31">
        <v>41730</v>
      </c>
      <c r="L1" s="31">
        <v>41760</v>
      </c>
      <c r="M1" s="31">
        <v>41791</v>
      </c>
      <c r="N1" s="31">
        <v>41821</v>
      </c>
      <c r="O1" s="31">
        <v>41852</v>
      </c>
      <c r="P1" s="31">
        <v>41883</v>
      </c>
      <c r="Q1" s="31">
        <v>41913</v>
      </c>
      <c r="R1" s="31">
        <v>41944</v>
      </c>
      <c r="S1" s="31">
        <v>41974</v>
      </c>
      <c r="T1" s="31">
        <v>42005</v>
      </c>
      <c r="U1" s="31">
        <v>42036</v>
      </c>
      <c r="V1" s="31">
        <v>42064</v>
      </c>
      <c r="W1" s="31">
        <v>42095</v>
      </c>
      <c r="X1" s="31">
        <v>42125</v>
      </c>
      <c r="Y1" s="31">
        <v>42156</v>
      </c>
      <c r="Z1" s="31">
        <v>42186</v>
      </c>
      <c r="AA1" s="31">
        <v>42217</v>
      </c>
      <c r="AB1" s="31">
        <v>42248</v>
      </c>
      <c r="AC1" s="31">
        <v>42278</v>
      </c>
      <c r="AD1" s="31">
        <v>42309</v>
      </c>
      <c r="AE1" s="31">
        <v>42339</v>
      </c>
      <c r="AF1" s="31">
        <v>42370</v>
      </c>
      <c r="AG1" s="31">
        <v>42401</v>
      </c>
      <c r="AH1" s="31">
        <v>42430</v>
      </c>
      <c r="AI1" s="31">
        <v>42461</v>
      </c>
      <c r="AJ1" s="31">
        <v>42491</v>
      </c>
      <c r="AK1" s="31">
        <v>42522</v>
      </c>
      <c r="AL1" s="31">
        <v>42552</v>
      </c>
      <c r="AM1" s="31">
        <v>42583</v>
      </c>
      <c r="AN1" s="31">
        <v>42614</v>
      </c>
      <c r="AO1" s="31">
        <v>42644</v>
      </c>
      <c r="AP1" s="31">
        <v>42675</v>
      </c>
      <c r="AQ1" s="31">
        <v>42705</v>
      </c>
      <c r="AR1" s="31">
        <v>42736</v>
      </c>
      <c r="AS1" s="31">
        <v>42767</v>
      </c>
      <c r="AT1" s="31">
        <v>42795</v>
      </c>
      <c r="AU1" s="31">
        <v>42826</v>
      </c>
      <c r="AV1" s="31">
        <v>42856</v>
      </c>
      <c r="AW1" s="31">
        <v>42887</v>
      </c>
    </row>
    <row r="2" spans="1:70">
      <c r="A2" s="3" t="s">
        <v>77</v>
      </c>
      <c r="B2" s="3">
        <v>60.37</v>
      </c>
      <c r="C2" s="3">
        <v>60.65</v>
      </c>
      <c r="D2" s="3">
        <v>60.85</v>
      </c>
      <c r="E2" s="3">
        <v>61.1</v>
      </c>
      <c r="F2" s="3">
        <v>60.65</v>
      </c>
      <c r="G2" s="3">
        <v>60.38</v>
      </c>
      <c r="H2" s="3">
        <v>60.38</v>
      </c>
      <c r="I2" s="3">
        <v>60.85</v>
      </c>
      <c r="J2" s="3">
        <v>61.15</v>
      </c>
      <c r="K2" s="3">
        <v>60.35</v>
      </c>
      <c r="L2" s="3">
        <v>60.83</v>
      </c>
      <c r="M2" s="3">
        <v>63.1</v>
      </c>
      <c r="N2" s="3">
        <v>64.25</v>
      </c>
      <c r="O2" s="3">
        <v>64.7</v>
      </c>
      <c r="P2" s="3">
        <v>65.83</v>
      </c>
      <c r="Q2" s="3">
        <v>64.180000000000007</v>
      </c>
      <c r="R2" s="3">
        <v>62.21</v>
      </c>
      <c r="S2" s="3">
        <v>60.6</v>
      </c>
      <c r="T2" s="3">
        <v>61.85</v>
      </c>
      <c r="U2" s="3">
        <v>65.150000000000006</v>
      </c>
      <c r="V2" s="3">
        <v>66.45</v>
      </c>
      <c r="W2" s="3">
        <v>63.2</v>
      </c>
      <c r="X2" s="3">
        <v>61.35</v>
      </c>
      <c r="Y2" s="8">
        <v>64.349999999999994</v>
      </c>
      <c r="Z2">
        <v>53.75</v>
      </c>
      <c r="AA2" s="3">
        <v>51.25</v>
      </c>
      <c r="AB2" s="3">
        <v>65.849999999999994</v>
      </c>
      <c r="AC2" s="8">
        <v>63.6</v>
      </c>
      <c r="AD2" s="3">
        <v>61.8</v>
      </c>
      <c r="AE2" s="3">
        <v>60.15</v>
      </c>
      <c r="AF2" s="3">
        <v>63.65</v>
      </c>
      <c r="AG2" s="3">
        <v>61.45</v>
      </c>
      <c r="AH2" s="3">
        <v>62.2</v>
      </c>
      <c r="AI2" s="3">
        <v>63.85</v>
      </c>
      <c r="AJ2" s="3">
        <v>62.75</v>
      </c>
      <c r="AK2" s="3">
        <v>67.150000000000006</v>
      </c>
      <c r="AL2" s="3">
        <v>53.85</v>
      </c>
      <c r="AM2" s="3">
        <v>71.8</v>
      </c>
      <c r="AN2" s="3">
        <v>75.45</v>
      </c>
      <c r="AO2" s="3">
        <v>72.599999999999994</v>
      </c>
      <c r="AP2" s="3">
        <v>73.2</v>
      </c>
      <c r="AQ2" s="3">
        <v>60.45</v>
      </c>
      <c r="AR2" s="3">
        <v>71.7</v>
      </c>
      <c r="AS2" s="3">
        <v>73.05</v>
      </c>
      <c r="AT2" s="3">
        <v>73.150000000000006</v>
      </c>
      <c r="AU2" s="3">
        <v>70.650000000000006</v>
      </c>
      <c r="AV2" s="3">
        <v>70.650000000000006</v>
      </c>
      <c r="AW2" s="3">
        <v>59.95</v>
      </c>
    </row>
    <row r="3" spans="1:70">
      <c r="A3" s="3" t="s">
        <v>78</v>
      </c>
      <c r="B3" s="3">
        <v>35.72</v>
      </c>
      <c r="C3" s="3">
        <v>36.299999999999997</v>
      </c>
      <c r="D3" s="3">
        <v>36.15</v>
      </c>
      <c r="E3" s="3">
        <v>36.1</v>
      </c>
      <c r="F3" s="3">
        <v>35.9</v>
      </c>
      <c r="G3" s="3">
        <v>36.33</v>
      </c>
      <c r="H3" s="3">
        <v>35.880000000000003</v>
      </c>
      <c r="I3" s="3">
        <v>36.35</v>
      </c>
      <c r="J3" s="3">
        <v>36.1</v>
      </c>
      <c r="K3" s="3">
        <v>35.5</v>
      </c>
      <c r="L3" s="3">
        <v>35.58</v>
      </c>
      <c r="M3" s="3">
        <v>32.700000000000003</v>
      </c>
      <c r="N3" s="3">
        <v>34.6</v>
      </c>
      <c r="O3" s="3">
        <v>36.5</v>
      </c>
      <c r="P3" s="3">
        <v>36.369999999999997</v>
      </c>
      <c r="Q3" s="3">
        <v>34.729999999999997</v>
      </c>
      <c r="R3" s="3">
        <v>33.21</v>
      </c>
      <c r="S3" s="3">
        <v>32.75</v>
      </c>
      <c r="T3" s="3">
        <v>34.1</v>
      </c>
      <c r="U3" s="3">
        <v>36.9</v>
      </c>
      <c r="V3" s="3">
        <v>37.1</v>
      </c>
      <c r="W3" s="3">
        <v>33.299999999999997</v>
      </c>
      <c r="X3" s="3">
        <v>33.65</v>
      </c>
      <c r="Y3" s="8">
        <v>36.9</v>
      </c>
      <c r="Z3">
        <v>28.4</v>
      </c>
      <c r="AA3" s="3">
        <v>28.25</v>
      </c>
      <c r="AB3" s="3">
        <v>37.6</v>
      </c>
      <c r="AC3" s="8">
        <v>35.75</v>
      </c>
      <c r="AD3" s="3">
        <v>35.049999999999997</v>
      </c>
      <c r="AE3" s="3">
        <v>32.6</v>
      </c>
      <c r="AF3" s="3">
        <v>35.549999999999997</v>
      </c>
      <c r="AG3" s="3">
        <v>32.200000000000003</v>
      </c>
      <c r="AH3" s="3">
        <v>31.7</v>
      </c>
      <c r="AI3" s="3">
        <v>34.549999999999997</v>
      </c>
      <c r="AJ3" s="3">
        <v>32.5</v>
      </c>
      <c r="AK3" s="3">
        <v>34.1</v>
      </c>
      <c r="AL3" s="3">
        <v>27.7</v>
      </c>
      <c r="AM3" s="3">
        <v>39.549999999999997</v>
      </c>
      <c r="AN3" s="3">
        <v>39.049999999999997</v>
      </c>
      <c r="AO3" s="3">
        <v>38</v>
      </c>
      <c r="AP3" s="3">
        <v>40.049999999999997</v>
      </c>
      <c r="AQ3" s="3">
        <v>33.200000000000003</v>
      </c>
      <c r="AR3" s="3">
        <v>39.799999999999997</v>
      </c>
      <c r="AS3" s="3">
        <v>39.6</v>
      </c>
      <c r="AT3" s="3">
        <v>38.65</v>
      </c>
      <c r="AU3" s="3">
        <v>38.75</v>
      </c>
      <c r="AV3" s="3">
        <v>37.5</v>
      </c>
      <c r="AW3" s="3">
        <v>32.65</v>
      </c>
    </row>
    <row r="4" spans="1:70">
      <c r="A4" s="3" t="s">
        <v>79</v>
      </c>
      <c r="B4" s="3">
        <f>'[5]Front Loader Services'!D20</f>
        <v>24.65</v>
      </c>
      <c r="C4" s="3">
        <f>'[5]Front Loader Services'!E20</f>
        <v>24.349999999999994</v>
      </c>
      <c r="D4" s="3">
        <f>'[5]Front Loader Services'!F20</f>
        <v>24.7</v>
      </c>
      <c r="E4" s="3">
        <f>'[5]Front Loader Services'!G20</f>
        <v>25</v>
      </c>
      <c r="F4" s="3">
        <f>'[5]Front Loader Services'!H20</f>
        <v>24.75</v>
      </c>
      <c r="G4" s="3">
        <f>'[5]Front Loader Services'!I20</f>
        <v>24.049999999999997</v>
      </c>
      <c r="H4" s="3">
        <f>'[5]Front Loader Services'!J20</f>
        <v>24.499999999999996</v>
      </c>
      <c r="I4" s="3">
        <f>'[5]Front Loader Services'!K20</f>
        <v>24.5</v>
      </c>
      <c r="J4" s="3">
        <f>'[5]Front Loader Services'!L20</f>
        <v>25.05</v>
      </c>
      <c r="K4" s="3">
        <f>'[5]Front Loader Services'!M20</f>
        <v>24.85</v>
      </c>
      <c r="L4" s="3">
        <f>'[5]Front Loader Services'!N20</f>
        <v>25.249999999999996</v>
      </c>
      <c r="M4" s="3">
        <f>'[5]Front Loader Services'!O20</f>
        <v>30.4</v>
      </c>
      <c r="N4" s="3">
        <f>'[5]Front Loader Services'!P20</f>
        <v>29.65</v>
      </c>
      <c r="O4" s="3">
        <f>'[5]Front Loader Services'!Q20</f>
        <v>28.200000000000003</v>
      </c>
      <c r="P4" s="3">
        <f>'[5]Front Loader Services'!R20</f>
        <v>29.460000000000004</v>
      </c>
      <c r="Q4" s="3">
        <f>'[5]Front Loader Services'!S20</f>
        <v>29.449999999999992</v>
      </c>
      <c r="R4" s="3">
        <v>29</v>
      </c>
      <c r="S4" s="3">
        <f>'[5]Front Loader Services'!U20</f>
        <v>27.85</v>
      </c>
      <c r="T4" s="3">
        <f>'[5]Front Loader Services'!V20</f>
        <v>27.75</v>
      </c>
      <c r="U4" s="3">
        <f>'[5]Front Loader Services'!W20</f>
        <v>28.250000000000004</v>
      </c>
      <c r="V4" s="3">
        <f>'[5]Front Loader Services'!X20</f>
        <v>29.35</v>
      </c>
      <c r="W4" s="3">
        <f>'[5]Front Loader Services'!Y20</f>
        <v>29.900000000000002</v>
      </c>
      <c r="X4" s="3">
        <f>'[5]Front Loader Services'!Z20</f>
        <v>27.700000000000006</v>
      </c>
      <c r="Y4" s="3">
        <v>27.45</v>
      </c>
      <c r="Z4" s="3">
        <f>'[5]Front Loader Services'!AB20</f>
        <v>25.349999999999998</v>
      </c>
      <c r="AA4" s="3">
        <f>'[5]Front Loader Services'!AC20</f>
        <v>23</v>
      </c>
      <c r="AB4" s="3">
        <f>'[5]Front Loader Services'!AD20</f>
        <v>28.249999999999996</v>
      </c>
      <c r="AC4" s="3">
        <f>'[5]Front Loader Services'!AE20</f>
        <v>27.849999999999998</v>
      </c>
      <c r="AD4" s="3">
        <f>'[5]Front Loader Services'!AF20</f>
        <v>26.749999999999996</v>
      </c>
      <c r="AE4" s="3">
        <f>'[5]Front Loader Services'!AG20</f>
        <v>27.549999999999994</v>
      </c>
      <c r="AF4" s="3">
        <f>'[5]Front Loader Services'!AH20</f>
        <v>28.099999999999998</v>
      </c>
      <c r="AG4" s="3">
        <v>29.25</v>
      </c>
      <c r="AH4" s="3">
        <v>30.5</v>
      </c>
      <c r="AI4" s="3">
        <v>29.3</v>
      </c>
      <c r="AJ4" s="3">
        <v>30.25</v>
      </c>
      <c r="AK4" s="3">
        <v>33.049999999999997</v>
      </c>
      <c r="AL4" s="3">
        <v>26.15</v>
      </c>
      <c r="AM4" s="3">
        <v>32.25</v>
      </c>
      <c r="AN4" s="3">
        <v>36.4</v>
      </c>
      <c r="AO4" s="3">
        <v>34.6</v>
      </c>
      <c r="AP4" s="3">
        <v>33.15</v>
      </c>
      <c r="AQ4" s="3">
        <v>27.25</v>
      </c>
      <c r="AR4" s="3">
        <v>31.9</v>
      </c>
      <c r="AS4" s="3">
        <v>33.450000000000003</v>
      </c>
      <c r="AT4" s="3">
        <v>34.5</v>
      </c>
      <c r="AU4" s="3">
        <v>31.9</v>
      </c>
      <c r="AV4" s="3">
        <v>33.15</v>
      </c>
      <c r="AW4" s="3">
        <v>27.3</v>
      </c>
    </row>
    <row r="5" spans="1:70">
      <c r="A5" s="3" t="s">
        <v>80</v>
      </c>
      <c r="B5" s="32">
        <f t="shared" ref="B5:G5" si="0">B3/B2</f>
        <v>0.59168461156203411</v>
      </c>
      <c r="C5" s="32">
        <f t="shared" si="0"/>
        <v>0.59851607584501232</v>
      </c>
      <c r="D5" s="32">
        <f t="shared" si="0"/>
        <v>0.59408381265406729</v>
      </c>
      <c r="E5" s="32">
        <f t="shared" si="0"/>
        <v>0.5908346972176759</v>
      </c>
      <c r="F5" s="32">
        <f t="shared" si="0"/>
        <v>0.59192085737840061</v>
      </c>
      <c r="G5" s="32">
        <f t="shared" si="0"/>
        <v>0.60168930109307717</v>
      </c>
      <c r="H5" s="32">
        <f>G4/H2</f>
        <v>0.39831069890692278</v>
      </c>
      <c r="I5" s="32">
        <f t="shared" ref="I5:AL5" si="1">I3/I2</f>
        <v>0.59737058340180771</v>
      </c>
      <c r="J5" s="32">
        <f t="shared" si="1"/>
        <v>0.59035159443990193</v>
      </c>
      <c r="K5" s="32">
        <f t="shared" si="1"/>
        <v>0.58823529411764708</v>
      </c>
      <c r="L5" s="32">
        <f t="shared" si="1"/>
        <v>0.58490876212395193</v>
      </c>
      <c r="M5" s="32">
        <f t="shared" si="1"/>
        <v>0.51822503961965138</v>
      </c>
      <c r="N5" s="32">
        <f t="shared" si="1"/>
        <v>0.53852140077821009</v>
      </c>
      <c r="O5" s="32">
        <f t="shared" si="1"/>
        <v>0.56414219474497684</v>
      </c>
      <c r="P5" s="32">
        <f t="shared" si="1"/>
        <v>0.55248367005924348</v>
      </c>
      <c r="Q5" s="32">
        <f t="shared" si="1"/>
        <v>0.54113430975381727</v>
      </c>
      <c r="R5" s="32">
        <f t="shared" si="1"/>
        <v>0.53383700369715481</v>
      </c>
      <c r="S5" s="32">
        <f>S3/S2</f>
        <v>0.54042904290429039</v>
      </c>
      <c r="T5" s="32">
        <f t="shared" si="1"/>
        <v>0.55133387227162489</v>
      </c>
      <c r="U5" s="32">
        <f t="shared" si="1"/>
        <v>0.5663852647735993</v>
      </c>
      <c r="V5" s="32">
        <f t="shared" si="1"/>
        <v>0.55831452219714073</v>
      </c>
      <c r="W5" s="32">
        <f t="shared" si="1"/>
        <v>0.52689873417721511</v>
      </c>
      <c r="X5" s="32">
        <f t="shared" si="1"/>
        <v>0.54849225753871222</v>
      </c>
      <c r="Y5" s="32">
        <f t="shared" si="1"/>
        <v>0.57342657342657344</v>
      </c>
      <c r="Z5" s="32">
        <f t="shared" si="1"/>
        <v>0.52837209302325583</v>
      </c>
      <c r="AA5" s="32">
        <f t="shared" si="1"/>
        <v>0.551219512195122</v>
      </c>
      <c r="AB5" s="32">
        <f t="shared" si="1"/>
        <v>0.57099468488990135</v>
      </c>
      <c r="AC5" s="32">
        <f>AC3/AC2</f>
        <v>0.56210691823899372</v>
      </c>
      <c r="AD5" s="32">
        <f t="shared" si="1"/>
        <v>0.56715210355987056</v>
      </c>
      <c r="AE5" s="32">
        <f t="shared" si="1"/>
        <v>0.5419783873649211</v>
      </c>
      <c r="AF5" s="32">
        <f t="shared" si="1"/>
        <v>0.55852317360565595</v>
      </c>
      <c r="AG5" s="32">
        <f t="shared" si="1"/>
        <v>0.52400325467860054</v>
      </c>
      <c r="AH5" s="32">
        <f t="shared" si="1"/>
        <v>0.50964630225080387</v>
      </c>
      <c r="AI5" s="32">
        <f t="shared" si="1"/>
        <v>0.54111198120595139</v>
      </c>
      <c r="AJ5" s="32">
        <f t="shared" si="1"/>
        <v>0.51792828685258963</v>
      </c>
      <c r="AK5" s="32">
        <f t="shared" si="1"/>
        <v>0.5078183172002978</v>
      </c>
      <c r="AL5" s="32">
        <f t="shared" si="1"/>
        <v>0.51439182915506032</v>
      </c>
      <c r="AM5" s="32">
        <v>0.55083565459610029</v>
      </c>
      <c r="AN5" s="32">
        <v>0.51756129887342606</v>
      </c>
      <c r="AO5" s="32">
        <v>0.52341597796143258</v>
      </c>
      <c r="AP5" s="32">
        <v>0.54713114754098358</v>
      </c>
      <c r="AQ5" s="32">
        <v>0.54921422663358155</v>
      </c>
      <c r="AR5" s="32">
        <v>0.55509065550906544</v>
      </c>
      <c r="AS5" s="32">
        <v>0.5420944558521561</v>
      </c>
      <c r="AT5" s="32">
        <v>0.5283663704716336</v>
      </c>
      <c r="AU5" s="32">
        <v>0.54847841472045289</v>
      </c>
      <c r="AV5" s="32">
        <v>0.53078556263269638</v>
      </c>
      <c r="AW5" s="32">
        <v>0.5446205170975813</v>
      </c>
    </row>
    <row r="6" spans="1:70">
      <c r="A6" s="3" t="s">
        <v>81</v>
      </c>
      <c r="B6" s="33">
        <f t="shared" ref="B6:AL6" si="2">B4/B2</f>
        <v>0.40831538843796589</v>
      </c>
      <c r="C6" s="33">
        <f t="shared" si="2"/>
        <v>0.40148392415498757</v>
      </c>
      <c r="D6" s="33">
        <f t="shared" si="2"/>
        <v>0.4059161873459326</v>
      </c>
      <c r="E6" s="33">
        <f t="shared" si="2"/>
        <v>0.40916530278232405</v>
      </c>
      <c r="F6" s="33">
        <f t="shared" si="2"/>
        <v>0.40807914262159933</v>
      </c>
      <c r="G6" s="33">
        <f t="shared" si="2"/>
        <v>0.39831069890692278</v>
      </c>
      <c r="H6" s="33">
        <f t="shared" si="2"/>
        <v>0.40576349784696913</v>
      </c>
      <c r="I6" s="33">
        <f t="shared" si="2"/>
        <v>0.40262941659819229</v>
      </c>
      <c r="J6" s="33">
        <f t="shared" si="2"/>
        <v>0.40964840556009813</v>
      </c>
      <c r="K6" s="33">
        <f t="shared" si="2"/>
        <v>0.41176470588235298</v>
      </c>
      <c r="L6" s="33">
        <f t="shared" si="2"/>
        <v>0.41509123787604796</v>
      </c>
      <c r="M6" s="33">
        <f t="shared" si="2"/>
        <v>0.48177496038034862</v>
      </c>
      <c r="N6" s="33">
        <f t="shared" si="2"/>
        <v>0.46147859922178985</v>
      </c>
      <c r="O6" s="33">
        <f t="shared" si="2"/>
        <v>0.43585780525502321</v>
      </c>
      <c r="P6" s="33">
        <f t="shared" si="2"/>
        <v>0.44751632994075657</v>
      </c>
      <c r="Q6" s="33">
        <f t="shared" si="2"/>
        <v>0.45886569024618246</v>
      </c>
      <c r="R6" s="33">
        <f t="shared" si="2"/>
        <v>0.46616299630284519</v>
      </c>
      <c r="S6" s="33">
        <f t="shared" si="2"/>
        <v>0.45957095709570961</v>
      </c>
      <c r="T6" s="33">
        <f t="shared" si="2"/>
        <v>0.44866612772837511</v>
      </c>
      <c r="U6" s="33">
        <f t="shared" si="2"/>
        <v>0.43361473522640065</v>
      </c>
      <c r="V6" s="33">
        <f t="shared" si="2"/>
        <v>0.44168547780285927</v>
      </c>
      <c r="W6" s="33">
        <f t="shared" si="2"/>
        <v>0.47310126582278483</v>
      </c>
      <c r="X6" s="33">
        <f t="shared" si="2"/>
        <v>0.45150774246128778</v>
      </c>
      <c r="Y6" s="33">
        <f t="shared" si="2"/>
        <v>0.42657342657342662</v>
      </c>
      <c r="Z6" s="33">
        <f t="shared" si="2"/>
        <v>0.47162790697674417</v>
      </c>
      <c r="AA6" s="33">
        <f t="shared" si="2"/>
        <v>0.44878048780487806</v>
      </c>
      <c r="AB6" s="33">
        <f t="shared" si="2"/>
        <v>0.42900531511009871</v>
      </c>
      <c r="AC6" s="33">
        <f t="shared" si="2"/>
        <v>0.43789308176100622</v>
      </c>
      <c r="AD6" s="33">
        <f t="shared" si="2"/>
        <v>0.43284789644012939</v>
      </c>
      <c r="AE6" s="33">
        <f t="shared" si="2"/>
        <v>0.4580216126350789</v>
      </c>
      <c r="AF6" s="33">
        <f t="shared" si="2"/>
        <v>0.44147682639434405</v>
      </c>
      <c r="AG6" s="33">
        <f t="shared" si="2"/>
        <v>0.47599674532139952</v>
      </c>
      <c r="AH6" s="33">
        <f t="shared" si="2"/>
        <v>0.49035369774919613</v>
      </c>
      <c r="AI6" s="33">
        <f t="shared" si="2"/>
        <v>0.45888801879404856</v>
      </c>
      <c r="AJ6" s="33">
        <f t="shared" si="2"/>
        <v>0.48207171314741037</v>
      </c>
      <c r="AK6" s="33">
        <f t="shared" si="2"/>
        <v>0.49218168279970209</v>
      </c>
      <c r="AL6" s="33">
        <f t="shared" si="2"/>
        <v>0.48560817084493962</v>
      </c>
      <c r="AM6" s="33">
        <v>0.44916434540389971</v>
      </c>
      <c r="AN6" s="33">
        <v>0.48243870112657383</v>
      </c>
      <c r="AO6" s="33">
        <v>0.47658402203856753</v>
      </c>
      <c r="AP6" s="33">
        <v>0.45286885245901637</v>
      </c>
      <c r="AQ6" s="33">
        <v>0.45078577336641851</v>
      </c>
      <c r="AR6" s="33">
        <v>0.44490934449093439</v>
      </c>
      <c r="AS6" s="33">
        <v>0.45790554414784401</v>
      </c>
      <c r="AT6" s="33">
        <v>0.47163362952836635</v>
      </c>
      <c r="AU6" s="33">
        <v>0.451521585279547</v>
      </c>
      <c r="AV6" s="33">
        <v>0.46921443736730356</v>
      </c>
      <c r="AW6" s="33">
        <v>0.4553794829024187</v>
      </c>
    </row>
    <row r="8" spans="1:70">
      <c r="A8" s="30" t="s">
        <v>82</v>
      </c>
      <c r="B8" s="31">
        <v>41456</v>
      </c>
      <c r="C8" s="31">
        <v>41487</v>
      </c>
      <c r="D8" s="31">
        <v>41518</v>
      </c>
      <c r="E8" s="31">
        <v>41548</v>
      </c>
      <c r="F8" s="31">
        <v>41579</v>
      </c>
      <c r="G8" s="31">
        <v>41609</v>
      </c>
      <c r="H8" s="31">
        <v>41640</v>
      </c>
      <c r="I8" s="31">
        <v>41671</v>
      </c>
      <c r="J8" s="31">
        <v>41699</v>
      </c>
      <c r="K8" s="31">
        <v>41730</v>
      </c>
      <c r="L8" s="31">
        <v>41760</v>
      </c>
      <c r="M8" s="31">
        <v>41791</v>
      </c>
      <c r="N8" s="31">
        <v>41821</v>
      </c>
      <c r="O8" s="31">
        <v>41852</v>
      </c>
      <c r="P8" s="31">
        <v>41883</v>
      </c>
      <c r="Q8" s="31">
        <v>41913</v>
      </c>
      <c r="R8" s="31">
        <v>41944</v>
      </c>
      <c r="S8" s="31">
        <v>41974</v>
      </c>
      <c r="T8" s="31">
        <v>42005</v>
      </c>
      <c r="U8" s="31">
        <v>42036</v>
      </c>
      <c r="V8" s="31">
        <v>42064</v>
      </c>
      <c r="W8" s="31">
        <v>42095</v>
      </c>
      <c r="X8" s="31">
        <v>42125</v>
      </c>
      <c r="Y8" s="31">
        <v>42156</v>
      </c>
      <c r="Z8" s="31">
        <v>42186</v>
      </c>
      <c r="AA8" s="31">
        <v>42217</v>
      </c>
      <c r="AB8" s="31">
        <v>42248</v>
      </c>
      <c r="AC8" s="31">
        <v>42278</v>
      </c>
      <c r="AD8" s="31">
        <v>42309</v>
      </c>
      <c r="AE8" s="31">
        <v>42339</v>
      </c>
      <c r="AF8" s="31">
        <v>42370</v>
      </c>
      <c r="AG8" s="31">
        <v>42401</v>
      </c>
      <c r="AH8" s="31">
        <v>42430</v>
      </c>
      <c r="AI8" s="31">
        <v>42461</v>
      </c>
      <c r="AJ8" s="31">
        <v>42491</v>
      </c>
      <c r="AK8" s="31">
        <v>42522</v>
      </c>
      <c r="AL8" s="31">
        <v>42552</v>
      </c>
      <c r="AM8" s="31">
        <v>42583</v>
      </c>
      <c r="AN8" s="31">
        <v>42614</v>
      </c>
      <c r="AO8" s="31">
        <v>42644</v>
      </c>
      <c r="AP8" s="31">
        <v>42675</v>
      </c>
      <c r="AQ8" s="31">
        <v>42705</v>
      </c>
      <c r="AR8" s="31">
        <v>42736</v>
      </c>
      <c r="AS8" s="31">
        <v>42767</v>
      </c>
      <c r="AT8" s="31">
        <v>42795</v>
      </c>
      <c r="AU8" s="31">
        <v>42826</v>
      </c>
      <c r="AV8" s="31">
        <v>42856</v>
      </c>
      <c r="AW8" s="31">
        <v>42887</v>
      </c>
    </row>
    <row r="9" spans="1:70">
      <c r="A9" s="3" t="s">
        <v>83</v>
      </c>
      <c r="B9" s="3">
        <f>'[5]Roll-Off Services'!D11</f>
        <v>27.47</v>
      </c>
      <c r="C9" s="3">
        <f>'[5]Roll-Off Services'!E11</f>
        <v>26.97</v>
      </c>
      <c r="D9" s="3">
        <f>'[5]Roll-Off Services'!F11</f>
        <v>28.57</v>
      </c>
      <c r="E9" s="3">
        <f>'[5]Roll-Off Services'!G11</f>
        <v>35.15</v>
      </c>
      <c r="F9" s="3">
        <f>'[5]Roll-Off Services'!H11</f>
        <v>19.77</v>
      </c>
      <c r="G9" s="3">
        <f>'[5]Roll-Off Services'!I11</f>
        <v>13.56</v>
      </c>
      <c r="H9" s="3">
        <f>'[5]Roll-Off Services'!J11</f>
        <v>38.380000000000003</v>
      </c>
      <c r="I9" s="3">
        <f>'[5]Roll-Off Services'!K11</f>
        <v>36.08</v>
      </c>
      <c r="J9" s="3">
        <f>'[5]Roll-Off Services'!L11</f>
        <v>20.47</v>
      </c>
      <c r="K9" s="3">
        <f>'[5]Roll-Off Services'!M11</f>
        <v>18.84</v>
      </c>
      <c r="L9" s="3">
        <f>'[5]Roll-Off Services'!N11</f>
        <v>18.02</v>
      </c>
      <c r="M9" s="3">
        <f>'[5]Roll-Off Services'!O11</f>
        <v>20.49</v>
      </c>
      <c r="N9" s="3">
        <f>'[5]Roll-Off Services'!P11</f>
        <v>31.78</v>
      </c>
      <c r="O9" s="3">
        <f>'[5]Roll-Off Services'!Q11</f>
        <v>30.17</v>
      </c>
      <c r="P9" s="3">
        <f>'[5]Roll-Off Services'!R11</f>
        <v>36.81</v>
      </c>
      <c r="Q9" s="3">
        <f>'[5]Roll-Off Services'!S11</f>
        <v>29.85</v>
      </c>
      <c r="R9" s="3">
        <v>21.48</v>
      </c>
      <c r="S9" s="3">
        <f>'[5]Roll-Off Services'!U11</f>
        <v>15.88</v>
      </c>
      <c r="T9" s="3">
        <f>'[5]Roll-Off Services'!V11</f>
        <v>28.15</v>
      </c>
      <c r="U9" s="3">
        <f>'[5]Roll-Off Services'!W11</f>
        <v>24.58</v>
      </c>
      <c r="V9" s="3">
        <f>'[5]Roll-Off Services'!X11</f>
        <v>36.979999999999997</v>
      </c>
      <c r="W9" s="3">
        <f>'[5]Roll-Off Services'!Y11</f>
        <v>42.49</v>
      </c>
      <c r="X9" s="3">
        <f>'[5]Roll-Off Services'!Z11</f>
        <v>30.73</v>
      </c>
      <c r="Y9" s="3">
        <v>43.46</v>
      </c>
      <c r="Z9" s="3">
        <v>80.58</v>
      </c>
      <c r="AA9" s="3">
        <f>'[5]Roll-Off Services'!AC11</f>
        <v>116.84</v>
      </c>
      <c r="AB9" s="3">
        <f>'[5]Roll-Off Services'!AD11</f>
        <v>57.68</v>
      </c>
      <c r="AC9" s="3">
        <f>'[5]Roll-Off Services'!AE11</f>
        <v>75.540000000000006</v>
      </c>
      <c r="AD9" s="3">
        <f>'[5]Roll-Off Services'!AF11</f>
        <v>46.82</v>
      </c>
      <c r="AE9" s="3">
        <f>'[5]Roll-Off Services'!AG11</f>
        <v>41.01</v>
      </c>
      <c r="AF9" s="3">
        <f>'[5]Roll-Off Services'!AH11</f>
        <v>24.74</v>
      </c>
      <c r="AG9" s="3">
        <f>'[5]Roll-Off Services'!AI11</f>
        <v>47.42</v>
      </c>
      <c r="AH9" s="3">
        <f>'[5]Roll-Off Services'!AJ11</f>
        <v>57.04</v>
      </c>
      <c r="AI9" s="3">
        <f>'[5]Roll-Off Services'!AK11</f>
        <v>54.129999999999995</v>
      </c>
      <c r="AJ9" s="3">
        <f>'[5]Roll-Off Services'!AL11</f>
        <v>77.67</v>
      </c>
      <c r="AK9" s="3">
        <v>97.5</v>
      </c>
      <c r="AL9" s="3">
        <v>211.43</v>
      </c>
      <c r="AM9" s="3">
        <v>83.51</v>
      </c>
      <c r="AN9" s="3">
        <v>49.34</v>
      </c>
      <c r="AO9" s="3">
        <v>60.17</v>
      </c>
      <c r="AP9" s="3">
        <v>44.98</v>
      </c>
      <c r="AQ9" s="3">
        <v>36.6</v>
      </c>
      <c r="AR9" s="3">
        <v>39.33</v>
      </c>
      <c r="AS9" s="3">
        <v>31.09</v>
      </c>
      <c r="AT9" s="3">
        <v>28.29</v>
      </c>
      <c r="AU9" s="3">
        <v>26.76</v>
      </c>
      <c r="AV9" s="3">
        <v>69.239999999999995</v>
      </c>
      <c r="AW9" s="3">
        <v>66.16</v>
      </c>
    </row>
    <row r="10" spans="1:70">
      <c r="A10" s="3" t="s">
        <v>84</v>
      </c>
      <c r="B10" s="3">
        <f>'[5]Roll-Off Services'!D2</f>
        <v>4.3600000000000003</v>
      </c>
      <c r="C10" s="3">
        <f>'[5]Roll-Off Services'!E2</f>
        <v>7.89</v>
      </c>
      <c r="D10" s="3">
        <f>'[5]Roll-Off Services'!F2</f>
        <v>3.09</v>
      </c>
      <c r="E10" s="3">
        <f>'[5]Roll-Off Services'!G2</f>
        <v>3</v>
      </c>
      <c r="F10" s="3">
        <f>'[5]Roll-Off Services'!H2</f>
        <v>2</v>
      </c>
      <c r="G10" s="3">
        <f>'[5]Roll-Off Services'!I2</f>
        <v>3.93</v>
      </c>
      <c r="H10" s="3">
        <f>'[5]Roll-Off Services'!J2</f>
        <v>14.75</v>
      </c>
      <c r="I10" s="3">
        <f>'[5]Roll-Off Services'!K2</f>
        <v>10.09</v>
      </c>
      <c r="J10" s="3">
        <f>'[5]Roll-Off Services'!L2</f>
        <v>4.5599999999999996</v>
      </c>
      <c r="K10" s="3">
        <f>'[5]Roll-Off Services'!M2</f>
        <v>3.03</v>
      </c>
      <c r="L10" s="3">
        <f>'[5]Roll-Off Services'!N2</f>
        <v>2.12</v>
      </c>
      <c r="M10" s="3">
        <f>'[5]Roll-Off Services'!O2</f>
        <v>7.39</v>
      </c>
      <c r="N10" s="3">
        <f>'[5]Roll-Off Services'!P2</f>
        <v>9.77</v>
      </c>
      <c r="O10" s="3">
        <f>'[5]Roll-Off Services'!Q2</f>
        <v>10.52</v>
      </c>
      <c r="P10" s="3">
        <f>'[5]Roll-Off Services'!R2</f>
        <v>12.85</v>
      </c>
      <c r="Q10" s="3">
        <f>'[5]Roll-Off Services'!S2</f>
        <v>9.7899999999999991</v>
      </c>
      <c r="R10" s="3">
        <f>'[5]Roll-Off Services'!T2</f>
        <v>2.68</v>
      </c>
      <c r="S10" s="3">
        <f>'[5]Roll-Off Services'!U2</f>
        <v>2.29</v>
      </c>
      <c r="T10" s="3">
        <f>'[5]Roll-Off Services'!V2</f>
        <v>4.2300000000000004</v>
      </c>
      <c r="U10" s="3">
        <f>'[5]Roll-Off Services'!W2</f>
        <v>5.36</v>
      </c>
      <c r="V10" s="3">
        <f>'[5]Roll-Off Services'!X2</f>
        <v>5.19</v>
      </c>
      <c r="W10" s="3">
        <f>'[5]Roll-Off Services'!Y2</f>
        <v>11.41</v>
      </c>
      <c r="X10" s="3">
        <f>'[5]Roll-Off Services'!Z2</f>
        <v>3.97</v>
      </c>
      <c r="Y10" s="3">
        <f>'[5]Roll-Off Services'!AA2</f>
        <v>11.19</v>
      </c>
      <c r="Z10" s="3">
        <f>'[5]Roll-Off Services'!AB2</f>
        <v>9.67</v>
      </c>
      <c r="AA10" s="3">
        <f>'[5]Roll-Off Services'!AC2</f>
        <v>17.23</v>
      </c>
      <c r="AB10" s="3">
        <f>'[5]Roll-Off Services'!AD2</f>
        <v>9.34</v>
      </c>
      <c r="AC10" s="3">
        <f>'[5]Roll-Off Services'!AE2</f>
        <v>14.66</v>
      </c>
      <c r="AD10" s="3">
        <f>'[5]Roll-Off Services'!AF2</f>
        <v>11.32</v>
      </c>
      <c r="AE10" s="3">
        <f>'[5]Roll-Off Services'!AG2</f>
        <v>4.8600000000000003</v>
      </c>
      <c r="AF10" s="3">
        <f>'[5]Roll-Off Services'!AH2</f>
        <v>8.98</v>
      </c>
      <c r="AG10" s="3">
        <f>'[5]Roll-Off Services'!AI2</f>
        <v>7.02</v>
      </c>
      <c r="AH10" s="3">
        <f>'[5]Roll-Off Services'!AJ2</f>
        <v>8.08</v>
      </c>
      <c r="AI10" s="3">
        <f>'[5]Roll-Off Services'!AK2</f>
        <v>14.51</v>
      </c>
      <c r="AJ10" s="3">
        <f>'[5]Roll-Off Services'!AL2</f>
        <v>30.61</v>
      </c>
      <c r="AK10" s="3">
        <f>AK9-AK11</f>
        <v>30.25</v>
      </c>
      <c r="AL10" s="3">
        <v>27.95</v>
      </c>
      <c r="AM10" s="3">
        <v>24.12</v>
      </c>
      <c r="AN10" s="3">
        <v>12.01</v>
      </c>
      <c r="AO10" s="3">
        <v>16.36</v>
      </c>
      <c r="AP10" s="3">
        <v>16.14</v>
      </c>
      <c r="AQ10" s="3">
        <v>12.650000000000002</v>
      </c>
      <c r="AR10" s="3">
        <v>10.039999999999999</v>
      </c>
      <c r="AS10" s="3">
        <v>4.09</v>
      </c>
      <c r="AT10" s="3">
        <v>4.8599999999999994</v>
      </c>
      <c r="AU10" s="3">
        <v>5.5300000000000011</v>
      </c>
      <c r="AV10" s="3">
        <v>32.44</v>
      </c>
      <c r="AW10" s="3">
        <v>21.979999999999997</v>
      </c>
    </row>
    <row r="11" spans="1:70">
      <c r="A11" s="3" t="s">
        <v>85</v>
      </c>
      <c r="B11" s="3">
        <f t="shared" ref="B11:AJ11" si="3">B9-B10</f>
        <v>23.11</v>
      </c>
      <c r="C11" s="3">
        <f t="shared" si="3"/>
        <v>19.079999999999998</v>
      </c>
      <c r="D11" s="3">
        <f t="shared" si="3"/>
        <v>25.48</v>
      </c>
      <c r="E11" s="3">
        <f t="shared" si="3"/>
        <v>32.15</v>
      </c>
      <c r="F11" s="3">
        <f t="shared" si="3"/>
        <v>17.77</v>
      </c>
      <c r="G11" s="3">
        <f t="shared" si="3"/>
        <v>9.6300000000000008</v>
      </c>
      <c r="H11" s="3">
        <f t="shared" si="3"/>
        <v>23.630000000000003</v>
      </c>
      <c r="I11" s="3">
        <f t="shared" si="3"/>
        <v>25.99</v>
      </c>
      <c r="J11" s="3">
        <f t="shared" si="3"/>
        <v>15.91</v>
      </c>
      <c r="K11" s="3">
        <f t="shared" si="3"/>
        <v>15.81</v>
      </c>
      <c r="L11" s="3">
        <f t="shared" si="3"/>
        <v>15.899999999999999</v>
      </c>
      <c r="M11" s="3">
        <f t="shared" si="3"/>
        <v>13.099999999999998</v>
      </c>
      <c r="N11" s="3">
        <f t="shared" si="3"/>
        <v>22.01</v>
      </c>
      <c r="O11" s="3">
        <f t="shared" si="3"/>
        <v>19.650000000000002</v>
      </c>
      <c r="P11" s="3">
        <f t="shared" si="3"/>
        <v>23.96</v>
      </c>
      <c r="Q11" s="3">
        <f t="shared" si="3"/>
        <v>20.060000000000002</v>
      </c>
      <c r="R11" s="3">
        <v>18.8</v>
      </c>
      <c r="S11" s="3">
        <f t="shared" si="3"/>
        <v>13.59</v>
      </c>
      <c r="T11" s="3">
        <f t="shared" si="3"/>
        <v>23.919999999999998</v>
      </c>
      <c r="U11" s="3">
        <f t="shared" si="3"/>
        <v>19.22</v>
      </c>
      <c r="V11" s="3">
        <f t="shared" si="3"/>
        <v>31.789999999999996</v>
      </c>
      <c r="W11" s="3">
        <f t="shared" si="3"/>
        <v>31.080000000000002</v>
      </c>
      <c r="X11" s="3">
        <f t="shared" si="3"/>
        <v>26.76</v>
      </c>
      <c r="Y11" s="3">
        <v>32.270000000000003</v>
      </c>
      <c r="Z11" s="3">
        <v>70.91</v>
      </c>
      <c r="AA11" s="3">
        <f t="shared" si="3"/>
        <v>99.61</v>
      </c>
      <c r="AB11" s="3">
        <f t="shared" si="3"/>
        <v>48.34</v>
      </c>
      <c r="AC11" s="3">
        <f t="shared" si="3"/>
        <v>60.88000000000001</v>
      </c>
      <c r="AD11" s="3">
        <f t="shared" si="3"/>
        <v>35.5</v>
      </c>
      <c r="AE11" s="3">
        <f t="shared" si="3"/>
        <v>36.15</v>
      </c>
      <c r="AF11" s="3">
        <f t="shared" si="3"/>
        <v>15.759999999999998</v>
      </c>
      <c r="AG11" s="3">
        <f t="shared" si="3"/>
        <v>40.400000000000006</v>
      </c>
      <c r="AH11" s="3">
        <f t="shared" si="3"/>
        <v>48.96</v>
      </c>
      <c r="AI11" s="3">
        <f t="shared" si="3"/>
        <v>39.619999999999997</v>
      </c>
      <c r="AJ11" s="3">
        <f t="shared" si="3"/>
        <v>47.06</v>
      </c>
      <c r="AK11" s="3">
        <v>67.25</v>
      </c>
      <c r="AL11" s="3">
        <v>183.48</v>
      </c>
      <c r="AM11" s="3">
        <v>59.39</v>
      </c>
      <c r="AN11" s="3">
        <v>37.33</v>
      </c>
      <c r="AO11" s="3">
        <v>43.81</v>
      </c>
      <c r="AP11" s="3">
        <v>28.84</v>
      </c>
      <c r="AQ11" s="3">
        <v>23.95</v>
      </c>
      <c r="AR11" s="3">
        <v>29.29</v>
      </c>
      <c r="AS11" s="3">
        <v>27</v>
      </c>
      <c r="AT11" s="3">
        <v>23.43</v>
      </c>
      <c r="AU11" s="3">
        <v>21.23</v>
      </c>
      <c r="AV11" s="3">
        <v>36.799999999999997</v>
      </c>
      <c r="AW11" s="3">
        <v>44.18</v>
      </c>
    </row>
    <row r="12" spans="1:70">
      <c r="A12" s="3" t="s">
        <v>86</v>
      </c>
      <c r="B12" s="33">
        <f t="shared" ref="B12:AL12" si="4">B10/B9</f>
        <v>0.15871860211139427</v>
      </c>
      <c r="C12" s="33">
        <f t="shared" si="4"/>
        <v>0.29254727474972192</v>
      </c>
      <c r="D12" s="33">
        <f t="shared" si="4"/>
        <v>0.10815540777038851</v>
      </c>
      <c r="E12" s="33">
        <f t="shared" si="4"/>
        <v>8.5348506401137988E-2</v>
      </c>
      <c r="F12" s="33">
        <f t="shared" si="4"/>
        <v>0.10116337885685382</v>
      </c>
      <c r="G12" s="33">
        <f t="shared" si="4"/>
        <v>0.28982300884955753</v>
      </c>
      <c r="H12" s="33">
        <f t="shared" si="4"/>
        <v>0.38431474726420006</v>
      </c>
      <c r="I12" s="33">
        <f t="shared" si="4"/>
        <v>0.27965631929046564</v>
      </c>
      <c r="J12" s="33">
        <f t="shared" si="4"/>
        <v>0.22276502198339032</v>
      </c>
      <c r="K12" s="33">
        <f t="shared" si="4"/>
        <v>0.160828025477707</v>
      </c>
      <c r="L12" s="33">
        <f t="shared" si="4"/>
        <v>0.11764705882352942</v>
      </c>
      <c r="M12" s="33">
        <f t="shared" si="4"/>
        <v>0.36066373840898003</v>
      </c>
      <c r="N12" s="33">
        <f t="shared" si="4"/>
        <v>0.30742605412208934</v>
      </c>
      <c r="O12" s="33">
        <f t="shared" si="4"/>
        <v>0.34869075240304936</v>
      </c>
      <c r="P12" s="33">
        <f t="shared" si="4"/>
        <v>0.34908992121706056</v>
      </c>
      <c r="Q12" s="33">
        <f t="shared" si="4"/>
        <v>0.3279731993299832</v>
      </c>
      <c r="R12" s="33">
        <f t="shared" si="4"/>
        <v>0.12476722532588455</v>
      </c>
      <c r="S12" s="33">
        <f t="shared" si="4"/>
        <v>0.1442065491183879</v>
      </c>
      <c r="T12" s="33">
        <f t="shared" si="4"/>
        <v>0.15026642984014213</v>
      </c>
      <c r="U12" s="33">
        <f t="shared" si="4"/>
        <v>0.21806346623270956</v>
      </c>
      <c r="V12" s="33">
        <f t="shared" si="4"/>
        <v>0.14034613304488916</v>
      </c>
      <c r="W12" s="33">
        <f t="shared" si="4"/>
        <v>0.26853377265238881</v>
      </c>
      <c r="X12" s="33">
        <f t="shared" si="4"/>
        <v>0.12918971688903352</v>
      </c>
      <c r="Y12" s="33">
        <f t="shared" si="4"/>
        <v>0.257478140819144</v>
      </c>
      <c r="Z12" s="33">
        <f t="shared" si="4"/>
        <v>0.12000496401092083</v>
      </c>
      <c r="AA12" s="33">
        <f t="shared" si="4"/>
        <v>0.14746662102019856</v>
      </c>
      <c r="AB12" s="33">
        <f t="shared" si="4"/>
        <v>0.16192787794729543</v>
      </c>
      <c r="AC12" s="33">
        <f t="shared" si="4"/>
        <v>0.19406936722266346</v>
      </c>
      <c r="AD12" s="33">
        <f t="shared" si="4"/>
        <v>0.24177701836821872</v>
      </c>
      <c r="AE12" s="33">
        <f t="shared" si="4"/>
        <v>0.11850768105340162</v>
      </c>
      <c r="AF12" s="33">
        <f t="shared" si="4"/>
        <v>0.36297493936944225</v>
      </c>
      <c r="AG12" s="33">
        <f t="shared" si="4"/>
        <v>0.14803880219316742</v>
      </c>
      <c r="AH12" s="33">
        <f t="shared" si="4"/>
        <v>0.14165497896213183</v>
      </c>
      <c r="AI12" s="33">
        <f t="shared" si="4"/>
        <v>0.26805837797893961</v>
      </c>
      <c r="AJ12" s="33">
        <f t="shared" si="4"/>
        <v>0.39410325737092827</v>
      </c>
      <c r="AK12" s="33">
        <f t="shared" si="4"/>
        <v>0.31025641025641026</v>
      </c>
      <c r="AL12" s="33">
        <f t="shared" si="4"/>
        <v>0.13219505273613016</v>
      </c>
      <c r="AM12" s="33">
        <v>0.28882768530714886</v>
      </c>
      <c r="AN12" s="33">
        <v>0.24341305229023102</v>
      </c>
      <c r="AO12" s="33">
        <v>0.2718962938341366</v>
      </c>
      <c r="AP12" s="33">
        <v>0.35882614495331261</v>
      </c>
      <c r="AQ12" s="33">
        <v>0.3456284153005465</v>
      </c>
      <c r="AR12" s="33">
        <v>0.25527587083651154</v>
      </c>
      <c r="AS12" s="33">
        <v>0.13155355419749115</v>
      </c>
      <c r="AT12" s="33">
        <v>0.17179215270413573</v>
      </c>
      <c r="AU12" s="33">
        <v>0.20665171898355758</v>
      </c>
      <c r="AV12" s="33">
        <v>0.4685153090699018</v>
      </c>
      <c r="AW12" s="33">
        <v>0.33222490931076176</v>
      </c>
    </row>
    <row r="13" spans="1:70">
      <c r="A13" s="3" t="s">
        <v>87</v>
      </c>
      <c r="B13" s="33">
        <f t="shared" ref="B13:AL13" si="5">B11/B9</f>
        <v>0.84128139788860579</v>
      </c>
      <c r="C13" s="33">
        <f t="shared" si="5"/>
        <v>0.70745272525027803</v>
      </c>
      <c r="D13" s="33">
        <f t="shared" si="5"/>
        <v>0.89184459222961143</v>
      </c>
      <c r="E13" s="33">
        <f t="shared" si="5"/>
        <v>0.914651493598862</v>
      </c>
      <c r="F13" s="33">
        <f t="shared" si="5"/>
        <v>0.89883662114314622</v>
      </c>
      <c r="G13" s="33">
        <f t="shared" si="5"/>
        <v>0.71017699115044253</v>
      </c>
      <c r="H13" s="33">
        <f t="shared" si="5"/>
        <v>0.61568525273579988</v>
      </c>
      <c r="I13" s="33">
        <f t="shared" si="5"/>
        <v>0.72034368070953436</v>
      </c>
      <c r="J13" s="33">
        <f t="shared" si="5"/>
        <v>0.77723497801660968</v>
      </c>
      <c r="K13" s="33">
        <f t="shared" si="5"/>
        <v>0.83917197452229297</v>
      </c>
      <c r="L13" s="33">
        <f t="shared" si="5"/>
        <v>0.88235294117647056</v>
      </c>
      <c r="M13" s="33">
        <f t="shared" si="5"/>
        <v>0.63933626159101997</v>
      </c>
      <c r="N13" s="33">
        <f t="shared" si="5"/>
        <v>0.69257394587791066</v>
      </c>
      <c r="O13" s="33">
        <f t="shared" si="5"/>
        <v>0.65130924759695064</v>
      </c>
      <c r="P13" s="33">
        <f t="shared" si="5"/>
        <v>0.65091007878293938</v>
      </c>
      <c r="Q13" s="33">
        <f t="shared" si="5"/>
        <v>0.67202680067001674</v>
      </c>
      <c r="R13" s="33">
        <f t="shared" si="5"/>
        <v>0.87523277467411542</v>
      </c>
      <c r="S13" s="33">
        <f t="shared" si="5"/>
        <v>0.85579345088161207</v>
      </c>
      <c r="T13" s="33">
        <f t="shared" si="5"/>
        <v>0.84973357015985784</v>
      </c>
      <c r="U13" s="33">
        <f t="shared" si="5"/>
        <v>0.78193653376729044</v>
      </c>
      <c r="V13" s="33">
        <f t="shared" si="5"/>
        <v>0.85965386695511081</v>
      </c>
      <c r="W13" s="33">
        <f t="shared" si="5"/>
        <v>0.73146622734761124</v>
      </c>
      <c r="X13" s="33">
        <f t="shared" si="5"/>
        <v>0.87081028311096653</v>
      </c>
      <c r="Y13" s="33">
        <f t="shared" si="5"/>
        <v>0.742521859180856</v>
      </c>
      <c r="Z13" s="33">
        <f t="shared" si="5"/>
        <v>0.87999503598907913</v>
      </c>
      <c r="AA13" s="33">
        <f t="shared" si="5"/>
        <v>0.85253337897980142</v>
      </c>
      <c r="AB13" s="33">
        <f t="shared" si="5"/>
        <v>0.83807212205270465</v>
      </c>
      <c r="AC13" s="33">
        <f t="shared" si="5"/>
        <v>0.80593063277733656</v>
      </c>
      <c r="AD13" s="33">
        <f t="shared" si="5"/>
        <v>0.75822298163178126</v>
      </c>
      <c r="AE13" s="33">
        <f t="shared" si="5"/>
        <v>0.88149231894659841</v>
      </c>
      <c r="AF13" s="33">
        <f t="shared" si="5"/>
        <v>0.63702506063055775</v>
      </c>
      <c r="AG13" s="33">
        <f t="shared" si="5"/>
        <v>0.85196119780683266</v>
      </c>
      <c r="AH13" s="33">
        <f t="shared" si="5"/>
        <v>0.85834502103786814</v>
      </c>
      <c r="AI13" s="33">
        <f t="shared" si="5"/>
        <v>0.73194162202106039</v>
      </c>
      <c r="AJ13" s="33">
        <f t="shared" si="5"/>
        <v>0.60589674262907178</v>
      </c>
      <c r="AK13" s="33">
        <f t="shared" si="5"/>
        <v>0.68974358974358974</v>
      </c>
      <c r="AL13" s="33">
        <f t="shared" si="5"/>
        <v>0.86780494726386981</v>
      </c>
      <c r="AM13" s="33">
        <v>0.71117231469285114</v>
      </c>
      <c r="AN13" s="33">
        <v>0.75658694770976886</v>
      </c>
      <c r="AO13" s="33">
        <v>0.7281037061658634</v>
      </c>
      <c r="AP13" s="33">
        <v>0.64117385504668745</v>
      </c>
      <c r="AQ13" s="33">
        <v>0.65437158469945356</v>
      </c>
      <c r="AR13" s="33">
        <v>0.7447241291634884</v>
      </c>
      <c r="AS13" s="33">
        <v>0.86844644580250885</v>
      </c>
      <c r="AT13" s="33">
        <v>0.82820784729586427</v>
      </c>
      <c r="AU13" s="33">
        <v>0.79334828101644239</v>
      </c>
      <c r="AV13" s="33">
        <v>0.5314846909300982</v>
      </c>
      <c r="AW13" s="33">
        <v>0.66777509068923824</v>
      </c>
    </row>
    <row r="15" spans="1:70">
      <c r="A15" s="30" t="s">
        <v>88</v>
      </c>
      <c r="B15" s="31">
        <v>41456</v>
      </c>
      <c r="C15" s="31">
        <v>41487</v>
      </c>
      <c r="D15" s="31">
        <v>41518</v>
      </c>
      <c r="E15" s="31">
        <v>41548</v>
      </c>
      <c r="F15" s="31">
        <v>41579</v>
      </c>
      <c r="G15" s="31">
        <v>41609</v>
      </c>
      <c r="H15" s="31">
        <v>41640</v>
      </c>
      <c r="I15" s="31">
        <v>41671</v>
      </c>
      <c r="J15" s="31">
        <v>41699</v>
      </c>
      <c r="K15" s="31">
        <v>41730</v>
      </c>
      <c r="L15" s="31">
        <v>41760</v>
      </c>
      <c r="M15" s="31">
        <v>41791</v>
      </c>
      <c r="N15" s="31">
        <v>41821</v>
      </c>
      <c r="O15" s="31">
        <v>41852</v>
      </c>
      <c r="P15" s="31">
        <v>41883</v>
      </c>
      <c r="Q15" s="31">
        <v>41913</v>
      </c>
      <c r="R15" s="31">
        <v>41944</v>
      </c>
      <c r="S15" s="31">
        <v>41974</v>
      </c>
      <c r="T15" s="31">
        <v>42005</v>
      </c>
      <c r="U15" s="31">
        <v>42036</v>
      </c>
      <c r="V15" s="31">
        <v>42064</v>
      </c>
      <c r="W15" s="31">
        <v>42095</v>
      </c>
      <c r="X15" s="31">
        <v>42125</v>
      </c>
      <c r="Y15" s="31">
        <v>42156</v>
      </c>
      <c r="Z15" s="31">
        <v>42186</v>
      </c>
      <c r="AA15" s="31">
        <v>42217</v>
      </c>
      <c r="AB15" s="31">
        <v>42248</v>
      </c>
      <c r="AC15" s="31">
        <v>42278</v>
      </c>
      <c r="AD15" s="31">
        <v>42309</v>
      </c>
      <c r="AE15" s="31">
        <v>42339</v>
      </c>
      <c r="AF15" s="31">
        <v>42370</v>
      </c>
      <c r="AG15" s="31">
        <v>42401</v>
      </c>
      <c r="AH15" s="31">
        <v>42430</v>
      </c>
      <c r="AI15" s="31">
        <v>42461</v>
      </c>
      <c r="AJ15" s="31">
        <v>42491</v>
      </c>
      <c r="AK15" s="31">
        <v>42522</v>
      </c>
      <c r="AL15" s="31">
        <v>42552</v>
      </c>
      <c r="AM15" s="31">
        <v>42583</v>
      </c>
      <c r="AN15" s="31">
        <v>42614</v>
      </c>
      <c r="AO15" s="31">
        <v>42644</v>
      </c>
      <c r="AP15" s="31">
        <v>42675</v>
      </c>
      <c r="AQ15" s="31">
        <v>42705</v>
      </c>
      <c r="AR15" s="31">
        <v>42736</v>
      </c>
      <c r="AS15" s="31">
        <v>42767</v>
      </c>
      <c r="AT15" s="31">
        <v>42795</v>
      </c>
      <c r="AU15" s="31">
        <v>42826</v>
      </c>
      <c r="AV15" s="31">
        <v>42856</v>
      </c>
      <c r="AW15" s="31">
        <v>42887</v>
      </c>
      <c r="AX15" s="160">
        <v>42917</v>
      </c>
      <c r="AY15" s="160">
        <v>42948</v>
      </c>
      <c r="AZ15" s="160">
        <v>42979</v>
      </c>
      <c r="BA15" s="160">
        <v>43009</v>
      </c>
      <c r="BB15" s="160">
        <v>43040</v>
      </c>
      <c r="BC15" s="160">
        <v>43070</v>
      </c>
      <c r="BD15" s="160">
        <v>43101</v>
      </c>
      <c r="BE15" s="160">
        <v>43132</v>
      </c>
      <c r="BF15" s="160">
        <v>43160</v>
      </c>
      <c r="BG15" s="160">
        <v>43191</v>
      </c>
      <c r="BH15" s="160">
        <v>43221</v>
      </c>
      <c r="BI15" s="160">
        <v>43252</v>
      </c>
      <c r="BJ15" s="160">
        <v>43282</v>
      </c>
      <c r="BK15" s="160">
        <v>43313</v>
      </c>
      <c r="BL15" s="160">
        <v>43344</v>
      </c>
      <c r="BM15" s="160">
        <v>43374</v>
      </c>
      <c r="BN15" s="160">
        <v>43405</v>
      </c>
      <c r="BO15" s="160">
        <v>43435</v>
      </c>
      <c r="BP15" s="160">
        <v>43466</v>
      </c>
      <c r="BQ15" s="160">
        <v>43497</v>
      </c>
      <c r="BR15" s="160">
        <v>43525</v>
      </c>
    </row>
    <row r="16" spans="1:70">
      <c r="A16" s="3" t="s">
        <v>89</v>
      </c>
      <c r="B16" s="3">
        <f t="shared" ref="B16:AL18" si="6">B2+B9</f>
        <v>87.84</v>
      </c>
      <c r="C16" s="3">
        <f t="shared" si="6"/>
        <v>87.62</v>
      </c>
      <c r="D16" s="3">
        <f t="shared" si="6"/>
        <v>89.42</v>
      </c>
      <c r="E16" s="3">
        <f t="shared" si="6"/>
        <v>96.25</v>
      </c>
      <c r="F16" s="3">
        <f t="shared" si="6"/>
        <v>80.42</v>
      </c>
      <c r="G16" s="3">
        <f t="shared" si="6"/>
        <v>73.94</v>
      </c>
      <c r="H16" s="3">
        <f t="shared" si="6"/>
        <v>98.76</v>
      </c>
      <c r="I16" s="3">
        <f t="shared" si="6"/>
        <v>96.93</v>
      </c>
      <c r="J16" s="3">
        <f t="shared" si="6"/>
        <v>81.62</v>
      </c>
      <c r="K16" s="3">
        <f t="shared" si="6"/>
        <v>79.19</v>
      </c>
      <c r="L16" s="3">
        <f t="shared" si="6"/>
        <v>78.849999999999994</v>
      </c>
      <c r="M16" s="3">
        <f t="shared" si="6"/>
        <v>83.59</v>
      </c>
      <c r="N16" s="3">
        <f t="shared" si="6"/>
        <v>96.03</v>
      </c>
      <c r="O16" s="3">
        <f t="shared" si="6"/>
        <v>94.87</v>
      </c>
      <c r="P16" s="3">
        <f t="shared" si="6"/>
        <v>102.64</v>
      </c>
      <c r="Q16" s="3">
        <f>Q2+Q9</f>
        <v>94.03</v>
      </c>
      <c r="R16" s="3">
        <f>R2+R9</f>
        <v>83.69</v>
      </c>
      <c r="S16" s="3">
        <f t="shared" si="6"/>
        <v>76.48</v>
      </c>
      <c r="T16" s="3">
        <f t="shared" si="6"/>
        <v>90</v>
      </c>
      <c r="U16" s="3">
        <f t="shared" si="6"/>
        <v>89.73</v>
      </c>
      <c r="V16" s="3">
        <f t="shared" si="6"/>
        <v>103.43</v>
      </c>
      <c r="W16" s="3">
        <f t="shared" si="6"/>
        <v>105.69</v>
      </c>
      <c r="X16" s="3">
        <f t="shared" si="6"/>
        <v>92.08</v>
      </c>
      <c r="Y16" s="3">
        <f t="shared" si="6"/>
        <v>107.81</v>
      </c>
      <c r="Z16" s="3">
        <f t="shared" si="6"/>
        <v>134.32999999999998</v>
      </c>
      <c r="AA16" s="3">
        <f t="shared" si="6"/>
        <v>168.09</v>
      </c>
      <c r="AB16" s="3">
        <f t="shared" si="6"/>
        <v>123.53</v>
      </c>
      <c r="AC16" s="3">
        <f t="shared" si="6"/>
        <v>139.14000000000001</v>
      </c>
      <c r="AD16" s="3">
        <f t="shared" si="6"/>
        <v>108.62</v>
      </c>
      <c r="AE16" s="3">
        <f t="shared" si="6"/>
        <v>101.16</v>
      </c>
      <c r="AF16" s="3">
        <f t="shared" si="6"/>
        <v>88.39</v>
      </c>
      <c r="AG16" s="3">
        <f t="shared" si="6"/>
        <v>108.87</v>
      </c>
      <c r="AH16" s="3">
        <f t="shared" si="6"/>
        <v>119.24000000000001</v>
      </c>
      <c r="AI16" s="3">
        <f t="shared" si="6"/>
        <v>117.97999999999999</v>
      </c>
      <c r="AJ16" s="3">
        <f t="shared" si="6"/>
        <v>140.42000000000002</v>
      </c>
      <c r="AK16" s="3">
        <f t="shared" si="6"/>
        <v>164.65</v>
      </c>
      <c r="AL16" s="3">
        <f t="shared" si="6"/>
        <v>265.28000000000003</v>
      </c>
      <c r="AM16" s="3">
        <v>155.31</v>
      </c>
      <c r="AN16" s="3">
        <v>124.79</v>
      </c>
      <c r="AO16" s="3">
        <v>132.76999999999998</v>
      </c>
      <c r="AP16" s="3">
        <v>118.18</v>
      </c>
      <c r="AQ16" s="3">
        <v>97.050000000000011</v>
      </c>
      <c r="AR16" s="3">
        <v>111.03</v>
      </c>
      <c r="AS16" s="3">
        <v>104.14</v>
      </c>
      <c r="AT16" s="3">
        <v>101.44</v>
      </c>
      <c r="AU16" s="3">
        <v>97.410000000000011</v>
      </c>
      <c r="AV16" s="3">
        <v>139.88999999999999</v>
      </c>
      <c r="AW16" s="3">
        <v>126.11</v>
      </c>
      <c r="AX16" s="3">
        <v>270.01</v>
      </c>
      <c r="AY16" s="3">
        <v>283.58</v>
      </c>
      <c r="AZ16" s="3">
        <v>238.26999999999998</v>
      </c>
      <c r="BA16" s="3">
        <v>259.92</v>
      </c>
      <c r="BB16" s="3">
        <v>243.87</v>
      </c>
      <c r="BC16" s="3">
        <v>218.22</v>
      </c>
      <c r="BD16" s="3">
        <v>208.87999999999997</v>
      </c>
      <c r="BE16" s="3">
        <v>193.74999999999997</v>
      </c>
      <c r="BF16" s="3">
        <v>229.52999999999997</v>
      </c>
      <c r="BG16" s="3">
        <v>231.26</v>
      </c>
      <c r="BH16" s="3">
        <v>240</v>
      </c>
      <c r="BI16" s="3">
        <v>238.86</v>
      </c>
      <c r="BJ16" s="3">
        <v>278.17</v>
      </c>
      <c r="BK16" s="3">
        <v>329.76</v>
      </c>
      <c r="BL16" s="3">
        <v>305.08</v>
      </c>
      <c r="BM16" s="3">
        <v>283.01</v>
      </c>
      <c r="BN16" s="3">
        <v>273.94</v>
      </c>
      <c r="BO16" s="3">
        <v>271.98999999999995</v>
      </c>
      <c r="BP16" s="3">
        <v>279.36</v>
      </c>
      <c r="BQ16" s="3">
        <v>228.41000000000003</v>
      </c>
      <c r="BR16" s="3">
        <v>282.42</v>
      </c>
    </row>
    <row r="17" spans="1:70">
      <c r="A17" s="3" t="s">
        <v>90</v>
      </c>
      <c r="B17" s="3">
        <f t="shared" si="6"/>
        <v>40.08</v>
      </c>
      <c r="C17" s="3">
        <f t="shared" si="6"/>
        <v>44.19</v>
      </c>
      <c r="D17" s="3">
        <f t="shared" si="6"/>
        <v>39.239999999999995</v>
      </c>
      <c r="E17" s="3">
        <f t="shared" si="6"/>
        <v>39.1</v>
      </c>
      <c r="F17" s="3">
        <f t="shared" si="6"/>
        <v>37.9</v>
      </c>
      <c r="G17" s="3">
        <f t="shared" si="6"/>
        <v>40.26</v>
      </c>
      <c r="H17" s="3">
        <f t="shared" si="6"/>
        <v>50.63</v>
      </c>
      <c r="I17" s="3">
        <f t="shared" si="6"/>
        <v>46.44</v>
      </c>
      <c r="J17" s="3">
        <f t="shared" si="6"/>
        <v>40.660000000000004</v>
      </c>
      <c r="K17" s="3">
        <f t="shared" si="6"/>
        <v>38.53</v>
      </c>
      <c r="L17" s="3">
        <f t="shared" si="6"/>
        <v>37.699999999999996</v>
      </c>
      <c r="M17" s="3">
        <f t="shared" si="6"/>
        <v>40.090000000000003</v>
      </c>
      <c r="N17" s="3">
        <f t="shared" si="6"/>
        <v>44.370000000000005</v>
      </c>
      <c r="O17" s="3">
        <f t="shared" si="6"/>
        <v>47.019999999999996</v>
      </c>
      <c r="P17" s="3">
        <f t="shared" si="6"/>
        <v>49.22</v>
      </c>
      <c r="Q17" s="3">
        <f t="shared" si="6"/>
        <v>44.519999999999996</v>
      </c>
      <c r="R17" s="3">
        <f t="shared" si="6"/>
        <v>35.89</v>
      </c>
      <c r="S17" s="3">
        <f t="shared" si="6"/>
        <v>35.04</v>
      </c>
      <c r="T17" s="3">
        <f t="shared" si="6"/>
        <v>38.33</v>
      </c>
      <c r="U17" s="3">
        <f t="shared" si="6"/>
        <v>42.26</v>
      </c>
      <c r="V17" s="3">
        <f t="shared" si="6"/>
        <v>42.29</v>
      </c>
      <c r="W17" s="3">
        <f t="shared" si="6"/>
        <v>44.709999999999994</v>
      </c>
      <c r="X17" s="3">
        <f t="shared" si="6"/>
        <v>37.619999999999997</v>
      </c>
      <c r="Y17" s="3">
        <f t="shared" si="6"/>
        <v>48.089999999999996</v>
      </c>
      <c r="Z17" s="3">
        <f t="shared" si="6"/>
        <v>38.07</v>
      </c>
      <c r="AA17" s="3">
        <f t="shared" si="6"/>
        <v>45.480000000000004</v>
      </c>
      <c r="AB17" s="3">
        <f t="shared" si="6"/>
        <v>46.94</v>
      </c>
      <c r="AC17" s="3">
        <f t="shared" si="6"/>
        <v>50.41</v>
      </c>
      <c r="AD17" s="3">
        <f t="shared" si="6"/>
        <v>46.37</v>
      </c>
      <c r="AE17" s="3">
        <f t="shared" si="6"/>
        <v>37.46</v>
      </c>
      <c r="AF17" s="3">
        <f t="shared" si="6"/>
        <v>44.53</v>
      </c>
      <c r="AG17" s="3">
        <f t="shared" si="6"/>
        <v>39.22</v>
      </c>
      <c r="AH17" s="3">
        <f t="shared" si="6"/>
        <v>39.78</v>
      </c>
      <c r="AI17" s="3">
        <f t="shared" si="6"/>
        <v>49.059999999999995</v>
      </c>
      <c r="AJ17" s="3">
        <f t="shared" si="6"/>
        <v>63.11</v>
      </c>
      <c r="AK17" s="3">
        <f t="shared" si="6"/>
        <v>64.349999999999994</v>
      </c>
      <c r="AL17" s="3">
        <f t="shared" si="6"/>
        <v>55.65</v>
      </c>
      <c r="AM17" s="3">
        <v>63.67</v>
      </c>
      <c r="AN17" s="3">
        <v>51.059999999999995</v>
      </c>
      <c r="AO17" s="3">
        <v>54.36</v>
      </c>
      <c r="AP17" s="3">
        <v>56.19</v>
      </c>
      <c r="AQ17" s="3">
        <v>45.850000000000009</v>
      </c>
      <c r="AR17" s="3">
        <v>49.839999999999996</v>
      </c>
      <c r="AS17" s="3">
        <v>43.69</v>
      </c>
      <c r="AT17" s="3">
        <v>43.51</v>
      </c>
      <c r="AU17" s="3">
        <v>44.28</v>
      </c>
      <c r="AV17" s="3">
        <v>69.94</v>
      </c>
      <c r="AW17" s="3">
        <v>54.629999999999995</v>
      </c>
      <c r="AX17" s="3">
        <v>90.072000000000003</v>
      </c>
      <c r="AY17" s="3">
        <v>101.96100000000001</v>
      </c>
      <c r="AZ17" s="3">
        <v>93.567000000000007</v>
      </c>
      <c r="BA17" s="3">
        <v>88.450000000000017</v>
      </c>
      <c r="BB17" s="3">
        <v>87.860000000000014</v>
      </c>
      <c r="BC17" s="3">
        <v>81.250000000000014</v>
      </c>
      <c r="BD17" s="3">
        <v>79.459999999999994</v>
      </c>
      <c r="BE17" s="3">
        <v>75.94</v>
      </c>
      <c r="BF17" s="3">
        <v>95.25</v>
      </c>
      <c r="BG17" s="3">
        <v>95.36</v>
      </c>
      <c r="BH17" s="3">
        <v>88.32</v>
      </c>
      <c r="BI17" s="3">
        <v>92.6</v>
      </c>
      <c r="BJ17" s="3">
        <v>102.67000000000003</v>
      </c>
      <c r="BK17" s="3">
        <v>122.00000000000003</v>
      </c>
      <c r="BL17" s="3">
        <v>110.24000000000001</v>
      </c>
      <c r="BM17" s="3">
        <v>106.78999999999999</v>
      </c>
      <c r="BN17" s="3">
        <v>101.34</v>
      </c>
      <c r="BO17" s="3">
        <v>100.95999999999998</v>
      </c>
      <c r="BP17" s="3">
        <v>95.819999999999979</v>
      </c>
      <c r="BQ17" s="3">
        <v>87.72999999999999</v>
      </c>
      <c r="BR17" s="3">
        <v>103.59</v>
      </c>
    </row>
    <row r="18" spans="1:70">
      <c r="A18" s="3" t="s">
        <v>91</v>
      </c>
      <c r="B18" s="3">
        <f t="shared" si="6"/>
        <v>47.76</v>
      </c>
      <c r="C18" s="3">
        <f t="shared" si="6"/>
        <v>43.429999999999993</v>
      </c>
      <c r="D18" s="3">
        <f t="shared" si="6"/>
        <v>50.18</v>
      </c>
      <c r="E18" s="3">
        <f t="shared" si="6"/>
        <v>57.15</v>
      </c>
      <c r="F18" s="3">
        <f t="shared" si="6"/>
        <v>42.519999999999996</v>
      </c>
      <c r="G18" s="3">
        <f t="shared" si="6"/>
        <v>33.68</v>
      </c>
      <c r="H18" s="3">
        <f t="shared" si="6"/>
        <v>48.129999999999995</v>
      </c>
      <c r="I18" s="3">
        <f t="shared" si="6"/>
        <v>50.489999999999995</v>
      </c>
      <c r="J18" s="3">
        <f t="shared" si="6"/>
        <v>40.96</v>
      </c>
      <c r="K18" s="3">
        <f t="shared" si="6"/>
        <v>40.660000000000004</v>
      </c>
      <c r="L18" s="3">
        <f t="shared" si="6"/>
        <v>41.149999999999991</v>
      </c>
      <c r="M18" s="3">
        <f t="shared" si="6"/>
        <v>43.5</v>
      </c>
      <c r="N18" s="3">
        <f t="shared" si="6"/>
        <v>51.66</v>
      </c>
      <c r="O18" s="3">
        <f t="shared" si="6"/>
        <v>47.850000000000009</v>
      </c>
      <c r="P18" s="3">
        <f t="shared" si="6"/>
        <v>53.42</v>
      </c>
      <c r="Q18" s="3">
        <f t="shared" si="6"/>
        <v>49.509999999999991</v>
      </c>
      <c r="R18" s="3">
        <f t="shared" si="6"/>
        <v>47.8</v>
      </c>
      <c r="S18" s="3">
        <f t="shared" si="6"/>
        <v>41.44</v>
      </c>
      <c r="T18" s="3">
        <f t="shared" si="6"/>
        <v>51.67</v>
      </c>
      <c r="U18" s="3">
        <f t="shared" si="6"/>
        <v>47.47</v>
      </c>
      <c r="V18" s="3">
        <f t="shared" si="6"/>
        <v>61.14</v>
      </c>
      <c r="W18" s="3">
        <f t="shared" si="6"/>
        <v>60.980000000000004</v>
      </c>
      <c r="X18" s="3">
        <f t="shared" si="6"/>
        <v>54.460000000000008</v>
      </c>
      <c r="Y18" s="3">
        <f t="shared" si="6"/>
        <v>59.72</v>
      </c>
      <c r="Z18" s="3">
        <f t="shared" si="6"/>
        <v>96.259999999999991</v>
      </c>
      <c r="AA18" s="3">
        <f t="shared" si="6"/>
        <v>122.61</v>
      </c>
      <c r="AB18" s="3">
        <f t="shared" si="6"/>
        <v>76.59</v>
      </c>
      <c r="AC18" s="3">
        <f t="shared" si="6"/>
        <v>88.73</v>
      </c>
      <c r="AD18" s="3">
        <f t="shared" si="6"/>
        <v>62.25</v>
      </c>
      <c r="AE18" s="3">
        <f t="shared" si="6"/>
        <v>63.699999999999989</v>
      </c>
      <c r="AF18" s="3">
        <f t="shared" si="6"/>
        <v>43.86</v>
      </c>
      <c r="AG18" s="3">
        <f t="shared" si="6"/>
        <v>69.650000000000006</v>
      </c>
      <c r="AH18" s="3">
        <f t="shared" si="6"/>
        <v>79.460000000000008</v>
      </c>
      <c r="AI18" s="3">
        <f t="shared" si="6"/>
        <v>68.92</v>
      </c>
      <c r="AJ18" s="3">
        <f t="shared" si="6"/>
        <v>77.31</v>
      </c>
      <c r="AK18" s="3">
        <f>AK4+AK11</f>
        <v>100.3</v>
      </c>
      <c r="AL18" s="3">
        <f>AL4+AL11</f>
        <v>209.63</v>
      </c>
      <c r="AM18" s="3">
        <v>91.64</v>
      </c>
      <c r="AN18" s="3">
        <v>73.72999999999999</v>
      </c>
      <c r="AO18" s="3">
        <v>78.41</v>
      </c>
      <c r="AP18" s="3">
        <v>61.989999999999995</v>
      </c>
      <c r="AQ18" s="3">
        <v>51.2</v>
      </c>
      <c r="AR18" s="3">
        <v>61.19</v>
      </c>
      <c r="AS18" s="3">
        <v>60.45</v>
      </c>
      <c r="AT18" s="3">
        <v>57.93</v>
      </c>
      <c r="AU18" s="3">
        <v>53.129999999999995</v>
      </c>
      <c r="AV18" s="3">
        <v>69.949999999999989</v>
      </c>
      <c r="AW18" s="3">
        <v>71.48</v>
      </c>
      <c r="AX18" s="3">
        <v>179.93800000000002</v>
      </c>
      <c r="AY18" s="3">
        <v>181.61899999999997</v>
      </c>
      <c r="AZ18" s="3">
        <v>144.703</v>
      </c>
      <c r="BA18" s="3">
        <v>171.46999999999997</v>
      </c>
      <c r="BB18" s="3">
        <v>156.01</v>
      </c>
      <c r="BC18" s="3">
        <v>136.97</v>
      </c>
      <c r="BD18" s="3">
        <v>129.42000000000002</v>
      </c>
      <c r="BE18" s="3">
        <v>117.81</v>
      </c>
      <c r="BF18" s="3">
        <v>134.28</v>
      </c>
      <c r="BG18" s="3">
        <v>135.9</v>
      </c>
      <c r="BH18" s="3">
        <v>151.68</v>
      </c>
      <c r="BI18" s="3">
        <v>146.26</v>
      </c>
      <c r="BJ18" s="3">
        <v>175.5</v>
      </c>
      <c r="BK18" s="3">
        <v>207.75999999999996</v>
      </c>
      <c r="BL18" s="3">
        <v>194.84</v>
      </c>
      <c r="BM18" s="3">
        <v>176.22</v>
      </c>
      <c r="BN18" s="3">
        <v>172.6</v>
      </c>
      <c r="BO18" s="3">
        <v>171.03</v>
      </c>
      <c r="BP18" s="3">
        <v>183.53999999999996</v>
      </c>
      <c r="BQ18" s="3">
        <v>140.68</v>
      </c>
      <c r="BR18" s="3">
        <v>178.82999999999998</v>
      </c>
    </row>
    <row r="19" spans="1:70">
      <c r="A19" s="3" t="s">
        <v>92</v>
      </c>
      <c r="B19" s="33">
        <f t="shared" ref="B19:AL19" si="7">B17/B16</f>
        <v>0.45628415300546443</v>
      </c>
      <c r="C19" s="33">
        <f t="shared" si="7"/>
        <v>0.50433690938141973</v>
      </c>
      <c r="D19" s="33">
        <f t="shared" ref="D19:E19" si="8">D17/D16</f>
        <v>0.43882800268396327</v>
      </c>
      <c r="E19" s="33">
        <f t="shared" si="8"/>
        <v>0.40623376623376622</v>
      </c>
      <c r="F19" s="33">
        <f t="shared" si="7"/>
        <v>0.4712758020392937</v>
      </c>
      <c r="G19" s="33">
        <f t="shared" si="7"/>
        <v>0.5444955369218285</v>
      </c>
      <c r="H19" s="33">
        <f t="shared" si="7"/>
        <v>0.51265694613203727</v>
      </c>
      <c r="I19" s="33">
        <f t="shared" si="7"/>
        <v>0.47910863509749296</v>
      </c>
      <c r="J19" s="33">
        <f t="shared" si="7"/>
        <v>0.49816221514334724</v>
      </c>
      <c r="K19" s="33">
        <f t="shared" si="7"/>
        <v>0.48655133223891911</v>
      </c>
      <c r="L19" s="33">
        <f t="shared" si="7"/>
        <v>0.47812301838934684</v>
      </c>
      <c r="M19" s="33">
        <f t="shared" si="7"/>
        <v>0.47960282330422299</v>
      </c>
      <c r="N19" s="33">
        <f t="shared" si="7"/>
        <v>0.46204311152764765</v>
      </c>
      <c r="O19" s="33">
        <f t="shared" si="7"/>
        <v>0.49562559291662267</v>
      </c>
      <c r="P19" s="33">
        <f t="shared" si="7"/>
        <v>0.47954014029618081</v>
      </c>
      <c r="Q19" s="33">
        <f t="shared" si="7"/>
        <v>0.47346591513346797</v>
      </c>
      <c r="R19" s="33">
        <f t="shared" si="7"/>
        <v>0.42884454534591948</v>
      </c>
      <c r="S19" s="33">
        <f t="shared" si="7"/>
        <v>0.45815899581589953</v>
      </c>
      <c r="T19" s="33">
        <f t="shared" si="7"/>
        <v>0.42588888888888887</v>
      </c>
      <c r="U19" s="33">
        <f t="shared" si="7"/>
        <v>0.47096846093837064</v>
      </c>
      <c r="V19" s="33">
        <f t="shared" si="7"/>
        <v>0.4088755680170163</v>
      </c>
      <c r="W19" s="33">
        <f t="shared" si="7"/>
        <v>0.42302961491153368</v>
      </c>
      <c r="X19" s="33">
        <f t="shared" si="7"/>
        <v>0.40855777584708947</v>
      </c>
      <c r="Y19" s="33">
        <f t="shared" si="7"/>
        <v>0.4460625173917076</v>
      </c>
      <c r="Z19" s="33">
        <f t="shared" si="7"/>
        <v>0.28340653614233607</v>
      </c>
      <c r="AA19" s="33">
        <f t="shared" si="7"/>
        <v>0.2705693378547207</v>
      </c>
      <c r="AB19" s="33">
        <f t="shared" si="7"/>
        <v>0.37998866672063464</v>
      </c>
      <c r="AC19" s="33">
        <f t="shared" si="7"/>
        <v>0.36229696708351294</v>
      </c>
      <c r="AD19" s="33">
        <f t="shared" si="7"/>
        <v>0.42690112318173445</v>
      </c>
      <c r="AE19" s="33">
        <f t="shared" si="7"/>
        <v>0.3703044681692369</v>
      </c>
      <c r="AF19" s="33">
        <f t="shared" si="7"/>
        <v>0.50379002149564434</v>
      </c>
      <c r="AG19" s="33">
        <f t="shared" si="7"/>
        <v>0.36024616515109764</v>
      </c>
      <c r="AH19" s="33">
        <f t="shared" si="7"/>
        <v>0.33361288158336128</v>
      </c>
      <c r="AI19" s="33">
        <f t="shared" si="7"/>
        <v>0.41583319206645192</v>
      </c>
      <c r="AJ19" s="33">
        <f t="shared" si="7"/>
        <v>0.4494374020794758</v>
      </c>
      <c r="AK19" s="33">
        <f t="shared" si="7"/>
        <v>0.39082903127846941</v>
      </c>
      <c r="AL19" s="33">
        <f t="shared" si="7"/>
        <v>0.20977834740651385</v>
      </c>
      <c r="AM19" s="33">
        <f t="shared" ref="AM19:AN19" si="9">AM17/AM16</f>
        <v>0.40995428497843023</v>
      </c>
      <c r="AN19" s="33">
        <f t="shared" si="9"/>
        <v>0.40916740123407319</v>
      </c>
      <c r="AO19" s="33">
        <f t="shared" ref="AO19:BG19" si="10">AO17/AO16</f>
        <v>0.40942984107855696</v>
      </c>
      <c r="AP19" s="33">
        <f t="shared" si="10"/>
        <v>0.47546116094093749</v>
      </c>
      <c r="AQ19" s="33">
        <f t="shared" si="10"/>
        <v>0.47243688820195778</v>
      </c>
      <c r="AR19" s="33">
        <f t="shared" si="10"/>
        <v>0.44888768801224893</v>
      </c>
      <c r="AS19" s="33">
        <f t="shared" si="10"/>
        <v>0.41953140003840983</v>
      </c>
      <c r="AT19" s="33">
        <f t="shared" si="10"/>
        <v>0.42892350157728704</v>
      </c>
      <c r="AU19" s="33">
        <f t="shared" si="10"/>
        <v>0.45457345241761621</v>
      </c>
      <c r="AV19" s="33">
        <f t="shared" si="10"/>
        <v>0.49996425763099583</v>
      </c>
      <c r="AW19" s="33">
        <f t="shared" si="10"/>
        <v>0.43319324399333914</v>
      </c>
      <c r="AX19" s="33">
        <f t="shared" si="10"/>
        <v>0.33358764490204068</v>
      </c>
      <c r="AY19" s="33">
        <f t="shared" si="10"/>
        <v>0.35954933352140495</v>
      </c>
      <c r="AZ19" s="33">
        <f t="shared" si="10"/>
        <v>0.39269316321819792</v>
      </c>
      <c r="BA19" s="33">
        <f t="shared" si="10"/>
        <v>0.34029701446598959</v>
      </c>
      <c r="BB19" s="33">
        <f t="shared" si="10"/>
        <v>0.36027391643088535</v>
      </c>
      <c r="BC19" s="33">
        <f t="shared" si="10"/>
        <v>0.37233067546512699</v>
      </c>
      <c r="BD19" s="33">
        <f t="shared" si="10"/>
        <v>0.38040980467253926</v>
      </c>
      <c r="BE19" s="33">
        <f t="shared" si="10"/>
        <v>0.39194838709677426</v>
      </c>
      <c r="BF19" s="33">
        <f t="shared" si="10"/>
        <v>0.41497843419160901</v>
      </c>
      <c r="BG19" s="33">
        <f t="shared" si="10"/>
        <v>0.41234973622762261</v>
      </c>
      <c r="BH19" s="33">
        <f t="shared" ref="BH19:BI19" si="11">BH17/BH16</f>
        <v>0.36799999999999999</v>
      </c>
      <c r="BI19" s="33">
        <f t="shared" si="11"/>
        <v>0.38767478857908394</v>
      </c>
      <c r="BJ19" s="33">
        <f t="shared" ref="BJ19:BR19" si="12">BJ17/BJ16</f>
        <v>0.36909084372865525</v>
      </c>
      <c r="BK19" s="33">
        <f t="shared" si="12"/>
        <v>0.36996603590490063</v>
      </c>
      <c r="BL19" s="33">
        <f t="shared" si="12"/>
        <v>0.36134784318867186</v>
      </c>
      <c r="BM19" s="33">
        <f t="shared" si="12"/>
        <v>0.37733648987668278</v>
      </c>
      <c r="BN19" s="33">
        <f t="shared" si="12"/>
        <v>0.36993502226764985</v>
      </c>
      <c r="BO19" s="33">
        <f t="shared" si="12"/>
        <v>0.37119011728372364</v>
      </c>
      <c r="BP19" s="33">
        <f t="shared" si="12"/>
        <v>0.34299828178694147</v>
      </c>
      <c r="BQ19" s="33">
        <f t="shared" si="12"/>
        <v>0.38409001357208522</v>
      </c>
      <c r="BR19" s="33">
        <f t="shared" si="12"/>
        <v>0.36679413639260677</v>
      </c>
    </row>
    <row r="20" spans="1:70">
      <c r="A20" s="3" t="s">
        <v>94</v>
      </c>
      <c r="B20" s="33">
        <f t="shared" ref="B20:AL20" si="13">B18/B16</f>
        <v>0.54371584699453546</v>
      </c>
      <c r="C20" s="33">
        <f t="shared" si="13"/>
        <v>0.4956630906185801</v>
      </c>
      <c r="D20" s="33">
        <f t="shared" ref="D20:E20" si="14">D18/D16</f>
        <v>0.56117199731603662</v>
      </c>
      <c r="E20" s="33">
        <f t="shared" si="14"/>
        <v>0.59376623376623372</v>
      </c>
      <c r="F20" s="33">
        <f t="shared" si="13"/>
        <v>0.52872419796070624</v>
      </c>
      <c r="G20" s="33">
        <f t="shared" si="13"/>
        <v>0.4555044630781715</v>
      </c>
      <c r="H20" s="33">
        <f t="shared" si="13"/>
        <v>0.48734305386796267</v>
      </c>
      <c r="I20" s="33">
        <f t="shared" si="13"/>
        <v>0.52089136490250687</v>
      </c>
      <c r="J20" s="33">
        <f t="shared" si="13"/>
        <v>0.50183778485665276</v>
      </c>
      <c r="K20" s="33">
        <f t="shared" si="13"/>
        <v>0.513448667761081</v>
      </c>
      <c r="L20" s="33">
        <f t="shared" si="13"/>
        <v>0.5218769816106531</v>
      </c>
      <c r="M20" s="33">
        <f t="shared" si="13"/>
        <v>0.52039717669577701</v>
      </c>
      <c r="N20" s="33">
        <f t="shared" si="13"/>
        <v>0.53795688847235235</v>
      </c>
      <c r="O20" s="33">
        <f t="shared" si="13"/>
        <v>0.50437440708337733</v>
      </c>
      <c r="P20" s="33">
        <f t="shared" si="13"/>
        <v>0.52045985970381914</v>
      </c>
      <c r="Q20" s="33">
        <f t="shared" si="13"/>
        <v>0.52653408486653186</v>
      </c>
      <c r="R20" s="33">
        <f t="shared" si="13"/>
        <v>0.57115545465408046</v>
      </c>
      <c r="S20" s="33">
        <f t="shared" si="13"/>
        <v>0.54184100418410031</v>
      </c>
      <c r="T20" s="33">
        <f t="shared" si="13"/>
        <v>0.57411111111111113</v>
      </c>
      <c r="U20" s="33">
        <f t="shared" si="13"/>
        <v>0.52903153906162925</v>
      </c>
      <c r="V20" s="33">
        <f t="shared" si="13"/>
        <v>0.59112443198298359</v>
      </c>
      <c r="W20" s="33">
        <f t="shared" si="13"/>
        <v>0.57697038508846632</v>
      </c>
      <c r="X20" s="33">
        <f t="shared" si="13"/>
        <v>0.59144222415291059</v>
      </c>
      <c r="Y20" s="33">
        <f t="shared" si="13"/>
        <v>0.55393748260829234</v>
      </c>
      <c r="Z20" s="33">
        <f t="shared" si="13"/>
        <v>0.71659346385766398</v>
      </c>
      <c r="AA20" s="33">
        <f t="shared" si="13"/>
        <v>0.7294306621452793</v>
      </c>
      <c r="AB20" s="33">
        <f t="shared" si="13"/>
        <v>0.62001133327936531</v>
      </c>
      <c r="AC20" s="33">
        <f t="shared" si="13"/>
        <v>0.637703032916487</v>
      </c>
      <c r="AD20" s="33">
        <f t="shared" si="13"/>
        <v>0.57309887681826543</v>
      </c>
      <c r="AE20" s="33">
        <f t="shared" si="13"/>
        <v>0.6296955318307631</v>
      </c>
      <c r="AF20" s="33">
        <f t="shared" si="13"/>
        <v>0.49620997850435566</v>
      </c>
      <c r="AG20" s="33">
        <f t="shared" si="13"/>
        <v>0.63975383484890236</v>
      </c>
      <c r="AH20" s="33">
        <f t="shared" si="13"/>
        <v>0.66638711841663878</v>
      </c>
      <c r="AI20" s="33">
        <f t="shared" si="13"/>
        <v>0.58416680793354814</v>
      </c>
      <c r="AJ20" s="33">
        <f t="shared" si="13"/>
        <v>0.55056259792052409</v>
      </c>
      <c r="AK20" s="33">
        <f t="shared" si="13"/>
        <v>0.60917096872153043</v>
      </c>
      <c r="AL20" s="33">
        <f t="shared" si="13"/>
        <v>0.79022165259348598</v>
      </c>
      <c r="AM20" s="33">
        <f t="shared" ref="AM20:AN20" si="15">AM18/AM16</f>
        <v>0.59004571502156977</v>
      </c>
      <c r="AN20" s="33">
        <f t="shared" si="15"/>
        <v>0.59083259876592664</v>
      </c>
      <c r="AO20" s="33">
        <f t="shared" ref="AO20:BG20" si="16">AO18/AO16</f>
        <v>0.59057015892144316</v>
      </c>
      <c r="AP20" s="33">
        <f t="shared" si="16"/>
        <v>0.5245388390590624</v>
      </c>
      <c r="AQ20" s="33">
        <f t="shared" si="16"/>
        <v>0.52756311179804216</v>
      </c>
      <c r="AR20" s="33">
        <f t="shared" si="16"/>
        <v>0.55111231198775101</v>
      </c>
      <c r="AS20" s="33">
        <f t="shared" si="16"/>
        <v>0.58046859996159017</v>
      </c>
      <c r="AT20" s="33">
        <f t="shared" si="16"/>
        <v>0.57107649842271291</v>
      </c>
      <c r="AU20" s="33">
        <f t="shared" si="16"/>
        <v>0.54542654758238363</v>
      </c>
      <c r="AV20" s="33">
        <f t="shared" si="16"/>
        <v>0.50003574236900417</v>
      </c>
      <c r="AW20" s="33">
        <f t="shared" si="16"/>
        <v>0.56680675600666086</v>
      </c>
      <c r="AX20" s="33">
        <f t="shared" si="16"/>
        <v>0.66641235509795937</v>
      </c>
      <c r="AY20" s="33">
        <f t="shared" si="16"/>
        <v>0.64045066647859505</v>
      </c>
      <c r="AZ20" s="33">
        <f t="shared" si="16"/>
        <v>0.6073068367818022</v>
      </c>
      <c r="BA20" s="33">
        <f t="shared" si="16"/>
        <v>0.6597029855340103</v>
      </c>
      <c r="BB20" s="33">
        <f t="shared" si="16"/>
        <v>0.63972608356911465</v>
      </c>
      <c r="BC20" s="33">
        <f t="shared" si="16"/>
        <v>0.62766932453487301</v>
      </c>
      <c r="BD20" s="33">
        <f t="shared" si="16"/>
        <v>0.61959019532746096</v>
      </c>
      <c r="BE20" s="33">
        <f t="shared" si="16"/>
        <v>0.60805161290322596</v>
      </c>
      <c r="BF20" s="33">
        <f t="shared" si="16"/>
        <v>0.58502156580839115</v>
      </c>
      <c r="BG20" s="33">
        <f t="shared" si="16"/>
        <v>0.5876502637723775</v>
      </c>
      <c r="BH20" s="33">
        <f t="shared" ref="BH20:BI20" si="17">BH18/BH16</f>
        <v>0.63200000000000001</v>
      </c>
      <c r="BI20" s="33">
        <f t="shared" si="17"/>
        <v>0.61232521142091589</v>
      </c>
      <c r="BJ20" s="33">
        <f t="shared" ref="BJ20:BR20" si="18">BJ18/BJ16</f>
        <v>0.63090915627134481</v>
      </c>
      <c r="BK20" s="33">
        <f t="shared" si="18"/>
        <v>0.63003396409509937</v>
      </c>
      <c r="BL20" s="33">
        <f t="shared" si="18"/>
        <v>0.63865215681132825</v>
      </c>
      <c r="BM20" s="33">
        <f t="shared" si="18"/>
        <v>0.62266351012331722</v>
      </c>
      <c r="BN20" s="33">
        <f t="shared" si="18"/>
        <v>0.63006497773235015</v>
      </c>
      <c r="BO20" s="33">
        <f t="shared" si="18"/>
        <v>0.62880988271627647</v>
      </c>
      <c r="BP20" s="33">
        <f t="shared" si="18"/>
        <v>0.65700171821305831</v>
      </c>
      <c r="BQ20" s="33">
        <f t="shared" si="18"/>
        <v>0.61590998642791472</v>
      </c>
      <c r="BR20" s="33">
        <f t="shared" si="18"/>
        <v>0.63320586360739317</v>
      </c>
    </row>
    <row r="22" spans="1:70">
      <c r="B22" s="9" t="s">
        <v>43</v>
      </c>
      <c r="C22" s="9" t="s">
        <v>44</v>
      </c>
      <c r="D22" s="9" t="s">
        <v>45</v>
      </c>
      <c r="E22" s="56" t="s">
        <v>104</v>
      </c>
      <c r="F22" s="143" t="s">
        <v>193</v>
      </c>
    </row>
    <row r="23" spans="1:70">
      <c r="A23" s="34" t="s">
        <v>89</v>
      </c>
      <c r="B23" s="11">
        <f>SUM(B16:M16)</f>
        <v>1034.43</v>
      </c>
      <c r="C23" s="11">
        <f>SUM(N16:Y16)</f>
        <v>1136.48</v>
      </c>
      <c r="D23" s="3">
        <f>SUM(Z16:AK16)</f>
        <v>1514.42</v>
      </c>
      <c r="E23" s="3">
        <f>SUM(AL16:AW16)</f>
        <v>1573.3999999999999</v>
      </c>
      <c r="F23" s="3">
        <f>SUM(AX16:BI16)</f>
        <v>2856.15</v>
      </c>
    </row>
    <row r="24" spans="1:70">
      <c r="A24" s="34" t="s">
        <v>90</v>
      </c>
      <c r="B24" s="11">
        <f>SUM(B17:M17)</f>
        <v>494.81999999999994</v>
      </c>
      <c r="C24" s="11">
        <f>SUM(N17:Y17)</f>
        <v>509.35999999999996</v>
      </c>
      <c r="D24" s="3">
        <f>SUM(Z17:AK17)</f>
        <v>564.78</v>
      </c>
      <c r="E24" s="3">
        <f>SUM(AL17:AW17)</f>
        <v>632.66999999999996</v>
      </c>
      <c r="F24" s="3">
        <f t="shared" ref="F24" si="19">SUM(AX17:BI17)</f>
        <v>1070.0900000000001</v>
      </c>
      <c r="AW24" s="66"/>
      <c r="AX24" s="66"/>
    </row>
    <row r="25" spans="1:70">
      <c r="A25" s="3" t="s">
        <v>91</v>
      </c>
      <c r="B25" s="11">
        <f>SUM(B18:M18)</f>
        <v>539.61</v>
      </c>
      <c r="C25" s="11">
        <f>SUM(N18:Y18)</f>
        <v>627.12000000000012</v>
      </c>
      <c r="D25" s="3">
        <f>SUM(Z18:AK18)</f>
        <v>949.63999999999987</v>
      </c>
      <c r="E25" s="3">
        <f>SUM(AL18:AW18)</f>
        <v>940.73</v>
      </c>
      <c r="F25" s="3">
        <f>SUM(AX18:BI18)</f>
        <v>1786.0600000000002</v>
      </c>
      <c r="AW25" s="66"/>
      <c r="AX25" s="66"/>
    </row>
    <row r="26" spans="1:70">
      <c r="A26" s="8" t="s">
        <v>93</v>
      </c>
      <c r="B26" s="161">
        <f>B25/B23</f>
        <v>0.52164960412981065</v>
      </c>
      <c r="C26" s="161">
        <f>C25/C23</f>
        <v>0.55180909474869788</v>
      </c>
      <c r="D26" s="161">
        <f>D25/D23</f>
        <v>0.6270651470529971</v>
      </c>
      <c r="E26" s="161">
        <f>E25/E23</f>
        <v>0.59789627558154324</v>
      </c>
      <c r="F26" s="161">
        <f>F25/F23</f>
        <v>0.62533830506100874</v>
      </c>
      <c r="AW26" s="66"/>
      <c r="AX26" s="66"/>
    </row>
    <row r="27" spans="1:70">
      <c r="AW27" s="66"/>
      <c r="AX27" s="66"/>
    </row>
    <row r="28" spans="1:70">
      <c r="B28" s="281" t="s">
        <v>312</v>
      </c>
    </row>
    <row r="29" spans="1:70">
      <c r="B29" s="282" t="s">
        <v>313</v>
      </c>
    </row>
    <row r="39" spans="29:30">
      <c r="AD39" s="35"/>
    </row>
    <row r="40" spans="29:30">
      <c r="AC40" s="3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7"/>
  <sheetViews>
    <sheetView workbookViewId="0">
      <pane xSplit="3" ySplit="1" topLeftCell="N395" activePane="bottomRight" state="frozen"/>
      <selection pane="topRight" activeCell="D1" sqref="D1"/>
      <selection pane="bottomLeft" activeCell="A2" sqref="A2"/>
      <selection pane="bottomRight" activeCell="AE413" sqref="AE413"/>
    </sheetView>
  </sheetViews>
  <sheetFormatPr defaultColWidth="7.28515625" defaultRowHeight="15"/>
  <cols>
    <col min="1" max="1" width="7.28515625" style="66"/>
    <col min="2" max="2" width="10.140625" style="66" bestFit="1" customWidth="1"/>
    <col min="3" max="3" width="7.42578125" style="66" bestFit="1" customWidth="1"/>
    <col min="4" max="4" width="10.85546875" style="66" bestFit="1" customWidth="1"/>
    <col min="5" max="5" width="14.28515625" style="201" bestFit="1" customWidth="1"/>
    <col min="6" max="6" width="10" style="201" bestFit="1" customWidth="1"/>
    <col min="7" max="7" width="13.28515625" style="202" bestFit="1" customWidth="1"/>
    <col min="8" max="8" width="12.5703125" style="201" bestFit="1" customWidth="1"/>
    <col min="9" max="9" width="9" style="201" bestFit="1" customWidth="1"/>
    <col min="10" max="10" width="16.7109375" style="230" bestFit="1" customWidth="1"/>
    <col min="11" max="11" width="12.42578125" style="201" bestFit="1" customWidth="1"/>
    <col min="12" max="12" width="10.7109375" style="71" bestFit="1" customWidth="1"/>
    <col min="13" max="13" width="11.5703125" style="201" bestFit="1" customWidth="1"/>
    <col min="14" max="14" width="16.28515625" style="230" bestFit="1" customWidth="1"/>
    <col min="15" max="15" width="12" style="201" bestFit="1" customWidth="1"/>
    <col min="16" max="16" width="15.85546875" style="66" bestFit="1" customWidth="1"/>
    <col min="17" max="17" width="12.7109375" style="201" bestFit="1" customWidth="1"/>
    <col min="18" max="18" width="9.85546875" style="66" bestFit="1" customWidth="1"/>
    <col min="19" max="19" width="11.5703125" style="201" bestFit="1" customWidth="1"/>
    <col min="20" max="20" width="7.5703125" style="201" bestFit="1" customWidth="1"/>
    <col min="21" max="21" width="13.28515625" style="202" bestFit="1" customWidth="1"/>
    <col min="22" max="22" width="11.5703125" style="201" bestFit="1" customWidth="1"/>
    <col min="23" max="23" width="14.85546875" style="201" bestFit="1" customWidth="1"/>
    <col min="24" max="24" width="14.7109375" style="202" bestFit="1" customWidth="1"/>
    <col min="25" max="25" width="11.85546875" style="201" bestFit="1" customWidth="1"/>
    <col min="26" max="26" width="16.28515625" style="201" bestFit="1" customWidth="1"/>
    <col min="27" max="27" width="14.28515625" style="71" bestFit="1" customWidth="1"/>
    <col min="28" max="28" width="11.5703125" style="201" bestFit="1" customWidth="1"/>
    <col min="29" max="29" width="14.42578125" style="201" bestFit="1" customWidth="1"/>
    <col min="30" max="30" width="10.5703125" style="202" bestFit="1" customWidth="1"/>
    <col min="31" max="31" width="8" style="202" bestFit="1" customWidth="1"/>
    <col min="32" max="16384" width="7.28515625" style="66"/>
  </cols>
  <sheetData>
    <row r="1" spans="1:31">
      <c r="A1" s="187" t="s">
        <v>37</v>
      </c>
      <c r="B1" s="187" t="s">
        <v>208</v>
      </c>
      <c r="C1" s="187" t="s">
        <v>209</v>
      </c>
      <c r="D1" s="187" t="s">
        <v>210</v>
      </c>
      <c r="E1" s="187" t="s">
        <v>211</v>
      </c>
      <c r="F1" s="187" t="s">
        <v>212</v>
      </c>
      <c r="G1" s="188" t="s">
        <v>213</v>
      </c>
      <c r="H1" s="187" t="s">
        <v>214</v>
      </c>
      <c r="I1" s="187" t="s">
        <v>215</v>
      </c>
      <c r="J1" s="228" t="s">
        <v>216</v>
      </c>
      <c r="K1" s="187" t="s">
        <v>217</v>
      </c>
      <c r="L1" s="189" t="s">
        <v>218</v>
      </c>
      <c r="M1" s="187" t="s">
        <v>214</v>
      </c>
      <c r="N1" s="228" t="s">
        <v>219</v>
      </c>
      <c r="O1" s="187" t="s">
        <v>220</v>
      </c>
      <c r="P1" s="187" t="s">
        <v>221</v>
      </c>
      <c r="Q1" s="190" t="s">
        <v>222</v>
      </c>
      <c r="R1" s="187" t="s">
        <v>223</v>
      </c>
      <c r="S1" s="190" t="s">
        <v>224</v>
      </c>
      <c r="T1" s="190" t="s">
        <v>225</v>
      </c>
      <c r="U1" s="188" t="s">
        <v>226</v>
      </c>
      <c r="V1" s="190" t="s">
        <v>227</v>
      </c>
      <c r="W1" s="190" t="s">
        <v>228</v>
      </c>
      <c r="X1" s="188" t="s">
        <v>229</v>
      </c>
      <c r="Y1" s="190" t="s">
        <v>230</v>
      </c>
      <c r="Z1" s="190" t="s">
        <v>231</v>
      </c>
      <c r="AA1" s="189" t="s">
        <v>232</v>
      </c>
      <c r="AB1" s="190" t="s">
        <v>233</v>
      </c>
      <c r="AC1" s="190" t="s">
        <v>234</v>
      </c>
      <c r="AD1" s="188" t="s">
        <v>235</v>
      </c>
      <c r="AE1" s="188" t="s">
        <v>236</v>
      </c>
    </row>
    <row r="2" spans="1:31">
      <c r="A2" s="3">
        <v>1979</v>
      </c>
      <c r="B2" s="3" t="s">
        <v>429</v>
      </c>
      <c r="C2" s="191">
        <v>29037</v>
      </c>
      <c r="D2" s="192">
        <v>3222436</v>
      </c>
      <c r="E2" s="193">
        <v>111741.81</v>
      </c>
      <c r="F2" s="227">
        <f t="shared" ref="F2:F13" si="0">IF(D2&gt;0,(E2/D2),0)</f>
        <v>3.4676192172629648E-2</v>
      </c>
      <c r="G2" s="194">
        <v>20478</v>
      </c>
      <c r="H2" s="193">
        <v>8130</v>
      </c>
      <c r="I2" s="193">
        <f t="shared" ref="I2:I13" si="1">IF(G2&gt;0,(H2/G2),0)</f>
        <v>0.3970114268971579</v>
      </c>
      <c r="J2" s="229"/>
      <c r="K2" s="193"/>
      <c r="L2" s="195"/>
      <c r="M2" s="193"/>
      <c r="N2" s="229"/>
      <c r="O2" s="193"/>
      <c r="P2" s="3"/>
      <c r="Q2" s="196"/>
      <c r="R2" s="194"/>
      <c r="S2" s="193"/>
      <c r="T2" s="193"/>
      <c r="U2" s="197"/>
      <c r="V2" s="196"/>
      <c r="W2" s="196"/>
      <c r="X2" s="197"/>
      <c r="Y2" s="196"/>
      <c r="Z2" s="196"/>
      <c r="AA2" s="95"/>
      <c r="AB2" s="196"/>
      <c r="AC2" s="196"/>
      <c r="AD2" s="197">
        <v>2070325</v>
      </c>
      <c r="AE2" s="197">
        <f>VLOOKUP(B2,Reference!A:B,2,0)</f>
        <v>16235.2</v>
      </c>
    </row>
    <row r="3" spans="1:31">
      <c r="A3" s="3">
        <v>1979</v>
      </c>
      <c r="B3" s="3" t="s">
        <v>429</v>
      </c>
      <c r="C3" s="191">
        <v>29068</v>
      </c>
      <c r="D3" s="192">
        <v>3612800</v>
      </c>
      <c r="E3" s="193">
        <v>124535.73</v>
      </c>
      <c r="F3" s="227">
        <f t="shared" si="0"/>
        <v>3.4470695859167406E-2</v>
      </c>
      <c r="G3" s="194">
        <v>22712</v>
      </c>
      <c r="H3" s="193">
        <v>5688.42</v>
      </c>
      <c r="I3" s="193">
        <f t="shared" si="1"/>
        <v>0.25045878830574148</v>
      </c>
      <c r="J3" s="229"/>
      <c r="K3" s="193"/>
      <c r="L3" s="195"/>
      <c r="M3" s="193"/>
      <c r="N3" s="229"/>
      <c r="O3" s="193"/>
      <c r="P3" s="3"/>
      <c r="Q3" s="196"/>
      <c r="R3" s="194"/>
      <c r="S3" s="193"/>
      <c r="T3" s="193"/>
      <c r="U3" s="197"/>
      <c r="V3" s="196"/>
      <c r="W3" s="196"/>
      <c r="X3" s="197"/>
      <c r="Y3" s="196"/>
      <c r="Z3" s="196"/>
      <c r="AA3" s="95"/>
      <c r="AB3" s="196"/>
      <c r="AC3" s="196"/>
      <c r="AD3" s="197">
        <v>2070325</v>
      </c>
      <c r="AE3" s="197">
        <f>VLOOKUP(B3,Reference!A:B,2,0)</f>
        <v>16235.2</v>
      </c>
    </row>
    <row r="4" spans="1:31">
      <c r="A4" s="3">
        <v>1979</v>
      </c>
      <c r="B4" s="3" t="s">
        <v>429</v>
      </c>
      <c r="C4" s="191">
        <v>29099</v>
      </c>
      <c r="D4" s="192">
        <v>3060018</v>
      </c>
      <c r="E4" s="193">
        <v>110439.35</v>
      </c>
      <c r="F4" s="227">
        <f t="shared" si="0"/>
        <v>3.6091078549211147E-2</v>
      </c>
      <c r="G4" s="194">
        <v>16418</v>
      </c>
      <c r="H4" s="193">
        <v>4211.0600000000004</v>
      </c>
      <c r="I4" s="193">
        <f t="shared" si="1"/>
        <v>0.25649043732488735</v>
      </c>
      <c r="J4" s="229"/>
      <c r="K4" s="193"/>
      <c r="L4" s="195"/>
      <c r="M4" s="193"/>
      <c r="N4" s="229"/>
      <c r="O4" s="193"/>
      <c r="P4" s="3"/>
      <c r="Q4" s="196"/>
      <c r="R4" s="194"/>
      <c r="S4" s="193"/>
      <c r="T4" s="193"/>
      <c r="U4" s="197"/>
      <c r="V4" s="196"/>
      <c r="W4" s="196"/>
      <c r="X4" s="197"/>
      <c r="Y4" s="196"/>
      <c r="Z4" s="196"/>
      <c r="AA4" s="95"/>
      <c r="AB4" s="196"/>
      <c r="AC4" s="196"/>
      <c r="AD4" s="197">
        <v>2070325</v>
      </c>
      <c r="AE4" s="197">
        <f>VLOOKUP(B4,Reference!A:B,2,0)</f>
        <v>16235.2</v>
      </c>
    </row>
    <row r="5" spans="1:31">
      <c r="A5" s="3">
        <v>1979</v>
      </c>
      <c r="B5" s="3" t="s">
        <v>429</v>
      </c>
      <c r="C5" s="191">
        <v>29129</v>
      </c>
      <c r="D5" s="192">
        <v>3052981</v>
      </c>
      <c r="E5" s="193">
        <v>114780.6</v>
      </c>
      <c r="F5" s="227">
        <f t="shared" si="0"/>
        <v>3.7596237906492053E-2</v>
      </c>
      <c r="G5" s="194">
        <v>43964</v>
      </c>
      <c r="H5" s="193">
        <v>11240.07</v>
      </c>
      <c r="I5" s="193">
        <f t="shared" si="1"/>
        <v>0.25566531707760892</v>
      </c>
      <c r="J5" s="229"/>
      <c r="K5" s="193"/>
      <c r="L5" s="195"/>
      <c r="M5" s="193"/>
      <c r="N5" s="229"/>
      <c r="O5" s="193"/>
      <c r="P5" s="3"/>
      <c r="Q5" s="196"/>
      <c r="R5" s="194"/>
      <c r="S5" s="193"/>
      <c r="T5" s="193"/>
      <c r="U5" s="197"/>
      <c r="V5" s="196"/>
      <c r="W5" s="196"/>
      <c r="X5" s="197"/>
      <c r="Y5" s="196"/>
      <c r="Z5" s="196"/>
      <c r="AA5" s="95"/>
      <c r="AB5" s="196"/>
      <c r="AC5" s="196"/>
      <c r="AD5" s="197">
        <v>2070325</v>
      </c>
      <c r="AE5" s="197">
        <f>VLOOKUP(B5,Reference!A:B,2,0)</f>
        <v>16235.2</v>
      </c>
    </row>
    <row r="6" spans="1:31">
      <c r="A6" s="3">
        <v>1979</v>
      </c>
      <c r="B6" s="3" t="s">
        <v>429</v>
      </c>
      <c r="C6" s="191">
        <v>29160</v>
      </c>
      <c r="D6" s="192">
        <v>2993370</v>
      </c>
      <c r="E6" s="193">
        <v>127406.21</v>
      </c>
      <c r="F6" s="227">
        <f t="shared" si="0"/>
        <v>4.2562800455673705E-2</v>
      </c>
      <c r="G6" s="194">
        <v>104124</v>
      </c>
      <c r="H6" s="193">
        <v>27048.49</v>
      </c>
      <c r="I6" s="193">
        <f t="shared" si="1"/>
        <v>0.25977190657293231</v>
      </c>
      <c r="J6" s="229"/>
      <c r="K6" s="193"/>
      <c r="L6" s="195"/>
      <c r="M6" s="193"/>
      <c r="N6" s="229"/>
      <c r="O6" s="193"/>
      <c r="P6" s="3"/>
      <c r="Q6" s="196"/>
      <c r="R6" s="194"/>
      <c r="S6" s="193"/>
      <c r="T6" s="193"/>
      <c r="U6" s="197"/>
      <c r="V6" s="196"/>
      <c r="W6" s="196"/>
      <c r="X6" s="197"/>
      <c r="Y6" s="196"/>
      <c r="Z6" s="196"/>
      <c r="AA6" s="95"/>
      <c r="AB6" s="196"/>
      <c r="AC6" s="196"/>
      <c r="AD6" s="197">
        <v>2070325</v>
      </c>
      <c r="AE6" s="197">
        <f>VLOOKUP(B6,Reference!A:B,2,0)</f>
        <v>16235.2</v>
      </c>
    </row>
    <row r="7" spans="1:31">
      <c r="A7" s="3">
        <v>1979</v>
      </c>
      <c r="B7" s="3" t="s">
        <v>429</v>
      </c>
      <c r="C7" s="191">
        <v>29190</v>
      </c>
      <c r="D7" s="192">
        <v>2540974</v>
      </c>
      <c r="E7" s="193">
        <v>113832</v>
      </c>
      <c r="F7" s="227">
        <f t="shared" si="0"/>
        <v>4.479856936749451E-2</v>
      </c>
      <c r="G7" s="194">
        <v>100939</v>
      </c>
      <c r="H7" s="193">
        <v>35966.269999999997</v>
      </c>
      <c r="I7" s="193">
        <f t="shared" si="1"/>
        <v>0.35631688445496784</v>
      </c>
      <c r="J7" s="229"/>
      <c r="K7" s="193"/>
      <c r="L7" s="195"/>
      <c r="M7" s="193"/>
      <c r="N7" s="229"/>
      <c r="O7" s="193"/>
      <c r="P7" s="3"/>
      <c r="Q7" s="196"/>
      <c r="R7" s="194"/>
      <c r="S7" s="193"/>
      <c r="T7" s="193"/>
      <c r="U7" s="197"/>
      <c r="V7" s="196"/>
      <c r="W7" s="196"/>
      <c r="X7" s="197"/>
      <c r="Y7" s="196"/>
      <c r="Z7" s="196"/>
      <c r="AA7" s="95"/>
      <c r="AB7" s="196"/>
      <c r="AC7" s="196"/>
      <c r="AD7" s="197">
        <v>2070325</v>
      </c>
      <c r="AE7" s="197">
        <f>VLOOKUP(B7,Reference!A:B,2,0)</f>
        <v>16235.2</v>
      </c>
    </row>
    <row r="8" spans="1:31">
      <c r="A8" s="3">
        <v>1980</v>
      </c>
      <c r="B8" s="3" t="s">
        <v>429</v>
      </c>
      <c r="C8" s="191">
        <v>29221</v>
      </c>
      <c r="D8" s="192">
        <v>2812652</v>
      </c>
      <c r="E8" s="193">
        <v>129731.4</v>
      </c>
      <c r="F8" s="227">
        <f t="shared" si="0"/>
        <v>4.6124227241763287E-2</v>
      </c>
      <c r="G8" s="194">
        <v>111441</v>
      </c>
      <c r="H8" s="193">
        <v>41050</v>
      </c>
      <c r="I8" s="193">
        <f t="shared" si="1"/>
        <v>0.36835634999685934</v>
      </c>
      <c r="J8" s="229"/>
      <c r="K8" s="193"/>
      <c r="L8" s="195"/>
      <c r="M8" s="193"/>
      <c r="N8" s="229"/>
      <c r="O8" s="193"/>
      <c r="P8" s="3"/>
      <c r="Q8" s="196"/>
      <c r="R8" s="194"/>
      <c r="S8" s="193"/>
      <c r="T8" s="193"/>
      <c r="U8" s="197"/>
      <c r="V8" s="196"/>
      <c r="W8" s="196"/>
      <c r="X8" s="197"/>
      <c r="Y8" s="196"/>
      <c r="Z8" s="196"/>
      <c r="AA8" s="95"/>
      <c r="AB8" s="196"/>
      <c r="AC8" s="196"/>
      <c r="AD8" s="197">
        <v>2070325</v>
      </c>
      <c r="AE8" s="197">
        <f>VLOOKUP(B8,Reference!A:B,2,0)</f>
        <v>16235.2</v>
      </c>
    </row>
    <row r="9" spans="1:31">
      <c r="A9" s="3">
        <v>1980</v>
      </c>
      <c r="B9" s="3" t="s">
        <v>429</v>
      </c>
      <c r="C9" s="191">
        <v>29252</v>
      </c>
      <c r="D9" s="192">
        <v>2930976</v>
      </c>
      <c r="E9" s="193">
        <v>146309.76000000001</v>
      </c>
      <c r="F9" s="227">
        <f t="shared" si="0"/>
        <v>4.9918443549179528E-2</v>
      </c>
      <c r="G9" s="194">
        <v>107104</v>
      </c>
      <c r="H9" s="193">
        <v>39593.660000000003</v>
      </c>
      <c r="I9" s="193">
        <f t="shared" si="1"/>
        <v>0.36967489542874221</v>
      </c>
      <c r="J9" s="229"/>
      <c r="K9" s="193"/>
      <c r="L9" s="195"/>
      <c r="M9" s="193"/>
      <c r="N9" s="229"/>
      <c r="O9" s="193"/>
      <c r="P9" s="3"/>
      <c r="Q9" s="196"/>
      <c r="R9" s="194"/>
      <c r="S9" s="193"/>
      <c r="T9" s="193"/>
      <c r="U9" s="197"/>
      <c r="V9" s="196"/>
      <c r="W9" s="196"/>
      <c r="X9" s="197"/>
      <c r="Y9" s="196"/>
      <c r="Z9" s="196"/>
      <c r="AA9" s="95"/>
      <c r="AB9" s="196"/>
      <c r="AC9" s="196"/>
      <c r="AD9" s="197">
        <v>2070325</v>
      </c>
      <c r="AE9" s="197">
        <f>VLOOKUP(B9,Reference!A:B,2,0)</f>
        <v>16235.2</v>
      </c>
    </row>
    <row r="10" spans="1:31">
      <c r="A10" s="3">
        <v>1980</v>
      </c>
      <c r="B10" s="3" t="s">
        <v>429</v>
      </c>
      <c r="C10" s="191">
        <v>29281</v>
      </c>
      <c r="D10" s="192">
        <v>3003015</v>
      </c>
      <c r="E10" s="193">
        <v>147260.68</v>
      </c>
      <c r="F10" s="227">
        <f t="shared" si="0"/>
        <v>4.903761053474591E-2</v>
      </c>
      <c r="G10" s="194">
        <v>108083</v>
      </c>
      <c r="H10" s="193">
        <v>40482.660000000003</v>
      </c>
      <c r="I10" s="193">
        <f t="shared" si="1"/>
        <v>0.3745515946078477</v>
      </c>
      <c r="J10" s="229"/>
      <c r="K10" s="193"/>
      <c r="L10" s="195"/>
      <c r="M10" s="193"/>
      <c r="N10" s="229"/>
      <c r="O10" s="193"/>
      <c r="P10" s="3"/>
      <c r="Q10" s="196"/>
      <c r="R10" s="194"/>
      <c r="S10" s="193"/>
      <c r="T10" s="193"/>
      <c r="U10" s="197"/>
      <c r="V10" s="196"/>
      <c r="W10" s="196"/>
      <c r="X10" s="197"/>
      <c r="Y10" s="196"/>
      <c r="Z10" s="196"/>
      <c r="AA10" s="95"/>
      <c r="AB10" s="196"/>
      <c r="AC10" s="196"/>
      <c r="AD10" s="197">
        <v>2070325</v>
      </c>
      <c r="AE10" s="197">
        <f>VLOOKUP(B10,Reference!A:B,2,0)</f>
        <v>16235.2</v>
      </c>
    </row>
    <row r="11" spans="1:31">
      <c r="A11" s="3">
        <v>1980</v>
      </c>
      <c r="B11" s="3" t="s">
        <v>429</v>
      </c>
      <c r="C11" s="191">
        <v>29312</v>
      </c>
      <c r="D11" s="192">
        <v>2864166</v>
      </c>
      <c r="E11" s="193">
        <v>159900</v>
      </c>
      <c r="F11" s="227">
        <f t="shared" si="0"/>
        <v>5.5827769759155023E-2</v>
      </c>
      <c r="G11" s="194">
        <v>79321</v>
      </c>
      <c r="H11" s="193">
        <v>29114.47</v>
      </c>
      <c r="I11" s="193">
        <f t="shared" si="1"/>
        <v>0.36704617944806545</v>
      </c>
      <c r="J11" s="229"/>
      <c r="K11" s="193"/>
      <c r="L11" s="195"/>
      <c r="M11" s="193"/>
      <c r="N11" s="229"/>
      <c r="O11" s="193"/>
      <c r="P11" s="3"/>
      <c r="Q11" s="196"/>
      <c r="R11" s="194"/>
      <c r="S11" s="193"/>
      <c r="T11" s="193"/>
      <c r="U11" s="197"/>
      <c r="V11" s="196"/>
      <c r="W11" s="196"/>
      <c r="X11" s="197"/>
      <c r="Y11" s="196"/>
      <c r="Z11" s="196"/>
      <c r="AA11" s="95"/>
      <c r="AB11" s="196"/>
      <c r="AC11" s="196"/>
      <c r="AD11" s="197">
        <v>2070325</v>
      </c>
      <c r="AE11" s="197">
        <f>VLOOKUP(B11,Reference!A:B,2,0)</f>
        <v>16235.2</v>
      </c>
    </row>
    <row r="12" spans="1:31">
      <c r="A12" s="3">
        <v>1980</v>
      </c>
      <c r="B12" s="3" t="s">
        <v>429</v>
      </c>
      <c r="C12" s="191">
        <v>29342</v>
      </c>
      <c r="D12" s="192">
        <v>2816173</v>
      </c>
      <c r="E12" s="193">
        <v>165957</v>
      </c>
      <c r="F12" s="227">
        <f t="shared" si="0"/>
        <v>5.8929973407173493E-2</v>
      </c>
      <c r="G12" s="194">
        <v>95281</v>
      </c>
      <c r="H12" s="193">
        <v>35100</v>
      </c>
      <c r="I12" s="193">
        <f t="shared" si="1"/>
        <v>0.36838404298863364</v>
      </c>
      <c r="J12" s="229"/>
      <c r="K12" s="193"/>
      <c r="L12" s="195"/>
      <c r="M12" s="193"/>
      <c r="N12" s="229"/>
      <c r="O12" s="193"/>
      <c r="P12" s="3"/>
      <c r="Q12" s="196"/>
      <c r="R12" s="194"/>
      <c r="S12" s="193"/>
      <c r="T12" s="193"/>
      <c r="U12" s="197"/>
      <c r="V12" s="196"/>
      <c r="W12" s="196"/>
      <c r="X12" s="197"/>
      <c r="Y12" s="196"/>
      <c r="Z12" s="196"/>
      <c r="AA12" s="95"/>
      <c r="AB12" s="196"/>
      <c r="AC12" s="196"/>
      <c r="AD12" s="197">
        <v>2070325</v>
      </c>
      <c r="AE12" s="197">
        <f>VLOOKUP(B12,Reference!A:B,2,0)</f>
        <v>16235.2</v>
      </c>
    </row>
    <row r="13" spans="1:31">
      <c r="A13" s="3">
        <v>1980</v>
      </c>
      <c r="B13" s="3" t="s">
        <v>429</v>
      </c>
      <c r="C13" s="191">
        <v>29373</v>
      </c>
      <c r="D13" s="192">
        <v>2832000</v>
      </c>
      <c r="E13" s="193">
        <v>165558</v>
      </c>
      <c r="F13" s="227">
        <f t="shared" si="0"/>
        <v>5.8459745762711866E-2</v>
      </c>
      <c r="G13" s="194">
        <v>28232</v>
      </c>
      <c r="H13" s="193">
        <v>9726</v>
      </c>
      <c r="I13" s="193">
        <f t="shared" si="1"/>
        <v>0.34450269198073108</v>
      </c>
      <c r="J13" s="229"/>
      <c r="K13" s="193"/>
      <c r="L13" s="195"/>
      <c r="M13" s="193"/>
      <c r="N13" s="229"/>
      <c r="O13" s="193"/>
      <c r="P13" s="3"/>
      <c r="Q13" s="196"/>
      <c r="R13" s="194"/>
      <c r="S13" s="193"/>
      <c r="T13" s="193"/>
      <c r="U13" s="197"/>
      <c r="V13" s="196"/>
      <c r="W13" s="196"/>
      <c r="X13" s="197"/>
      <c r="Y13" s="196"/>
      <c r="Z13" s="196"/>
      <c r="AA13" s="95"/>
      <c r="AB13" s="196"/>
      <c r="AC13" s="196"/>
      <c r="AD13" s="197">
        <v>2070325</v>
      </c>
      <c r="AE13" s="197">
        <f>VLOOKUP(B13,Reference!A:B,2,0)</f>
        <v>16235.2</v>
      </c>
    </row>
    <row r="14" spans="1:31">
      <c r="A14" s="3">
        <v>1980</v>
      </c>
      <c r="B14" s="3" t="s">
        <v>430</v>
      </c>
      <c r="C14" s="191">
        <v>29403</v>
      </c>
      <c r="D14" s="192">
        <v>3435196</v>
      </c>
      <c r="E14" s="193">
        <v>187493.71</v>
      </c>
      <c r="F14" s="227">
        <f t="shared" ref="F14:F25" si="2">IF(D14=0,0,E14/D14)</f>
        <v>5.4580207359347176E-2</v>
      </c>
      <c r="G14" s="194">
        <v>20078</v>
      </c>
      <c r="H14" s="193">
        <v>7335.22</v>
      </c>
      <c r="I14" s="193">
        <f t="shared" ref="I14:I25" si="3">IF(G14=0,0,H14/G14)</f>
        <v>0.36533618886343261</v>
      </c>
      <c r="J14" s="229"/>
      <c r="K14" s="193"/>
      <c r="L14" s="195"/>
      <c r="M14" s="193"/>
      <c r="N14" s="229"/>
      <c r="O14" s="193"/>
      <c r="P14" s="3"/>
      <c r="Q14" s="196"/>
      <c r="R14" s="194"/>
      <c r="S14" s="193"/>
      <c r="T14" s="193"/>
      <c r="U14" s="197"/>
      <c r="V14" s="196"/>
      <c r="W14" s="196"/>
      <c r="X14" s="197"/>
      <c r="Y14" s="196"/>
      <c r="Z14" s="196"/>
      <c r="AA14" s="95"/>
      <c r="AB14" s="196"/>
      <c r="AC14" s="196"/>
      <c r="AD14" s="197">
        <v>2070325</v>
      </c>
      <c r="AE14" s="197">
        <f>VLOOKUP(B14,Reference!A:B,2,0)</f>
        <v>16030.1</v>
      </c>
    </row>
    <row r="15" spans="1:31">
      <c r="A15" s="3">
        <v>1980</v>
      </c>
      <c r="B15" s="3" t="s">
        <v>430</v>
      </c>
      <c r="C15" s="191">
        <v>29434</v>
      </c>
      <c r="D15" s="192">
        <v>3351533</v>
      </c>
      <c r="E15" s="193">
        <v>165777</v>
      </c>
      <c r="F15" s="227">
        <f t="shared" si="2"/>
        <v>4.9463036765563698E-2</v>
      </c>
      <c r="G15" s="194">
        <v>7667</v>
      </c>
      <c r="H15" s="193">
        <v>2940.97</v>
      </c>
      <c r="I15" s="193">
        <f t="shared" si="3"/>
        <v>0.38358810486500583</v>
      </c>
      <c r="J15" s="229"/>
      <c r="K15" s="193"/>
      <c r="L15" s="195"/>
      <c r="M15" s="193"/>
      <c r="N15" s="229"/>
      <c r="O15" s="193"/>
      <c r="P15" s="3"/>
      <c r="Q15" s="196"/>
      <c r="R15" s="194"/>
      <c r="S15" s="193"/>
      <c r="T15" s="193"/>
      <c r="U15" s="197"/>
      <c r="V15" s="196"/>
      <c r="W15" s="196"/>
      <c r="X15" s="197"/>
      <c r="Y15" s="196"/>
      <c r="Z15" s="196"/>
      <c r="AA15" s="95"/>
      <c r="AB15" s="196"/>
      <c r="AC15" s="196"/>
      <c r="AD15" s="197">
        <v>2070325</v>
      </c>
      <c r="AE15" s="197">
        <f>VLOOKUP(B15,Reference!A:B,2,0)</f>
        <v>16030.1</v>
      </c>
    </row>
    <row r="16" spans="1:31">
      <c r="A16" s="3">
        <v>1980</v>
      </c>
      <c r="B16" s="3" t="s">
        <v>430</v>
      </c>
      <c r="C16" s="191">
        <v>29465</v>
      </c>
      <c r="D16" s="192">
        <v>2791959</v>
      </c>
      <c r="E16" s="193">
        <v>133366</v>
      </c>
      <c r="F16" s="227">
        <f t="shared" si="2"/>
        <v>4.7767893439695924E-2</v>
      </c>
      <c r="G16" s="194">
        <v>16561</v>
      </c>
      <c r="H16" s="193">
        <v>6071</v>
      </c>
      <c r="I16" s="193">
        <f t="shared" si="3"/>
        <v>0.36658414346959722</v>
      </c>
      <c r="J16" s="229"/>
      <c r="K16" s="193"/>
      <c r="L16" s="195"/>
      <c r="M16" s="193"/>
      <c r="N16" s="229"/>
      <c r="O16" s="193"/>
      <c r="P16" s="3"/>
      <c r="Q16" s="196"/>
      <c r="R16" s="194"/>
      <c r="S16" s="193"/>
      <c r="T16" s="193"/>
      <c r="U16" s="197"/>
      <c r="V16" s="196"/>
      <c r="W16" s="196"/>
      <c r="X16" s="197"/>
      <c r="Y16" s="196"/>
      <c r="Z16" s="196"/>
      <c r="AA16" s="95"/>
      <c r="AB16" s="196"/>
      <c r="AC16" s="196"/>
      <c r="AD16" s="197">
        <v>2070325</v>
      </c>
      <c r="AE16" s="197">
        <f>VLOOKUP(B16,Reference!A:B,2,0)</f>
        <v>16030.1</v>
      </c>
    </row>
    <row r="17" spans="1:31">
      <c r="A17" s="3">
        <v>1980</v>
      </c>
      <c r="B17" s="3" t="s">
        <v>430</v>
      </c>
      <c r="C17" s="191">
        <v>29495</v>
      </c>
      <c r="D17" s="192">
        <v>3207367</v>
      </c>
      <c r="E17" s="193">
        <v>165226.79999999999</v>
      </c>
      <c r="F17" s="227">
        <f t="shared" si="2"/>
        <v>5.1514778321283469E-2</v>
      </c>
      <c r="G17" s="194">
        <v>44002</v>
      </c>
      <c r="H17" s="193">
        <v>16241</v>
      </c>
      <c r="I17" s="193">
        <f t="shared" si="3"/>
        <v>0.36909685923367119</v>
      </c>
      <c r="J17" s="229"/>
      <c r="K17" s="193"/>
      <c r="L17" s="195"/>
      <c r="M17" s="193"/>
      <c r="N17" s="229"/>
      <c r="O17" s="193"/>
      <c r="P17" s="3"/>
      <c r="Q17" s="196"/>
      <c r="R17" s="194"/>
      <c r="S17" s="193"/>
      <c r="T17" s="193"/>
      <c r="U17" s="197"/>
      <c r="V17" s="196"/>
      <c r="W17" s="196"/>
      <c r="X17" s="197"/>
      <c r="Y17" s="196"/>
      <c r="Z17" s="196"/>
      <c r="AA17" s="95"/>
      <c r="AB17" s="196"/>
      <c r="AC17" s="196"/>
      <c r="AD17" s="197">
        <v>2070325</v>
      </c>
      <c r="AE17" s="197">
        <f>VLOOKUP(B17,Reference!A:B,2,0)</f>
        <v>16030.1</v>
      </c>
    </row>
    <row r="18" spans="1:31">
      <c r="A18" s="3">
        <v>1980</v>
      </c>
      <c r="B18" s="3" t="s">
        <v>430</v>
      </c>
      <c r="C18" s="191">
        <v>29526</v>
      </c>
      <c r="D18" s="192">
        <v>3051324</v>
      </c>
      <c r="E18" s="193">
        <v>184699.53</v>
      </c>
      <c r="F18" s="227">
        <f t="shared" si="2"/>
        <v>6.0530946566146368E-2</v>
      </c>
      <c r="G18" s="194">
        <v>100239</v>
      </c>
      <c r="H18" s="193">
        <v>37697</v>
      </c>
      <c r="I18" s="193">
        <f t="shared" si="3"/>
        <v>0.3760711898562436</v>
      </c>
      <c r="J18" s="229"/>
      <c r="K18" s="193"/>
      <c r="L18" s="195"/>
      <c r="M18" s="193"/>
      <c r="N18" s="229"/>
      <c r="O18" s="193"/>
      <c r="P18" s="3"/>
      <c r="Q18" s="196"/>
      <c r="R18" s="194"/>
      <c r="S18" s="193"/>
      <c r="T18" s="193"/>
      <c r="U18" s="197"/>
      <c r="V18" s="196"/>
      <c r="W18" s="196"/>
      <c r="X18" s="197"/>
      <c r="Y18" s="196"/>
      <c r="Z18" s="196"/>
      <c r="AA18" s="95"/>
      <c r="AB18" s="196"/>
      <c r="AC18" s="196"/>
      <c r="AD18" s="197">
        <v>2070325</v>
      </c>
      <c r="AE18" s="197">
        <f>VLOOKUP(B18,Reference!A:B,2,0)</f>
        <v>16030.1</v>
      </c>
    </row>
    <row r="19" spans="1:31">
      <c r="A19" s="3">
        <v>1980</v>
      </c>
      <c r="B19" s="3" t="s">
        <v>430</v>
      </c>
      <c r="C19" s="191">
        <v>29556</v>
      </c>
      <c r="D19" s="192">
        <v>3120956</v>
      </c>
      <c r="E19" s="193">
        <v>194758.83</v>
      </c>
      <c r="F19" s="227">
        <f t="shared" si="2"/>
        <v>6.2403580825875146E-2</v>
      </c>
      <c r="G19" s="194">
        <v>112532</v>
      </c>
      <c r="H19" s="193">
        <v>42335</v>
      </c>
      <c r="I19" s="193">
        <f t="shared" si="3"/>
        <v>0.37620410194433584</v>
      </c>
      <c r="J19" s="229"/>
      <c r="K19" s="193"/>
      <c r="L19" s="195"/>
      <c r="M19" s="193"/>
      <c r="N19" s="229"/>
      <c r="O19" s="193"/>
      <c r="P19" s="3"/>
      <c r="Q19" s="196"/>
      <c r="R19" s="194"/>
      <c r="S19" s="193"/>
      <c r="T19" s="193"/>
      <c r="U19" s="197"/>
      <c r="V19" s="196"/>
      <c r="W19" s="196"/>
      <c r="X19" s="197"/>
      <c r="Y19" s="196"/>
      <c r="Z19" s="196"/>
      <c r="AA19" s="95"/>
      <c r="AB19" s="196"/>
      <c r="AC19" s="196"/>
      <c r="AD19" s="197">
        <v>2070325</v>
      </c>
      <c r="AE19" s="197">
        <f>VLOOKUP(B19,Reference!A:B,2,0)</f>
        <v>16030.1</v>
      </c>
    </row>
    <row r="20" spans="1:31">
      <c r="A20" s="3">
        <v>1981</v>
      </c>
      <c r="B20" s="3" t="s">
        <v>430</v>
      </c>
      <c r="C20" s="191">
        <v>29587</v>
      </c>
      <c r="D20" s="192">
        <v>3036110</v>
      </c>
      <c r="E20" s="193">
        <v>188922</v>
      </c>
      <c r="F20" s="227">
        <f t="shared" si="2"/>
        <v>6.2225018197627886E-2</v>
      </c>
      <c r="G20" s="194">
        <v>122729</v>
      </c>
      <c r="H20" s="193">
        <v>46054.6</v>
      </c>
      <c r="I20" s="193">
        <f t="shared" si="3"/>
        <v>0.37525442234516698</v>
      </c>
      <c r="J20" s="229"/>
      <c r="K20" s="193"/>
      <c r="L20" s="195"/>
      <c r="M20" s="193"/>
      <c r="N20" s="229"/>
      <c r="O20" s="193"/>
      <c r="P20" s="3"/>
      <c r="Q20" s="196"/>
      <c r="R20" s="194"/>
      <c r="S20" s="193"/>
      <c r="T20" s="193"/>
      <c r="U20" s="197"/>
      <c r="V20" s="196"/>
      <c r="W20" s="196"/>
      <c r="X20" s="197"/>
      <c r="Y20" s="196"/>
      <c r="Z20" s="196"/>
      <c r="AA20" s="95"/>
      <c r="AB20" s="196"/>
      <c r="AC20" s="196"/>
      <c r="AD20" s="197">
        <v>2070325</v>
      </c>
      <c r="AE20" s="197">
        <f>VLOOKUP(B20,Reference!A:B,2,0)</f>
        <v>16030.1</v>
      </c>
    </row>
    <row r="21" spans="1:31">
      <c r="A21" s="3">
        <v>1981</v>
      </c>
      <c r="B21" s="3" t="s">
        <v>430</v>
      </c>
      <c r="C21" s="191">
        <v>29618</v>
      </c>
      <c r="D21" s="192">
        <v>3207271</v>
      </c>
      <c r="E21" s="193">
        <v>195069</v>
      </c>
      <c r="F21" s="227">
        <f t="shared" si="2"/>
        <v>6.082086608833491E-2</v>
      </c>
      <c r="G21" s="194">
        <v>125174</v>
      </c>
      <c r="H21" s="193">
        <v>46989</v>
      </c>
      <c r="I21" s="193">
        <f t="shared" si="3"/>
        <v>0.37538945787463851</v>
      </c>
      <c r="J21" s="229"/>
      <c r="K21" s="193"/>
      <c r="L21" s="195"/>
      <c r="M21" s="193"/>
      <c r="N21" s="229"/>
      <c r="O21" s="193"/>
      <c r="P21" s="3"/>
      <c r="Q21" s="196"/>
      <c r="R21" s="194"/>
      <c r="S21" s="193"/>
      <c r="T21" s="193"/>
      <c r="U21" s="197"/>
      <c r="V21" s="196"/>
      <c r="W21" s="196"/>
      <c r="X21" s="197"/>
      <c r="Y21" s="196"/>
      <c r="Z21" s="196"/>
      <c r="AA21" s="95"/>
      <c r="AB21" s="196"/>
      <c r="AC21" s="196"/>
      <c r="AD21" s="197">
        <v>2070325</v>
      </c>
      <c r="AE21" s="197">
        <f>VLOOKUP(B21,Reference!A:B,2,0)</f>
        <v>16030.1</v>
      </c>
    </row>
    <row r="22" spans="1:31">
      <c r="A22" s="3">
        <v>1981</v>
      </c>
      <c r="B22" s="3" t="s">
        <v>430</v>
      </c>
      <c r="C22" s="191">
        <v>29646</v>
      </c>
      <c r="D22" s="192">
        <v>2725144</v>
      </c>
      <c r="E22" s="193">
        <v>166454</v>
      </c>
      <c r="F22" s="227">
        <f t="shared" si="2"/>
        <v>6.1080808940738543E-2</v>
      </c>
      <c r="G22" s="194">
        <v>126318</v>
      </c>
      <c r="H22" s="193">
        <v>47374</v>
      </c>
      <c r="I22" s="193">
        <f t="shared" si="3"/>
        <v>0.37503760350860527</v>
      </c>
      <c r="J22" s="229"/>
      <c r="K22" s="193"/>
      <c r="L22" s="195"/>
      <c r="M22" s="193"/>
      <c r="N22" s="229"/>
      <c r="O22" s="193"/>
      <c r="P22" s="3"/>
      <c r="Q22" s="196"/>
      <c r="R22" s="194"/>
      <c r="S22" s="193"/>
      <c r="T22" s="193"/>
      <c r="U22" s="197"/>
      <c r="V22" s="196"/>
      <c r="W22" s="196"/>
      <c r="X22" s="197"/>
      <c r="Y22" s="196"/>
      <c r="Z22" s="196"/>
      <c r="AA22" s="95"/>
      <c r="AB22" s="196"/>
      <c r="AC22" s="196"/>
      <c r="AD22" s="197">
        <v>2070325</v>
      </c>
      <c r="AE22" s="197">
        <f>VLOOKUP(B22,Reference!A:B,2,0)</f>
        <v>16030.1</v>
      </c>
    </row>
    <row r="23" spans="1:31">
      <c r="A23" s="3">
        <v>1981</v>
      </c>
      <c r="B23" s="3" t="s">
        <v>430</v>
      </c>
      <c r="C23" s="191">
        <v>29677</v>
      </c>
      <c r="D23" s="192">
        <v>3015253</v>
      </c>
      <c r="E23" s="193">
        <v>186301.59</v>
      </c>
      <c r="F23" s="227">
        <f t="shared" si="2"/>
        <v>6.1786387410940308E-2</v>
      </c>
      <c r="G23" s="194">
        <v>92362</v>
      </c>
      <c r="H23" s="193">
        <v>34521.94</v>
      </c>
      <c r="I23" s="193">
        <f t="shared" si="3"/>
        <v>0.37376778328749921</v>
      </c>
      <c r="J23" s="229"/>
      <c r="K23" s="193"/>
      <c r="L23" s="195"/>
      <c r="M23" s="193"/>
      <c r="N23" s="229"/>
      <c r="O23" s="193"/>
      <c r="P23" s="3"/>
      <c r="Q23" s="196"/>
      <c r="R23" s="194"/>
      <c r="S23" s="193"/>
      <c r="T23" s="193"/>
      <c r="U23" s="197"/>
      <c r="V23" s="196"/>
      <c r="W23" s="196"/>
      <c r="X23" s="197"/>
      <c r="Y23" s="196"/>
      <c r="Z23" s="196"/>
      <c r="AA23" s="95"/>
      <c r="AB23" s="196"/>
      <c r="AC23" s="196"/>
      <c r="AD23" s="197">
        <v>2070325</v>
      </c>
      <c r="AE23" s="197">
        <f>VLOOKUP(B23,Reference!A:B,2,0)</f>
        <v>16030.1</v>
      </c>
    </row>
    <row r="24" spans="1:31">
      <c r="A24" s="3">
        <v>1981</v>
      </c>
      <c r="B24" s="3" t="s">
        <v>430</v>
      </c>
      <c r="C24" s="191">
        <v>29707</v>
      </c>
      <c r="D24" s="192">
        <v>3244966</v>
      </c>
      <c r="E24" s="193">
        <v>203517.51</v>
      </c>
      <c r="F24" s="227">
        <f t="shared" si="2"/>
        <v>6.2717917537502707E-2</v>
      </c>
      <c r="G24" s="194">
        <v>65892</v>
      </c>
      <c r="H24" s="193">
        <v>26041.38</v>
      </c>
      <c r="I24" s="193">
        <f t="shared" si="3"/>
        <v>0.39521307594245131</v>
      </c>
      <c r="J24" s="229"/>
      <c r="K24" s="193"/>
      <c r="L24" s="195"/>
      <c r="M24" s="193"/>
      <c r="N24" s="229"/>
      <c r="O24" s="193"/>
      <c r="P24" s="3"/>
      <c r="Q24" s="196"/>
      <c r="R24" s="194"/>
      <c r="S24" s="193"/>
      <c r="T24" s="193"/>
      <c r="U24" s="197"/>
      <c r="V24" s="196"/>
      <c r="W24" s="196"/>
      <c r="X24" s="197"/>
      <c r="Y24" s="196"/>
      <c r="Z24" s="196"/>
      <c r="AA24" s="95"/>
      <c r="AB24" s="196"/>
      <c r="AC24" s="196"/>
      <c r="AD24" s="197">
        <v>2070325</v>
      </c>
      <c r="AE24" s="197">
        <f>VLOOKUP(B24,Reference!A:B,2,0)</f>
        <v>16030.1</v>
      </c>
    </row>
    <row r="25" spans="1:31">
      <c r="A25" s="3">
        <v>1981</v>
      </c>
      <c r="B25" s="3" t="s">
        <v>430</v>
      </c>
      <c r="C25" s="191">
        <v>29738</v>
      </c>
      <c r="D25" s="192">
        <v>3506073</v>
      </c>
      <c r="E25" s="193">
        <v>222952.48</v>
      </c>
      <c r="F25" s="227">
        <f t="shared" si="2"/>
        <v>6.3590370194801987E-2</v>
      </c>
      <c r="G25" s="194">
        <v>20878</v>
      </c>
      <c r="H25" s="193">
        <v>7597.29</v>
      </c>
      <c r="I25" s="193">
        <f t="shared" si="3"/>
        <v>0.36388974039658972</v>
      </c>
      <c r="J25" s="229"/>
      <c r="K25" s="193"/>
      <c r="L25" s="195"/>
      <c r="M25" s="193"/>
      <c r="N25" s="229"/>
      <c r="O25" s="193"/>
      <c r="P25" s="3"/>
      <c r="Q25" s="196"/>
      <c r="R25" s="194"/>
      <c r="S25" s="193"/>
      <c r="T25" s="193"/>
      <c r="U25" s="197"/>
      <c r="V25" s="196"/>
      <c r="W25" s="196"/>
      <c r="X25" s="197"/>
      <c r="Y25" s="196"/>
      <c r="Z25" s="196"/>
      <c r="AA25" s="95"/>
      <c r="AB25" s="196"/>
      <c r="AC25" s="196"/>
      <c r="AD25" s="197">
        <v>2070325</v>
      </c>
      <c r="AE25" s="197">
        <f>VLOOKUP(B25,Reference!A:B,2,0)</f>
        <v>16030.1</v>
      </c>
    </row>
    <row r="26" spans="1:31">
      <c r="A26" s="3">
        <v>1981</v>
      </c>
      <c r="B26" s="3" t="s">
        <v>431</v>
      </c>
      <c r="C26" s="191">
        <v>29768</v>
      </c>
      <c r="D26" s="192">
        <v>3648169</v>
      </c>
      <c r="E26" s="193">
        <v>230859</v>
      </c>
      <c r="F26" s="227">
        <f t="shared" ref="F26:F89" si="4">IF(D26&gt;0,(E26/D26),0)</f>
        <v>6.3280785511855397E-2</v>
      </c>
      <c r="G26" s="194">
        <v>20797</v>
      </c>
      <c r="H26" s="193">
        <v>7634</v>
      </c>
      <c r="I26" s="193">
        <f t="shared" ref="I26:I89" si="5">IF(G26&gt;0,(H26/G26),0)</f>
        <v>0.36707217387123142</v>
      </c>
      <c r="J26" s="229"/>
      <c r="K26" s="193"/>
      <c r="L26" s="195"/>
      <c r="M26" s="193"/>
      <c r="N26" s="229"/>
      <c r="O26" s="193"/>
      <c r="P26" s="3"/>
      <c r="Q26" s="196"/>
      <c r="R26" s="194"/>
      <c r="S26" s="193"/>
      <c r="T26" s="193"/>
      <c r="U26" s="197"/>
      <c r="V26" s="196"/>
      <c r="W26" s="196"/>
      <c r="X26" s="197"/>
      <c r="Y26" s="196"/>
      <c r="Z26" s="196"/>
      <c r="AA26" s="95"/>
      <c r="AB26" s="196"/>
      <c r="AC26" s="196"/>
      <c r="AD26" s="197">
        <v>2070325</v>
      </c>
      <c r="AE26" s="197">
        <f>VLOOKUP(B26,Reference!A:B,2,0)</f>
        <v>16382.6</v>
      </c>
    </row>
    <row r="27" spans="1:31">
      <c r="A27" s="3">
        <v>1981</v>
      </c>
      <c r="B27" s="3" t="s">
        <v>431</v>
      </c>
      <c r="C27" s="191">
        <v>29799</v>
      </c>
      <c r="D27" s="192">
        <v>3418948</v>
      </c>
      <c r="E27" s="193">
        <v>208747</v>
      </c>
      <c r="F27" s="227">
        <f t="shared" si="4"/>
        <v>6.1055915445335819E-2</v>
      </c>
      <c r="G27" s="194">
        <v>20614</v>
      </c>
      <c r="H27" s="193">
        <v>7545</v>
      </c>
      <c r="I27" s="193">
        <f t="shared" si="5"/>
        <v>0.36601338895895991</v>
      </c>
      <c r="J27" s="229"/>
      <c r="K27" s="193"/>
      <c r="L27" s="195"/>
      <c r="M27" s="193"/>
      <c r="N27" s="229"/>
      <c r="O27" s="193"/>
      <c r="P27" s="3"/>
      <c r="Q27" s="196"/>
      <c r="R27" s="194"/>
      <c r="S27" s="193"/>
      <c r="T27" s="193"/>
      <c r="U27" s="197"/>
      <c r="V27" s="196"/>
      <c r="W27" s="196"/>
      <c r="X27" s="197"/>
      <c r="Y27" s="196"/>
      <c r="Z27" s="196"/>
      <c r="AA27" s="95"/>
      <c r="AB27" s="196"/>
      <c r="AC27" s="196"/>
      <c r="AD27" s="197">
        <v>2070325</v>
      </c>
      <c r="AE27" s="197">
        <f>VLOOKUP(B27,Reference!A:B,2,0)</f>
        <v>16382.6</v>
      </c>
    </row>
    <row r="28" spans="1:31">
      <c r="A28" s="3">
        <v>1981</v>
      </c>
      <c r="B28" s="3" t="s">
        <v>431</v>
      </c>
      <c r="C28" s="191">
        <v>29830</v>
      </c>
      <c r="D28" s="192">
        <v>3431350</v>
      </c>
      <c r="E28" s="193">
        <v>195143</v>
      </c>
      <c r="F28" s="227">
        <f t="shared" si="4"/>
        <v>5.6870619435499148E-2</v>
      </c>
      <c r="G28" s="194">
        <v>22828</v>
      </c>
      <c r="H28" s="193">
        <v>8578</v>
      </c>
      <c r="I28" s="193">
        <f t="shared" si="5"/>
        <v>0.37576660241808307</v>
      </c>
      <c r="J28" s="229"/>
      <c r="K28" s="193"/>
      <c r="L28" s="195"/>
      <c r="M28" s="193"/>
      <c r="N28" s="229"/>
      <c r="O28" s="193"/>
      <c r="P28" s="3"/>
      <c r="Q28" s="196"/>
      <c r="R28" s="194"/>
      <c r="S28" s="193"/>
      <c r="T28" s="193"/>
      <c r="U28" s="197"/>
      <c r="V28" s="196"/>
      <c r="W28" s="196"/>
      <c r="X28" s="197"/>
      <c r="Y28" s="196"/>
      <c r="Z28" s="196"/>
      <c r="AA28" s="95"/>
      <c r="AB28" s="196"/>
      <c r="AC28" s="196"/>
      <c r="AD28" s="197">
        <v>2070325</v>
      </c>
      <c r="AE28" s="197">
        <f>VLOOKUP(B28,Reference!A:B,2,0)</f>
        <v>16382.6</v>
      </c>
    </row>
    <row r="29" spans="1:31">
      <c r="A29" s="3">
        <v>1981</v>
      </c>
      <c r="B29" s="3" t="s">
        <v>431</v>
      </c>
      <c r="C29" s="191">
        <v>29860</v>
      </c>
      <c r="D29" s="192">
        <v>3148963</v>
      </c>
      <c r="E29" s="193">
        <v>174963</v>
      </c>
      <c r="F29" s="227">
        <f t="shared" si="4"/>
        <v>5.5562100920207698E-2</v>
      </c>
      <c r="G29" s="194">
        <v>64977</v>
      </c>
      <c r="H29" s="193">
        <v>26697</v>
      </c>
      <c r="I29" s="193">
        <f t="shared" si="5"/>
        <v>0.41086846114779074</v>
      </c>
      <c r="J29" s="229"/>
      <c r="K29" s="193"/>
      <c r="L29" s="195"/>
      <c r="M29" s="193"/>
      <c r="N29" s="229"/>
      <c r="O29" s="193"/>
      <c r="P29" s="3"/>
      <c r="Q29" s="196"/>
      <c r="R29" s="194"/>
      <c r="S29" s="193"/>
      <c r="T29" s="193"/>
      <c r="U29" s="197"/>
      <c r="V29" s="196"/>
      <c r="W29" s="196"/>
      <c r="X29" s="197"/>
      <c r="Y29" s="196"/>
      <c r="Z29" s="196"/>
      <c r="AA29" s="95"/>
      <c r="AB29" s="196"/>
      <c r="AC29" s="196"/>
      <c r="AD29" s="197">
        <v>2070325</v>
      </c>
      <c r="AE29" s="197">
        <f>VLOOKUP(B29,Reference!A:B,2,0)</f>
        <v>16382.6</v>
      </c>
    </row>
    <row r="30" spans="1:31">
      <c r="A30" s="3">
        <v>1981</v>
      </c>
      <c r="B30" s="3" t="s">
        <v>431</v>
      </c>
      <c r="C30" s="191">
        <v>29891</v>
      </c>
      <c r="D30" s="192">
        <v>3034625</v>
      </c>
      <c r="E30" s="193">
        <v>173202</v>
      </c>
      <c r="F30" s="227">
        <f t="shared" si="4"/>
        <v>5.7075256415537338E-2</v>
      </c>
      <c r="G30" s="194">
        <v>122083</v>
      </c>
      <c r="H30" s="193">
        <v>51458</v>
      </c>
      <c r="I30" s="193">
        <f t="shared" si="5"/>
        <v>0.42150012696280398</v>
      </c>
      <c r="J30" s="229"/>
      <c r="K30" s="193"/>
      <c r="L30" s="195"/>
      <c r="M30" s="193"/>
      <c r="N30" s="229"/>
      <c r="O30" s="193"/>
      <c r="P30" s="3"/>
      <c r="Q30" s="196"/>
      <c r="R30" s="194"/>
      <c r="S30" s="193"/>
      <c r="T30" s="193"/>
      <c r="U30" s="197"/>
      <c r="V30" s="196"/>
      <c r="W30" s="196"/>
      <c r="X30" s="197"/>
      <c r="Y30" s="196"/>
      <c r="Z30" s="196"/>
      <c r="AA30" s="95"/>
      <c r="AB30" s="196"/>
      <c r="AC30" s="196"/>
      <c r="AD30" s="197">
        <v>2070325</v>
      </c>
      <c r="AE30" s="197">
        <f>VLOOKUP(B30,Reference!A:B,2,0)</f>
        <v>16382.6</v>
      </c>
    </row>
    <row r="31" spans="1:31">
      <c r="A31" s="3">
        <v>1981</v>
      </c>
      <c r="B31" s="3" t="s">
        <v>431</v>
      </c>
      <c r="C31" s="191">
        <v>29921</v>
      </c>
      <c r="D31" s="192">
        <v>2861851</v>
      </c>
      <c r="E31" s="193">
        <v>169909</v>
      </c>
      <c r="F31" s="227">
        <f t="shared" si="4"/>
        <v>5.937031662375155E-2</v>
      </c>
      <c r="G31" s="194">
        <v>146413</v>
      </c>
      <c r="H31" s="193">
        <v>63521</v>
      </c>
      <c r="I31" s="193">
        <f t="shared" si="5"/>
        <v>0.43384808726001106</v>
      </c>
      <c r="J31" s="229"/>
      <c r="K31" s="193"/>
      <c r="L31" s="195"/>
      <c r="M31" s="193"/>
      <c r="N31" s="229"/>
      <c r="O31" s="193"/>
      <c r="P31" s="3"/>
      <c r="Q31" s="196"/>
      <c r="R31" s="194"/>
      <c r="S31" s="193"/>
      <c r="T31" s="193"/>
      <c r="U31" s="197"/>
      <c r="V31" s="196"/>
      <c r="W31" s="196"/>
      <c r="X31" s="197"/>
      <c r="Y31" s="196"/>
      <c r="Z31" s="196"/>
      <c r="AA31" s="95"/>
      <c r="AB31" s="196"/>
      <c r="AC31" s="196"/>
      <c r="AD31" s="197">
        <v>2070325</v>
      </c>
      <c r="AE31" s="197">
        <f>VLOOKUP(B31,Reference!A:B,2,0)</f>
        <v>16382.6</v>
      </c>
    </row>
    <row r="32" spans="1:31">
      <c r="A32" s="3">
        <v>1982</v>
      </c>
      <c r="B32" s="3" t="s">
        <v>431</v>
      </c>
      <c r="C32" s="191">
        <v>29952</v>
      </c>
      <c r="D32" s="192">
        <v>2744127</v>
      </c>
      <c r="E32" s="193">
        <v>173644</v>
      </c>
      <c r="F32" s="227">
        <f t="shared" si="4"/>
        <v>6.3278412405839812E-2</v>
      </c>
      <c r="G32" s="194">
        <v>157839</v>
      </c>
      <c r="H32" s="193">
        <v>69223</v>
      </c>
      <c r="I32" s="193">
        <f t="shared" si="5"/>
        <v>0.43856714753641368</v>
      </c>
      <c r="J32" s="229"/>
      <c r="K32" s="193"/>
      <c r="L32" s="195"/>
      <c r="M32" s="193"/>
      <c r="N32" s="229"/>
      <c r="O32" s="193"/>
      <c r="P32" s="3"/>
      <c r="Q32" s="196"/>
      <c r="R32" s="194"/>
      <c r="S32" s="193"/>
      <c r="T32" s="193"/>
      <c r="U32" s="197"/>
      <c r="V32" s="196"/>
      <c r="W32" s="196"/>
      <c r="X32" s="197"/>
      <c r="Y32" s="196"/>
      <c r="Z32" s="196"/>
      <c r="AA32" s="95"/>
      <c r="AB32" s="196"/>
      <c r="AC32" s="196"/>
      <c r="AD32" s="197">
        <v>2070325</v>
      </c>
      <c r="AE32" s="197">
        <f>VLOOKUP(B32,Reference!A:B,2,0)</f>
        <v>16382.6</v>
      </c>
    </row>
    <row r="33" spans="1:31">
      <c r="A33" s="3">
        <v>1982</v>
      </c>
      <c r="B33" s="3" t="s">
        <v>431</v>
      </c>
      <c r="C33" s="191">
        <v>29983</v>
      </c>
      <c r="D33" s="192">
        <v>2781680</v>
      </c>
      <c r="E33" s="193">
        <v>181863</v>
      </c>
      <c r="F33" s="227">
        <f t="shared" si="4"/>
        <v>6.5378835811452068E-2</v>
      </c>
      <c r="G33" s="194">
        <v>147766</v>
      </c>
      <c r="H33" s="193">
        <v>64640</v>
      </c>
      <c r="I33" s="193">
        <f t="shared" si="5"/>
        <v>0.4374483981430099</v>
      </c>
      <c r="J33" s="229"/>
      <c r="K33" s="193"/>
      <c r="L33" s="195"/>
      <c r="M33" s="193"/>
      <c r="N33" s="229"/>
      <c r="O33" s="193"/>
      <c r="P33" s="3"/>
      <c r="Q33" s="196"/>
      <c r="R33" s="194"/>
      <c r="S33" s="193"/>
      <c r="T33" s="193"/>
      <c r="U33" s="197"/>
      <c r="V33" s="196"/>
      <c r="W33" s="196"/>
      <c r="X33" s="197"/>
      <c r="Y33" s="196"/>
      <c r="Z33" s="196"/>
      <c r="AA33" s="95"/>
      <c r="AB33" s="196"/>
      <c r="AC33" s="196"/>
      <c r="AD33" s="197">
        <v>2070325</v>
      </c>
      <c r="AE33" s="197">
        <f>VLOOKUP(B33,Reference!A:B,2,0)</f>
        <v>16382.6</v>
      </c>
    </row>
    <row r="34" spans="1:31">
      <c r="A34" s="3">
        <v>1982</v>
      </c>
      <c r="B34" s="3" t="s">
        <v>431</v>
      </c>
      <c r="C34" s="191">
        <v>30011</v>
      </c>
      <c r="D34" s="192">
        <v>2823223</v>
      </c>
      <c r="E34" s="193">
        <v>184046</v>
      </c>
      <c r="F34" s="227">
        <f t="shared" si="4"/>
        <v>6.5190032810018908E-2</v>
      </c>
      <c r="G34" s="194">
        <v>152948</v>
      </c>
      <c r="H34" s="193">
        <v>66995</v>
      </c>
      <c r="I34" s="193">
        <f t="shared" si="5"/>
        <v>0.43802468812929884</v>
      </c>
      <c r="J34" s="229"/>
      <c r="K34" s="193"/>
      <c r="L34" s="195"/>
      <c r="M34" s="193"/>
      <c r="N34" s="229"/>
      <c r="O34" s="193"/>
      <c r="P34" s="3"/>
      <c r="Q34" s="196"/>
      <c r="R34" s="194"/>
      <c r="S34" s="193"/>
      <c r="T34" s="193"/>
      <c r="U34" s="197"/>
      <c r="V34" s="196"/>
      <c r="W34" s="196"/>
      <c r="X34" s="197"/>
      <c r="Y34" s="196"/>
      <c r="Z34" s="196"/>
      <c r="AA34" s="95"/>
      <c r="AB34" s="196"/>
      <c r="AC34" s="196"/>
      <c r="AD34" s="197">
        <v>2070325</v>
      </c>
      <c r="AE34" s="197">
        <f>VLOOKUP(B34,Reference!A:B,2,0)</f>
        <v>16382.6</v>
      </c>
    </row>
    <row r="35" spans="1:31">
      <c r="A35" s="3">
        <v>1982</v>
      </c>
      <c r="B35" s="3" t="s">
        <v>431</v>
      </c>
      <c r="C35" s="191">
        <v>30042</v>
      </c>
      <c r="D35" s="192">
        <v>2992170</v>
      </c>
      <c r="E35" s="193">
        <v>189066</v>
      </c>
      <c r="F35" s="227">
        <f t="shared" si="4"/>
        <v>6.3186917855603125E-2</v>
      </c>
      <c r="G35" s="194">
        <v>89162</v>
      </c>
      <c r="H35" s="193">
        <v>39369</v>
      </c>
      <c r="I35" s="193">
        <f t="shared" si="5"/>
        <v>0.44154460420358449</v>
      </c>
      <c r="J35" s="229"/>
      <c r="K35" s="193"/>
      <c r="L35" s="195"/>
      <c r="M35" s="193"/>
      <c r="N35" s="229"/>
      <c r="O35" s="193"/>
      <c r="P35" s="3"/>
      <c r="Q35" s="196"/>
      <c r="R35" s="194"/>
      <c r="S35" s="193"/>
      <c r="T35" s="193"/>
      <c r="U35" s="197"/>
      <c r="V35" s="196"/>
      <c r="W35" s="196"/>
      <c r="X35" s="197"/>
      <c r="Y35" s="196"/>
      <c r="Z35" s="196"/>
      <c r="AA35" s="95"/>
      <c r="AB35" s="196"/>
      <c r="AC35" s="196"/>
      <c r="AD35" s="197">
        <v>2070325</v>
      </c>
      <c r="AE35" s="197">
        <f>VLOOKUP(B35,Reference!A:B,2,0)</f>
        <v>16382.6</v>
      </c>
    </row>
    <row r="36" spans="1:31">
      <c r="A36" s="3">
        <v>1982</v>
      </c>
      <c r="B36" s="3" t="s">
        <v>431</v>
      </c>
      <c r="C36" s="191">
        <v>30072</v>
      </c>
      <c r="D36" s="192">
        <v>3057442</v>
      </c>
      <c r="E36" s="193">
        <v>179498</v>
      </c>
      <c r="F36" s="227">
        <f t="shared" si="4"/>
        <v>5.8708554405938036E-2</v>
      </c>
      <c r="G36" s="194">
        <v>90400</v>
      </c>
      <c r="H36" s="193">
        <v>47461</v>
      </c>
      <c r="I36" s="193">
        <f t="shared" si="5"/>
        <v>0.52501106194690261</v>
      </c>
      <c r="J36" s="229"/>
      <c r="K36" s="193"/>
      <c r="L36" s="195"/>
      <c r="M36" s="193"/>
      <c r="N36" s="229"/>
      <c r="O36" s="193"/>
      <c r="P36" s="3"/>
      <c r="Q36" s="196"/>
      <c r="R36" s="194"/>
      <c r="S36" s="193"/>
      <c r="T36" s="193"/>
      <c r="U36" s="197"/>
      <c r="V36" s="196"/>
      <c r="W36" s="196"/>
      <c r="X36" s="197"/>
      <c r="Y36" s="196"/>
      <c r="Z36" s="196"/>
      <c r="AA36" s="95"/>
      <c r="AB36" s="196"/>
      <c r="AC36" s="196"/>
      <c r="AD36" s="197">
        <v>2070325</v>
      </c>
      <c r="AE36" s="197">
        <f>VLOOKUP(B36,Reference!A:B,2,0)</f>
        <v>16382.6</v>
      </c>
    </row>
    <row r="37" spans="1:31">
      <c r="A37" s="3">
        <v>1982</v>
      </c>
      <c r="B37" s="3" t="s">
        <v>431</v>
      </c>
      <c r="C37" s="191">
        <v>30103</v>
      </c>
      <c r="D37" s="192">
        <v>2877279</v>
      </c>
      <c r="E37" s="193">
        <v>160111</v>
      </c>
      <c r="F37" s="227">
        <f t="shared" si="4"/>
        <v>5.5646671733954198E-2</v>
      </c>
      <c r="G37" s="194">
        <v>70465</v>
      </c>
      <c r="H37" s="193">
        <v>36997</v>
      </c>
      <c r="I37" s="193">
        <f t="shared" si="5"/>
        <v>0.52504080039736034</v>
      </c>
      <c r="J37" s="229"/>
      <c r="K37" s="193"/>
      <c r="L37" s="195"/>
      <c r="M37" s="193"/>
      <c r="N37" s="229"/>
      <c r="O37" s="193"/>
      <c r="P37" s="3"/>
      <c r="Q37" s="196"/>
      <c r="R37" s="194"/>
      <c r="S37" s="193"/>
      <c r="T37" s="193"/>
      <c r="U37" s="197"/>
      <c r="V37" s="196"/>
      <c r="W37" s="196"/>
      <c r="X37" s="197"/>
      <c r="Y37" s="196"/>
      <c r="Z37" s="196"/>
      <c r="AA37" s="95"/>
      <c r="AB37" s="196"/>
      <c r="AC37" s="196"/>
      <c r="AD37" s="197">
        <v>2070325</v>
      </c>
      <c r="AE37" s="197">
        <f>VLOOKUP(B37,Reference!A:B,2,0)</f>
        <v>16382.6</v>
      </c>
    </row>
    <row r="38" spans="1:31">
      <c r="A38" s="3">
        <v>1982</v>
      </c>
      <c r="B38" s="3" t="s">
        <v>432</v>
      </c>
      <c r="C38" s="191">
        <v>30133</v>
      </c>
      <c r="D38" s="192">
        <v>3421465</v>
      </c>
      <c r="E38" s="193">
        <v>183236</v>
      </c>
      <c r="F38" s="227">
        <f t="shared" si="4"/>
        <v>5.3554836890045636E-2</v>
      </c>
      <c r="G38" s="194">
        <v>21418</v>
      </c>
      <c r="H38" s="193">
        <v>11191</v>
      </c>
      <c r="I38" s="193">
        <f t="shared" si="5"/>
        <v>0.52250443552152392</v>
      </c>
      <c r="J38" s="229"/>
      <c r="K38" s="193"/>
      <c r="L38" s="195"/>
      <c r="M38" s="193"/>
      <c r="N38" s="229"/>
      <c r="O38" s="193"/>
      <c r="P38" s="3"/>
      <c r="Q38" s="196"/>
      <c r="R38" s="194">
        <v>0</v>
      </c>
      <c r="S38" s="193">
        <v>0</v>
      </c>
      <c r="T38" s="193">
        <f t="shared" ref="T38:T101" si="6">IF(R38&gt;0,(S38/R38),0)</f>
        <v>0</v>
      </c>
      <c r="U38" s="197">
        <v>3053</v>
      </c>
      <c r="V38" s="196">
        <v>1754</v>
      </c>
      <c r="W38" s="196">
        <f t="shared" ref="W38:W101" si="7">IF(U38&gt;0,(V38/U38),0)</f>
        <v>0.57451686865378315</v>
      </c>
      <c r="X38" s="197"/>
      <c r="Y38" s="196"/>
      <c r="Z38" s="196"/>
      <c r="AA38" s="95"/>
      <c r="AB38" s="196"/>
      <c r="AC38" s="196"/>
      <c r="AD38" s="197">
        <v>2070325</v>
      </c>
      <c r="AE38" s="197">
        <f>VLOOKUP(B38,Reference!A:B,2,0)</f>
        <v>16190.6</v>
      </c>
    </row>
    <row r="39" spans="1:31">
      <c r="A39" s="3">
        <v>1982</v>
      </c>
      <c r="B39" s="3" t="s">
        <v>432</v>
      </c>
      <c r="C39" s="191">
        <v>30164</v>
      </c>
      <c r="D39" s="192">
        <v>3418642</v>
      </c>
      <c r="E39" s="193">
        <v>181770</v>
      </c>
      <c r="F39" s="227">
        <f t="shared" si="4"/>
        <v>5.3170235432665955E-2</v>
      </c>
      <c r="G39" s="194">
        <v>21180</v>
      </c>
      <c r="H39" s="193">
        <v>11067</v>
      </c>
      <c r="I39" s="193">
        <f t="shared" si="5"/>
        <v>0.52252124645892351</v>
      </c>
      <c r="J39" s="229"/>
      <c r="K39" s="193"/>
      <c r="L39" s="195"/>
      <c r="M39" s="193"/>
      <c r="N39" s="229"/>
      <c r="O39" s="193"/>
      <c r="P39" s="3"/>
      <c r="Q39" s="196"/>
      <c r="R39" s="194">
        <v>0</v>
      </c>
      <c r="S39" s="193">
        <v>0</v>
      </c>
      <c r="T39" s="193">
        <f t="shared" si="6"/>
        <v>0</v>
      </c>
      <c r="U39" s="197">
        <v>935</v>
      </c>
      <c r="V39" s="196">
        <v>602</v>
      </c>
      <c r="W39" s="196">
        <f t="shared" si="7"/>
        <v>0.6438502673796791</v>
      </c>
      <c r="X39" s="197"/>
      <c r="Y39" s="196"/>
      <c r="Z39" s="196"/>
      <c r="AA39" s="95"/>
      <c r="AB39" s="196"/>
      <c r="AC39" s="196"/>
      <c r="AD39" s="197">
        <v>2070325</v>
      </c>
      <c r="AE39" s="197">
        <f>VLOOKUP(B39,Reference!A:B,2,0)</f>
        <v>16190.6</v>
      </c>
    </row>
    <row r="40" spans="1:31">
      <c r="A40" s="3">
        <v>1982</v>
      </c>
      <c r="B40" s="3" t="s">
        <v>432</v>
      </c>
      <c r="C40" s="191">
        <v>30195</v>
      </c>
      <c r="D40" s="192">
        <v>3380276</v>
      </c>
      <c r="E40" s="193">
        <v>184587</v>
      </c>
      <c r="F40" s="227">
        <f t="shared" si="4"/>
        <v>5.4607079421917025E-2</v>
      </c>
      <c r="G40" s="194">
        <v>33478</v>
      </c>
      <c r="H40" s="193">
        <v>17573</v>
      </c>
      <c r="I40" s="193">
        <f t="shared" si="5"/>
        <v>0.52491188243025266</v>
      </c>
      <c r="J40" s="229"/>
      <c r="K40" s="193"/>
      <c r="L40" s="195"/>
      <c r="M40" s="193"/>
      <c r="N40" s="229"/>
      <c r="O40" s="193"/>
      <c r="P40" s="3"/>
      <c r="Q40" s="196"/>
      <c r="R40" s="194">
        <v>0</v>
      </c>
      <c r="S40" s="193">
        <v>0</v>
      </c>
      <c r="T40" s="193">
        <f t="shared" si="6"/>
        <v>0</v>
      </c>
      <c r="U40" s="197">
        <v>5271</v>
      </c>
      <c r="V40" s="196">
        <v>2948</v>
      </c>
      <c r="W40" s="196">
        <f t="shared" si="7"/>
        <v>0.55928666287232021</v>
      </c>
      <c r="X40" s="197"/>
      <c r="Y40" s="196"/>
      <c r="Z40" s="196"/>
      <c r="AA40" s="95"/>
      <c r="AB40" s="196"/>
      <c r="AC40" s="196"/>
      <c r="AD40" s="197">
        <v>2070325</v>
      </c>
      <c r="AE40" s="197">
        <f>VLOOKUP(B40,Reference!A:B,2,0)</f>
        <v>16190.6</v>
      </c>
    </row>
    <row r="41" spans="1:31">
      <c r="A41" s="3">
        <v>1982</v>
      </c>
      <c r="B41" s="3" t="s">
        <v>432</v>
      </c>
      <c r="C41" s="191">
        <v>30225</v>
      </c>
      <c r="D41" s="192">
        <v>3364777</v>
      </c>
      <c r="E41" s="193">
        <v>196376</v>
      </c>
      <c r="F41" s="227">
        <f t="shared" si="4"/>
        <v>5.8362262937484415E-2</v>
      </c>
      <c r="G41" s="194">
        <v>56982</v>
      </c>
      <c r="H41" s="193">
        <v>30898</v>
      </c>
      <c r="I41" s="193">
        <f t="shared" si="5"/>
        <v>0.54224140956793376</v>
      </c>
      <c r="J41" s="229"/>
      <c r="K41" s="193"/>
      <c r="L41" s="195"/>
      <c r="M41" s="193"/>
      <c r="N41" s="229"/>
      <c r="O41" s="193"/>
      <c r="P41" s="3"/>
      <c r="Q41" s="196"/>
      <c r="R41" s="194">
        <v>0</v>
      </c>
      <c r="S41" s="193">
        <v>0</v>
      </c>
      <c r="T41" s="193">
        <f t="shared" si="6"/>
        <v>0</v>
      </c>
      <c r="U41" s="197">
        <v>2206</v>
      </c>
      <c r="V41" s="196">
        <v>1592</v>
      </c>
      <c r="W41" s="196">
        <f t="shared" si="7"/>
        <v>0.72166817769718949</v>
      </c>
      <c r="X41" s="197"/>
      <c r="Y41" s="196"/>
      <c r="Z41" s="196"/>
      <c r="AA41" s="95"/>
      <c r="AB41" s="196"/>
      <c r="AC41" s="196"/>
      <c r="AD41" s="197">
        <v>2070325</v>
      </c>
      <c r="AE41" s="197">
        <f>VLOOKUP(B41,Reference!A:B,2,0)</f>
        <v>16190.6</v>
      </c>
    </row>
    <row r="42" spans="1:31">
      <c r="A42" s="3">
        <v>1982</v>
      </c>
      <c r="B42" s="3" t="s">
        <v>432</v>
      </c>
      <c r="C42" s="191">
        <v>30256</v>
      </c>
      <c r="D42" s="192">
        <v>3217550</v>
      </c>
      <c r="E42" s="193">
        <v>193510</v>
      </c>
      <c r="F42" s="227">
        <f t="shared" si="4"/>
        <v>6.0142033534832405E-2</v>
      </c>
      <c r="G42" s="194">
        <v>142143</v>
      </c>
      <c r="H42" s="193">
        <v>78387</v>
      </c>
      <c r="I42" s="193">
        <f t="shared" si="5"/>
        <v>0.55146577742132918</v>
      </c>
      <c r="J42" s="229"/>
      <c r="K42" s="193"/>
      <c r="L42" s="195"/>
      <c r="M42" s="193"/>
      <c r="N42" s="229"/>
      <c r="O42" s="193"/>
      <c r="P42" s="3"/>
      <c r="Q42" s="196"/>
      <c r="R42" s="194">
        <v>0</v>
      </c>
      <c r="S42" s="193">
        <v>0</v>
      </c>
      <c r="T42" s="193">
        <f t="shared" si="6"/>
        <v>0</v>
      </c>
      <c r="U42" s="197">
        <v>2401</v>
      </c>
      <c r="V42" s="196">
        <v>1709</v>
      </c>
      <c r="W42" s="196">
        <f t="shared" si="7"/>
        <v>0.71178675551853399</v>
      </c>
      <c r="X42" s="197"/>
      <c r="Y42" s="196"/>
      <c r="Z42" s="196"/>
      <c r="AA42" s="95"/>
      <c r="AB42" s="196"/>
      <c r="AC42" s="196"/>
      <c r="AD42" s="197">
        <v>2070325</v>
      </c>
      <c r="AE42" s="197">
        <f>VLOOKUP(B42,Reference!A:B,2,0)</f>
        <v>16190.6</v>
      </c>
    </row>
    <row r="43" spans="1:31">
      <c r="A43" s="3">
        <v>1982</v>
      </c>
      <c r="B43" s="3" t="s">
        <v>432</v>
      </c>
      <c r="C43" s="191">
        <v>30286</v>
      </c>
      <c r="D43" s="192">
        <v>2576987</v>
      </c>
      <c r="E43" s="193">
        <v>156955</v>
      </c>
      <c r="F43" s="227">
        <f>F42*F41</f>
        <v>3.5100251747548941E-3</v>
      </c>
      <c r="G43" s="194">
        <v>158140</v>
      </c>
      <c r="H43" s="193">
        <v>87617</v>
      </c>
      <c r="I43" s="193">
        <f t="shared" si="5"/>
        <v>0.55404704692045026</v>
      </c>
      <c r="J43" s="229"/>
      <c r="K43" s="193"/>
      <c r="L43" s="195"/>
      <c r="M43" s="193"/>
      <c r="N43" s="229"/>
      <c r="O43" s="193"/>
      <c r="P43" s="3"/>
      <c r="Q43" s="196"/>
      <c r="R43" s="194">
        <v>0</v>
      </c>
      <c r="S43" s="193">
        <v>0</v>
      </c>
      <c r="T43" s="193">
        <f t="shared" si="6"/>
        <v>0</v>
      </c>
      <c r="U43" s="197">
        <v>898</v>
      </c>
      <c r="V43" s="196">
        <v>682</v>
      </c>
      <c r="W43" s="196">
        <f t="shared" si="7"/>
        <v>0.75946547884187088</v>
      </c>
      <c r="X43" s="197"/>
      <c r="Y43" s="196"/>
      <c r="Z43" s="196"/>
      <c r="AA43" s="95"/>
      <c r="AB43" s="196"/>
      <c r="AC43" s="196"/>
      <c r="AD43" s="197">
        <v>2070325</v>
      </c>
      <c r="AE43" s="197">
        <f>VLOOKUP(B43,Reference!A:B,2,0)</f>
        <v>16190.6</v>
      </c>
    </row>
    <row r="44" spans="1:31">
      <c r="A44" s="3">
        <v>1983</v>
      </c>
      <c r="B44" s="3" t="s">
        <v>432</v>
      </c>
      <c r="C44" s="191">
        <v>30317</v>
      </c>
      <c r="D44" s="192">
        <v>2967247</v>
      </c>
      <c r="E44" s="193">
        <v>178952</v>
      </c>
      <c r="F44" s="227">
        <f t="shared" si="4"/>
        <v>6.0309101331975395E-2</v>
      </c>
      <c r="G44" s="194">
        <v>110672</v>
      </c>
      <c r="H44" s="193">
        <v>63655</v>
      </c>
      <c r="I44" s="193">
        <f t="shared" si="5"/>
        <v>0.57516806418967759</v>
      </c>
      <c r="J44" s="229"/>
      <c r="K44" s="193"/>
      <c r="L44" s="195"/>
      <c r="M44" s="193"/>
      <c r="N44" s="229"/>
      <c r="O44" s="193"/>
      <c r="P44" s="3"/>
      <c r="Q44" s="196"/>
      <c r="R44" s="194">
        <v>12241</v>
      </c>
      <c r="S44" s="193">
        <v>10038</v>
      </c>
      <c r="T44" s="193">
        <f t="shared" si="6"/>
        <v>0.82003104321542353</v>
      </c>
      <c r="U44" s="194">
        <v>0</v>
      </c>
      <c r="V44" s="193">
        <v>0</v>
      </c>
      <c r="W44" s="193">
        <f t="shared" si="7"/>
        <v>0</v>
      </c>
      <c r="X44" s="194"/>
      <c r="Y44" s="196"/>
      <c r="Z44" s="196"/>
      <c r="AA44" s="95"/>
      <c r="AB44" s="196"/>
      <c r="AC44" s="196"/>
      <c r="AD44" s="197">
        <v>2070325</v>
      </c>
      <c r="AE44" s="197">
        <f>VLOOKUP(B44,Reference!A:B,2,0)</f>
        <v>16190.6</v>
      </c>
    </row>
    <row r="45" spans="1:31">
      <c r="A45" s="3">
        <v>1983</v>
      </c>
      <c r="B45" s="3" t="s">
        <v>432</v>
      </c>
      <c r="C45" s="191">
        <v>30348</v>
      </c>
      <c r="D45" s="192">
        <v>2596075</v>
      </c>
      <c r="E45" s="193">
        <v>154105</v>
      </c>
      <c r="F45" s="227">
        <f t="shared" si="4"/>
        <v>5.9360765771404908E-2</v>
      </c>
      <c r="G45" s="194">
        <v>125942</v>
      </c>
      <c r="H45" s="193">
        <v>72517</v>
      </c>
      <c r="I45" s="193">
        <f t="shared" si="5"/>
        <v>0.57579679535024064</v>
      </c>
      <c r="J45" s="229"/>
      <c r="K45" s="193"/>
      <c r="L45" s="195"/>
      <c r="M45" s="193"/>
      <c r="N45" s="229"/>
      <c r="O45" s="193"/>
      <c r="P45" s="3"/>
      <c r="Q45" s="196"/>
      <c r="R45" s="194">
        <v>6559</v>
      </c>
      <c r="S45" s="193">
        <v>5378</v>
      </c>
      <c r="T45" s="193">
        <f t="shared" si="6"/>
        <v>0.81994206433907613</v>
      </c>
      <c r="U45" s="194">
        <v>0</v>
      </c>
      <c r="V45" s="193">
        <v>0</v>
      </c>
      <c r="W45" s="193">
        <f t="shared" si="7"/>
        <v>0</v>
      </c>
      <c r="X45" s="194"/>
      <c r="Y45" s="196"/>
      <c r="Z45" s="196"/>
      <c r="AA45" s="95"/>
      <c r="AB45" s="196"/>
      <c r="AC45" s="196"/>
      <c r="AD45" s="197">
        <v>2070325</v>
      </c>
      <c r="AE45" s="197">
        <f>VLOOKUP(B45,Reference!A:B,2,0)</f>
        <v>16190.6</v>
      </c>
    </row>
    <row r="46" spans="1:31">
      <c r="A46" s="3">
        <v>1983</v>
      </c>
      <c r="B46" s="3" t="s">
        <v>432</v>
      </c>
      <c r="C46" s="191">
        <v>30376</v>
      </c>
      <c r="D46" s="192">
        <v>2586616</v>
      </c>
      <c r="E46" s="193">
        <v>149338</v>
      </c>
      <c r="F46" s="227">
        <f t="shared" si="4"/>
        <v>5.7734893776269842E-2</v>
      </c>
      <c r="G46" s="194">
        <v>109925</v>
      </c>
      <c r="H46" s="193">
        <v>63263</v>
      </c>
      <c r="I46" s="193">
        <f t="shared" si="5"/>
        <v>0.57551057539231298</v>
      </c>
      <c r="J46" s="229"/>
      <c r="K46" s="193"/>
      <c r="L46" s="195"/>
      <c r="M46" s="193"/>
      <c r="N46" s="229"/>
      <c r="O46" s="193"/>
      <c r="P46" s="3"/>
      <c r="Q46" s="196"/>
      <c r="R46" s="194">
        <v>0</v>
      </c>
      <c r="S46" s="193">
        <v>0</v>
      </c>
      <c r="T46" s="193">
        <f t="shared" si="6"/>
        <v>0</v>
      </c>
      <c r="U46" s="197">
        <v>7224</v>
      </c>
      <c r="V46" s="196">
        <v>5248</v>
      </c>
      <c r="W46" s="196">
        <f t="shared" si="7"/>
        <v>0.72646733111849393</v>
      </c>
      <c r="X46" s="197"/>
      <c r="Y46" s="196"/>
      <c r="Z46" s="196"/>
      <c r="AA46" s="95"/>
      <c r="AB46" s="196"/>
      <c r="AC46" s="196"/>
      <c r="AD46" s="197">
        <v>2070325</v>
      </c>
      <c r="AE46" s="197">
        <f>VLOOKUP(B46,Reference!A:B,2,0)</f>
        <v>16190.6</v>
      </c>
    </row>
    <row r="47" spans="1:31">
      <c r="A47" s="3">
        <v>1983</v>
      </c>
      <c r="B47" s="3" t="s">
        <v>432</v>
      </c>
      <c r="C47" s="191">
        <v>30407</v>
      </c>
      <c r="D47" s="192">
        <v>2987334</v>
      </c>
      <c r="E47" s="193">
        <v>167333</v>
      </c>
      <c r="F47" s="227">
        <f t="shared" si="4"/>
        <v>5.6014158443615611E-2</v>
      </c>
      <c r="G47" s="194">
        <v>108934</v>
      </c>
      <c r="H47" s="193">
        <v>62722</v>
      </c>
      <c r="I47" s="193">
        <f t="shared" si="5"/>
        <v>0.57577982998880051</v>
      </c>
      <c r="J47" s="229"/>
      <c r="K47" s="193"/>
      <c r="L47" s="195"/>
      <c r="M47" s="193"/>
      <c r="N47" s="229"/>
      <c r="O47" s="193"/>
      <c r="P47" s="3"/>
      <c r="Q47" s="196"/>
      <c r="R47" s="194">
        <v>0</v>
      </c>
      <c r="S47" s="193">
        <v>0</v>
      </c>
      <c r="T47" s="193">
        <f t="shared" si="6"/>
        <v>0</v>
      </c>
      <c r="U47" s="197">
        <v>1155</v>
      </c>
      <c r="V47" s="196">
        <v>829</v>
      </c>
      <c r="W47" s="196">
        <f t="shared" si="7"/>
        <v>0.7177489177489178</v>
      </c>
      <c r="X47" s="197"/>
      <c r="Y47" s="196"/>
      <c r="Z47" s="196"/>
      <c r="AA47" s="95"/>
      <c r="AB47" s="196"/>
      <c r="AC47" s="196"/>
      <c r="AD47" s="197">
        <v>2070325</v>
      </c>
      <c r="AE47" s="197">
        <f>VLOOKUP(B47,Reference!A:B,2,0)</f>
        <v>16190.6</v>
      </c>
    </row>
    <row r="48" spans="1:31">
      <c r="A48" s="3">
        <v>1983</v>
      </c>
      <c r="B48" s="3" t="s">
        <v>432</v>
      </c>
      <c r="C48" s="191">
        <v>30437</v>
      </c>
      <c r="D48" s="192">
        <v>2820991</v>
      </c>
      <c r="E48" s="193">
        <v>157902</v>
      </c>
      <c r="F48" s="227">
        <f t="shared" si="4"/>
        <v>5.5973946744246966E-2</v>
      </c>
      <c r="G48" s="194">
        <v>70423</v>
      </c>
      <c r="H48" s="193">
        <v>41926</v>
      </c>
      <c r="I48" s="193">
        <f t="shared" si="5"/>
        <v>0.59534527072121324</v>
      </c>
      <c r="J48" s="229"/>
      <c r="K48" s="193"/>
      <c r="L48" s="195"/>
      <c r="M48" s="193"/>
      <c r="N48" s="229"/>
      <c r="O48" s="193"/>
      <c r="P48" s="3"/>
      <c r="Q48" s="196"/>
      <c r="R48" s="194">
        <v>0</v>
      </c>
      <c r="S48" s="193">
        <v>0</v>
      </c>
      <c r="T48" s="193">
        <f t="shared" si="6"/>
        <v>0</v>
      </c>
      <c r="U48" s="197">
        <v>11003</v>
      </c>
      <c r="V48" s="196">
        <v>6572</v>
      </c>
      <c r="W48" s="196">
        <f t="shared" si="7"/>
        <v>0.59729164773243659</v>
      </c>
      <c r="X48" s="197"/>
      <c r="Y48" s="196"/>
      <c r="Z48" s="196"/>
      <c r="AA48" s="95"/>
      <c r="AB48" s="196"/>
      <c r="AC48" s="196"/>
      <c r="AD48" s="197">
        <v>2070325</v>
      </c>
      <c r="AE48" s="197">
        <f>VLOOKUP(B48,Reference!A:B,2,0)</f>
        <v>16190.6</v>
      </c>
    </row>
    <row r="49" spans="1:31">
      <c r="A49" s="3">
        <v>1983</v>
      </c>
      <c r="B49" s="3" t="s">
        <v>432</v>
      </c>
      <c r="C49" s="191">
        <v>30468</v>
      </c>
      <c r="D49" s="192">
        <v>3152896</v>
      </c>
      <c r="E49" s="193">
        <v>167272</v>
      </c>
      <c r="F49" s="227">
        <f t="shared" si="4"/>
        <v>5.3053446735953233E-2</v>
      </c>
      <c r="G49" s="194">
        <v>40228</v>
      </c>
      <c r="H49" s="193">
        <v>25012</v>
      </c>
      <c r="I49" s="193">
        <f t="shared" si="5"/>
        <v>0.62175599085214284</v>
      </c>
      <c r="J49" s="229"/>
      <c r="K49" s="193"/>
      <c r="L49" s="195"/>
      <c r="M49" s="193"/>
      <c r="N49" s="229"/>
      <c r="O49" s="193"/>
      <c r="P49" s="3"/>
      <c r="Q49" s="196"/>
      <c r="R49" s="194"/>
      <c r="S49" s="193"/>
      <c r="T49" s="193">
        <f t="shared" si="6"/>
        <v>0</v>
      </c>
      <c r="U49" s="197">
        <v>16849</v>
      </c>
      <c r="V49" s="196">
        <v>9858</v>
      </c>
      <c r="W49" s="196">
        <f t="shared" si="7"/>
        <v>0.58507923318891331</v>
      </c>
      <c r="X49" s="197"/>
      <c r="Y49" s="196"/>
      <c r="Z49" s="196"/>
      <c r="AA49" s="95"/>
      <c r="AB49" s="196"/>
      <c r="AC49" s="196"/>
      <c r="AD49" s="197">
        <v>2070325</v>
      </c>
      <c r="AE49" s="197">
        <f>VLOOKUP(B49,Reference!A:B,2,0)</f>
        <v>16190.6</v>
      </c>
    </row>
    <row r="50" spans="1:31">
      <c r="A50" s="3">
        <v>1983</v>
      </c>
      <c r="B50" s="3" t="s">
        <v>433</v>
      </c>
      <c r="C50" s="191">
        <v>30498</v>
      </c>
      <c r="D50" s="192">
        <v>3225792</v>
      </c>
      <c r="E50" s="193">
        <v>171302</v>
      </c>
      <c r="F50" s="227">
        <f t="shared" si="4"/>
        <v>5.3103857905283415E-2</v>
      </c>
      <c r="G50" s="194">
        <v>23245</v>
      </c>
      <c r="H50" s="193">
        <v>15272</v>
      </c>
      <c r="I50" s="193">
        <f t="shared" si="5"/>
        <v>0.65700150570015059</v>
      </c>
      <c r="J50" s="229"/>
      <c r="K50" s="193"/>
      <c r="L50" s="195"/>
      <c r="M50" s="193"/>
      <c r="N50" s="229"/>
      <c r="O50" s="193"/>
      <c r="P50" s="3"/>
      <c r="Q50" s="196"/>
      <c r="R50" s="194"/>
      <c r="S50" s="193"/>
      <c r="T50" s="193">
        <f>IF(R50&gt;0,(S50/R50),0)</f>
        <v>0</v>
      </c>
      <c r="U50" s="197">
        <v>12584</v>
      </c>
      <c r="V50" s="196">
        <v>7263</v>
      </c>
      <c r="W50" s="196">
        <f t="shared" si="7"/>
        <v>0.57716147488874758</v>
      </c>
      <c r="X50" s="197"/>
      <c r="Y50" s="196"/>
      <c r="Z50" s="196"/>
      <c r="AA50" s="95"/>
      <c r="AB50" s="196"/>
      <c r="AC50" s="196"/>
      <c r="AD50" s="197">
        <v>2070325</v>
      </c>
      <c r="AE50" s="197">
        <f>VLOOKUP(B50,Reference!A:B,2,0)</f>
        <v>15616.5</v>
      </c>
    </row>
    <row r="51" spans="1:31">
      <c r="A51" s="3">
        <v>1983</v>
      </c>
      <c r="B51" s="3" t="s">
        <v>433</v>
      </c>
      <c r="C51" s="191">
        <v>30529</v>
      </c>
      <c r="D51" s="192">
        <v>3828098</v>
      </c>
      <c r="E51" s="193">
        <v>193949</v>
      </c>
      <c r="F51" s="227">
        <f t="shared" si="4"/>
        <v>5.0664585911854923E-2</v>
      </c>
      <c r="G51" s="194">
        <v>22513</v>
      </c>
      <c r="H51" s="193">
        <v>15070</v>
      </c>
      <c r="I51" s="193">
        <f t="shared" si="5"/>
        <v>0.66939101852263139</v>
      </c>
      <c r="J51" s="229"/>
      <c r="K51" s="193"/>
      <c r="L51" s="195"/>
      <c r="M51" s="193"/>
      <c r="N51" s="229"/>
      <c r="O51" s="193"/>
      <c r="P51" s="3"/>
      <c r="Q51" s="196"/>
      <c r="R51" s="194"/>
      <c r="S51" s="193"/>
      <c r="T51" s="193">
        <f>IF(R51&gt;0,(S51/R51),0)</f>
        <v>0</v>
      </c>
      <c r="U51" s="197">
        <v>34975</v>
      </c>
      <c r="V51" s="196">
        <v>20419</v>
      </c>
      <c r="W51" s="196">
        <f t="shared" si="7"/>
        <v>0.58381701215153681</v>
      </c>
      <c r="X51" s="197"/>
      <c r="Y51" s="196"/>
      <c r="Z51" s="196"/>
      <c r="AA51" s="95"/>
      <c r="AB51" s="196"/>
      <c r="AC51" s="196"/>
      <c r="AD51" s="197">
        <v>2070325</v>
      </c>
      <c r="AE51" s="197">
        <f>VLOOKUP(B51,Reference!A:B,2,0)</f>
        <v>15616.5</v>
      </c>
    </row>
    <row r="52" spans="1:31">
      <c r="A52" s="3">
        <v>1983</v>
      </c>
      <c r="B52" s="3" t="s">
        <v>433</v>
      </c>
      <c r="C52" s="191">
        <v>30560</v>
      </c>
      <c r="D52" s="192">
        <v>3485117</v>
      </c>
      <c r="E52" s="193">
        <v>178092</v>
      </c>
      <c r="F52" s="227">
        <f t="shared" si="4"/>
        <v>5.1100723447735037E-2</v>
      </c>
      <c r="G52" s="194">
        <v>20747</v>
      </c>
      <c r="H52" s="193">
        <v>13443</v>
      </c>
      <c r="I52" s="193">
        <f t="shared" si="5"/>
        <v>0.64794910107485415</v>
      </c>
      <c r="J52" s="229"/>
      <c r="K52" s="193"/>
      <c r="L52" s="195"/>
      <c r="M52" s="193"/>
      <c r="N52" s="229"/>
      <c r="O52" s="193"/>
      <c r="P52" s="3"/>
      <c r="Q52" s="196"/>
      <c r="R52" s="194"/>
      <c r="S52" s="193"/>
      <c r="T52" s="193">
        <f t="shared" si="6"/>
        <v>0</v>
      </c>
      <c r="U52" s="197">
        <v>20773</v>
      </c>
      <c r="V52" s="196">
        <v>12155</v>
      </c>
      <c r="W52" s="196">
        <f t="shared" si="7"/>
        <v>0.58513454965580325</v>
      </c>
      <c r="X52" s="197"/>
      <c r="Y52" s="196"/>
      <c r="Z52" s="196"/>
      <c r="AA52" s="95"/>
      <c r="AB52" s="196"/>
      <c r="AC52" s="196"/>
      <c r="AD52" s="197">
        <v>2070325</v>
      </c>
      <c r="AE52" s="197">
        <f>VLOOKUP(B52,Reference!A:B,2,0)</f>
        <v>15616.5</v>
      </c>
    </row>
    <row r="53" spans="1:31">
      <c r="A53" s="3">
        <v>1983</v>
      </c>
      <c r="B53" s="3" t="s">
        <v>433</v>
      </c>
      <c r="C53" s="191">
        <v>30590</v>
      </c>
      <c r="D53" s="192">
        <v>3207204</v>
      </c>
      <c r="E53" s="193">
        <v>186769</v>
      </c>
      <c r="F53" s="227">
        <f t="shared" si="4"/>
        <v>5.8234212728594754E-2</v>
      </c>
      <c r="G53" s="194">
        <v>42200</v>
      </c>
      <c r="H53" s="193">
        <v>25988</v>
      </c>
      <c r="I53" s="193">
        <f t="shared" si="5"/>
        <v>0.61582938388625597</v>
      </c>
      <c r="J53" s="229"/>
      <c r="K53" s="193"/>
      <c r="L53" s="195"/>
      <c r="M53" s="193"/>
      <c r="N53" s="229"/>
      <c r="O53" s="193"/>
      <c r="P53" s="3"/>
      <c r="Q53" s="196"/>
      <c r="R53" s="194"/>
      <c r="S53" s="193"/>
      <c r="T53" s="193">
        <f t="shared" si="6"/>
        <v>0</v>
      </c>
      <c r="U53" s="197">
        <v>12906</v>
      </c>
      <c r="V53" s="196">
        <v>8009</v>
      </c>
      <c r="W53" s="196">
        <f t="shared" si="7"/>
        <v>0.62056407872307451</v>
      </c>
      <c r="X53" s="197"/>
      <c r="Y53" s="196"/>
      <c r="Z53" s="196"/>
      <c r="AA53" s="95"/>
      <c r="AB53" s="196"/>
      <c r="AC53" s="196"/>
      <c r="AD53" s="197">
        <v>2070325</v>
      </c>
      <c r="AE53" s="197">
        <f>VLOOKUP(B53,Reference!A:B,2,0)</f>
        <v>15616.5</v>
      </c>
    </row>
    <row r="54" spans="1:31">
      <c r="A54" s="3">
        <v>1983</v>
      </c>
      <c r="B54" s="3" t="s">
        <v>433</v>
      </c>
      <c r="C54" s="191">
        <v>30621</v>
      </c>
      <c r="D54" s="192">
        <v>3175277</v>
      </c>
      <c r="E54" s="193">
        <v>186856</v>
      </c>
      <c r="F54" s="227">
        <f t="shared" si="4"/>
        <v>5.884714939830446E-2</v>
      </c>
      <c r="G54" s="194">
        <v>119822</v>
      </c>
      <c r="H54" s="193">
        <v>71357</v>
      </c>
      <c r="I54" s="193">
        <f t="shared" si="5"/>
        <v>0.59552502879270919</v>
      </c>
      <c r="J54" s="229"/>
      <c r="K54" s="193"/>
      <c r="L54" s="195"/>
      <c r="M54" s="193"/>
      <c r="N54" s="229"/>
      <c r="O54" s="193"/>
      <c r="P54" s="3"/>
      <c r="Q54" s="196"/>
      <c r="R54" s="194"/>
      <c r="S54" s="193"/>
      <c r="T54" s="193">
        <f t="shared" si="6"/>
        <v>0</v>
      </c>
      <c r="U54" s="197">
        <v>10185</v>
      </c>
      <c r="V54" s="196">
        <v>6401</v>
      </c>
      <c r="W54" s="196">
        <f t="shared" si="7"/>
        <v>0.62847324496809032</v>
      </c>
      <c r="X54" s="197"/>
      <c r="Y54" s="196"/>
      <c r="Z54" s="196"/>
      <c r="AA54" s="95"/>
      <c r="AB54" s="196"/>
      <c r="AC54" s="196"/>
      <c r="AD54" s="197">
        <v>2070325</v>
      </c>
      <c r="AE54" s="197">
        <f>VLOOKUP(B54,Reference!A:B,2,0)</f>
        <v>15616.5</v>
      </c>
    </row>
    <row r="55" spans="1:31">
      <c r="A55" s="3">
        <v>1983</v>
      </c>
      <c r="B55" s="3" t="s">
        <v>433</v>
      </c>
      <c r="C55" s="191">
        <v>30651</v>
      </c>
      <c r="D55" s="192">
        <v>2484170</v>
      </c>
      <c r="E55" s="193">
        <v>148563</v>
      </c>
      <c r="F55" s="227">
        <f t="shared" si="4"/>
        <v>5.9803878156486877E-2</v>
      </c>
      <c r="G55" s="194">
        <v>136611</v>
      </c>
      <c r="H55" s="193">
        <v>80453</v>
      </c>
      <c r="I55" s="193">
        <f t="shared" si="5"/>
        <v>0.5889203651243311</v>
      </c>
      <c r="J55" s="229"/>
      <c r="K55" s="193"/>
      <c r="L55" s="195"/>
      <c r="M55" s="193"/>
      <c r="N55" s="229"/>
      <c r="O55" s="193"/>
      <c r="P55" s="3"/>
      <c r="Q55" s="196"/>
      <c r="R55" s="194"/>
      <c r="S55" s="193"/>
      <c r="T55" s="193">
        <f t="shared" si="6"/>
        <v>0</v>
      </c>
      <c r="U55" s="197">
        <v>4920</v>
      </c>
      <c r="V55" s="196">
        <v>3216</v>
      </c>
      <c r="W55" s="196">
        <f t="shared" si="7"/>
        <v>0.65365853658536588</v>
      </c>
      <c r="X55" s="197"/>
      <c r="Y55" s="196"/>
      <c r="Z55" s="196"/>
      <c r="AA55" s="95"/>
      <c r="AB55" s="196"/>
      <c r="AC55" s="196"/>
      <c r="AD55" s="197">
        <v>2070325</v>
      </c>
      <c r="AE55" s="197">
        <f>VLOOKUP(B55,Reference!A:B,2,0)</f>
        <v>15616.5</v>
      </c>
    </row>
    <row r="56" spans="1:31">
      <c r="A56" s="3">
        <v>1984</v>
      </c>
      <c r="B56" s="3" t="s">
        <v>433</v>
      </c>
      <c r="C56" s="191">
        <v>30682</v>
      </c>
      <c r="D56" s="192">
        <v>2858490</v>
      </c>
      <c r="E56" s="193">
        <v>164476</v>
      </c>
      <c r="F56" s="227">
        <f t="shared" si="4"/>
        <v>5.7539470139829067E-2</v>
      </c>
      <c r="G56" s="194">
        <v>112242</v>
      </c>
      <c r="H56" s="193">
        <v>66205</v>
      </c>
      <c r="I56" s="193">
        <f t="shared" si="5"/>
        <v>0.58984159227383692</v>
      </c>
      <c r="J56" s="229"/>
      <c r="K56" s="193"/>
      <c r="L56" s="195"/>
      <c r="M56" s="193"/>
      <c r="N56" s="229"/>
      <c r="O56" s="193"/>
      <c r="P56" s="3"/>
      <c r="Q56" s="196"/>
      <c r="R56" s="194"/>
      <c r="S56" s="193"/>
      <c r="T56" s="193">
        <f t="shared" si="6"/>
        <v>0</v>
      </c>
      <c r="U56" s="197">
        <v>8540</v>
      </c>
      <c r="V56" s="196">
        <v>5407</v>
      </c>
      <c r="W56" s="196">
        <f t="shared" si="7"/>
        <v>0.63313817330210775</v>
      </c>
      <c r="X56" s="197"/>
      <c r="Y56" s="196"/>
      <c r="Z56" s="196"/>
      <c r="AA56" s="95"/>
      <c r="AB56" s="196"/>
      <c r="AC56" s="196"/>
      <c r="AD56" s="197">
        <v>2070325</v>
      </c>
      <c r="AE56" s="197">
        <f>VLOOKUP(B56,Reference!A:B,2,0)</f>
        <v>15616.5</v>
      </c>
    </row>
    <row r="57" spans="1:31">
      <c r="A57" s="3">
        <v>1984</v>
      </c>
      <c r="B57" s="3" t="s">
        <v>433</v>
      </c>
      <c r="C57" s="191">
        <v>30713</v>
      </c>
      <c r="D57" s="192">
        <v>2903279</v>
      </c>
      <c r="E57" s="193">
        <v>159800</v>
      </c>
      <c r="F57" s="227">
        <f t="shared" si="4"/>
        <v>5.5041213744872607E-2</v>
      </c>
      <c r="G57" s="194">
        <v>127336</v>
      </c>
      <c r="H57" s="193">
        <v>75481</v>
      </c>
      <c r="I57" s="193">
        <f t="shared" si="5"/>
        <v>0.59277030847521517</v>
      </c>
      <c r="J57" s="229"/>
      <c r="K57" s="193"/>
      <c r="L57" s="195"/>
      <c r="M57" s="193"/>
      <c r="N57" s="229"/>
      <c r="O57" s="193"/>
      <c r="P57" s="3"/>
      <c r="Q57" s="196"/>
      <c r="R57" s="194"/>
      <c r="S57" s="193"/>
      <c r="T57" s="193">
        <f t="shared" si="6"/>
        <v>0</v>
      </c>
      <c r="U57" s="197">
        <v>16828</v>
      </c>
      <c r="V57" s="196">
        <v>10421</v>
      </c>
      <c r="W57" s="196">
        <f t="shared" si="7"/>
        <v>0.61926550986451157</v>
      </c>
      <c r="X57" s="197"/>
      <c r="Y57" s="196"/>
      <c r="Z57" s="196"/>
      <c r="AA57" s="95"/>
      <c r="AB57" s="196"/>
      <c r="AC57" s="196"/>
      <c r="AD57" s="197">
        <v>2070325</v>
      </c>
      <c r="AE57" s="197">
        <f>VLOOKUP(B57,Reference!A:B,2,0)</f>
        <v>15616.5</v>
      </c>
    </row>
    <row r="58" spans="1:31">
      <c r="A58" s="3">
        <v>1984</v>
      </c>
      <c r="B58" s="3" t="s">
        <v>433</v>
      </c>
      <c r="C58" s="191">
        <v>30742</v>
      </c>
      <c r="D58" s="192">
        <v>2682450</v>
      </c>
      <c r="E58" s="193">
        <v>140985</v>
      </c>
      <c r="F58" s="227">
        <f t="shared" si="4"/>
        <v>5.2558295587988593E-2</v>
      </c>
      <c r="G58" s="194">
        <v>99050</v>
      </c>
      <c r="H58" s="193">
        <v>58690</v>
      </c>
      <c r="I58" s="193">
        <f t="shared" si="5"/>
        <v>0.59252902574457345</v>
      </c>
      <c r="J58" s="229"/>
      <c r="K58" s="193"/>
      <c r="L58" s="195"/>
      <c r="M58" s="193"/>
      <c r="N58" s="229"/>
      <c r="O58" s="193"/>
      <c r="P58" s="3"/>
      <c r="Q58" s="196"/>
      <c r="R58" s="194"/>
      <c r="S58" s="193"/>
      <c r="T58" s="193">
        <f t="shared" si="6"/>
        <v>0</v>
      </c>
      <c r="U58" s="197">
        <v>16768</v>
      </c>
      <c r="V58" s="196">
        <v>10388</v>
      </c>
      <c r="W58" s="196">
        <f t="shared" si="7"/>
        <v>0.6195133587786259</v>
      </c>
      <c r="X58" s="197"/>
      <c r="Y58" s="196"/>
      <c r="Z58" s="196"/>
      <c r="AA58" s="95"/>
      <c r="AB58" s="196"/>
      <c r="AC58" s="196"/>
      <c r="AD58" s="197">
        <v>2070325</v>
      </c>
      <c r="AE58" s="197">
        <f>VLOOKUP(B58,Reference!A:B,2,0)</f>
        <v>15616.5</v>
      </c>
    </row>
    <row r="59" spans="1:31">
      <c r="A59" s="3">
        <v>1984</v>
      </c>
      <c r="B59" s="3" t="s">
        <v>433</v>
      </c>
      <c r="C59" s="191">
        <v>30773</v>
      </c>
      <c r="D59" s="192">
        <v>2940106</v>
      </c>
      <c r="E59" s="193">
        <v>149633</v>
      </c>
      <c r="F59" s="227">
        <f t="shared" si="4"/>
        <v>5.0893743286806667E-2</v>
      </c>
      <c r="G59" s="194">
        <v>88088</v>
      </c>
      <c r="H59" s="193">
        <v>52479</v>
      </c>
      <c r="I59" s="193">
        <f t="shared" si="5"/>
        <v>0.59575651621106163</v>
      </c>
      <c r="J59" s="229"/>
      <c r="K59" s="193"/>
      <c r="L59" s="195"/>
      <c r="M59" s="193"/>
      <c r="N59" s="229"/>
      <c r="O59" s="193"/>
      <c r="P59" s="3"/>
      <c r="Q59" s="196"/>
      <c r="R59" s="194"/>
      <c r="S59" s="193"/>
      <c r="T59" s="193">
        <f t="shared" si="6"/>
        <v>0</v>
      </c>
      <c r="U59" s="197">
        <v>20413</v>
      </c>
      <c r="V59" s="196">
        <v>12594</v>
      </c>
      <c r="W59" s="196">
        <f t="shared" si="7"/>
        <v>0.61695978053201395</v>
      </c>
      <c r="X59" s="197"/>
      <c r="Y59" s="196"/>
      <c r="Z59" s="196"/>
      <c r="AA59" s="95"/>
      <c r="AB59" s="196"/>
      <c r="AC59" s="196"/>
      <c r="AD59" s="197">
        <v>2070325</v>
      </c>
      <c r="AE59" s="197">
        <f>VLOOKUP(B59,Reference!A:B,2,0)</f>
        <v>15616.5</v>
      </c>
    </row>
    <row r="60" spans="1:31">
      <c r="A60" s="3">
        <v>1984</v>
      </c>
      <c r="B60" s="3" t="s">
        <v>433</v>
      </c>
      <c r="C60" s="191">
        <v>30803</v>
      </c>
      <c r="D60" s="192">
        <v>3393613</v>
      </c>
      <c r="E60" s="193">
        <v>168505</v>
      </c>
      <c r="F60" s="227">
        <f t="shared" si="4"/>
        <v>4.9653569808932249E-2</v>
      </c>
      <c r="G60" s="194">
        <v>38066</v>
      </c>
      <c r="H60" s="193">
        <v>24040</v>
      </c>
      <c r="I60" s="193">
        <f t="shared" si="5"/>
        <v>0.63153470288446378</v>
      </c>
      <c r="J60" s="229"/>
      <c r="K60" s="193"/>
      <c r="L60" s="195"/>
      <c r="M60" s="193"/>
      <c r="N60" s="229"/>
      <c r="O60" s="193"/>
      <c r="P60" s="3"/>
      <c r="Q60" s="196"/>
      <c r="R60" s="194"/>
      <c r="S60" s="193"/>
      <c r="T60" s="193">
        <f t="shared" si="6"/>
        <v>0</v>
      </c>
      <c r="U60" s="197">
        <v>12827</v>
      </c>
      <c r="V60" s="196">
        <v>7942</v>
      </c>
      <c r="W60" s="196">
        <f t="shared" si="7"/>
        <v>0.61916270367194204</v>
      </c>
      <c r="X60" s="197"/>
      <c r="Y60" s="196"/>
      <c r="Z60" s="196"/>
      <c r="AA60" s="95"/>
      <c r="AB60" s="196"/>
      <c r="AC60" s="196"/>
      <c r="AD60" s="197">
        <v>2070325</v>
      </c>
      <c r="AE60" s="197">
        <f>VLOOKUP(B60,Reference!A:B,2,0)</f>
        <v>15616.5</v>
      </c>
    </row>
    <row r="61" spans="1:31">
      <c r="A61" s="3">
        <v>1984</v>
      </c>
      <c r="B61" s="3" t="s">
        <v>433</v>
      </c>
      <c r="C61" s="191">
        <v>30834</v>
      </c>
      <c r="D61" s="192">
        <v>3075365</v>
      </c>
      <c r="E61" s="193">
        <v>154194</v>
      </c>
      <c r="F61" s="227">
        <f t="shared" si="4"/>
        <v>5.0138438851973666E-2</v>
      </c>
      <c r="G61" s="194">
        <v>38559</v>
      </c>
      <c r="H61" s="193">
        <v>23992</v>
      </c>
      <c r="I61" s="193">
        <f t="shared" si="5"/>
        <v>0.62221530641354805</v>
      </c>
      <c r="J61" s="229"/>
      <c r="K61" s="193"/>
      <c r="L61" s="195"/>
      <c r="M61" s="193"/>
      <c r="N61" s="229"/>
      <c r="O61" s="193"/>
      <c r="P61" s="3"/>
      <c r="Q61" s="196"/>
      <c r="R61" s="194"/>
      <c r="S61" s="193"/>
      <c r="T61" s="193">
        <f t="shared" si="6"/>
        <v>0</v>
      </c>
      <c r="U61" s="197">
        <v>10445</v>
      </c>
      <c r="V61" s="196">
        <v>6500</v>
      </c>
      <c r="W61" s="196">
        <f t="shared" si="7"/>
        <v>0.62230732407850642</v>
      </c>
      <c r="X61" s="197"/>
      <c r="Y61" s="196"/>
      <c r="Z61" s="196"/>
      <c r="AA61" s="95"/>
      <c r="AB61" s="196"/>
      <c r="AC61" s="196"/>
      <c r="AD61" s="197">
        <v>2070325</v>
      </c>
      <c r="AE61" s="197">
        <f>VLOOKUP(B61,Reference!A:B,2,0)</f>
        <v>15616.5</v>
      </c>
    </row>
    <row r="62" spans="1:31">
      <c r="A62" s="3">
        <v>1984</v>
      </c>
      <c r="B62" s="3" t="s">
        <v>434</v>
      </c>
      <c r="C62" s="191">
        <v>30864</v>
      </c>
      <c r="D62" s="192">
        <v>3822505</v>
      </c>
      <c r="E62" s="193">
        <v>219413</v>
      </c>
      <c r="F62" s="227">
        <f t="shared" si="4"/>
        <v>5.7400317331174192E-2</v>
      </c>
      <c r="G62" s="194">
        <v>19761</v>
      </c>
      <c r="H62" s="193">
        <v>13265</v>
      </c>
      <c r="I62" s="193">
        <f t="shared" si="5"/>
        <v>0.67127169677647891</v>
      </c>
      <c r="J62" s="229"/>
      <c r="K62" s="193"/>
      <c r="L62" s="195"/>
      <c r="M62" s="193"/>
      <c r="N62" s="229"/>
      <c r="O62" s="193"/>
      <c r="P62" s="3"/>
      <c r="Q62" s="196"/>
      <c r="R62" s="194">
        <v>0</v>
      </c>
      <c r="S62" s="193">
        <v>0</v>
      </c>
      <c r="T62" s="193">
        <f t="shared" si="6"/>
        <v>0</v>
      </c>
      <c r="U62" s="197">
        <v>12484</v>
      </c>
      <c r="V62" s="196">
        <v>7876</v>
      </c>
      <c r="W62" s="196">
        <f t="shared" si="7"/>
        <v>0.63088753604613901</v>
      </c>
      <c r="X62" s="197"/>
      <c r="Y62" s="196"/>
      <c r="Z62" s="196"/>
      <c r="AA62" s="95"/>
      <c r="AB62" s="196"/>
      <c r="AC62" s="196"/>
      <c r="AD62" s="197">
        <v>2070325</v>
      </c>
      <c r="AE62" s="197">
        <f>VLOOKUP(B62,Reference!A:B,2,0)</f>
        <v>15074.1</v>
      </c>
    </row>
    <row r="63" spans="1:31">
      <c r="A63" s="3">
        <v>1984</v>
      </c>
      <c r="B63" s="3" t="s">
        <v>434</v>
      </c>
      <c r="C63" s="191">
        <v>30895</v>
      </c>
      <c r="D63" s="192">
        <v>4145007</v>
      </c>
      <c r="E63" s="193">
        <v>236522</v>
      </c>
      <c r="F63" s="227">
        <f t="shared" si="4"/>
        <v>5.7061906047444551E-2</v>
      </c>
      <c r="G63" s="194">
        <v>22886</v>
      </c>
      <c r="H63" s="193">
        <v>15417</v>
      </c>
      <c r="I63" s="193">
        <f t="shared" si="5"/>
        <v>0.67364327536485191</v>
      </c>
      <c r="J63" s="229"/>
      <c r="K63" s="193"/>
      <c r="L63" s="195"/>
      <c r="M63" s="193"/>
      <c r="N63" s="229"/>
      <c r="O63" s="193"/>
      <c r="P63" s="3"/>
      <c r="Q63" s="196"/>
      <c r="R63" s="194">
        <v>0</v>
      </c>
      <c r="S63" s="193">
        <v>0</v>
      </c>
      <c r="T63" s="193">
        <f t="shared" si="6"/>
        <v>0</v>
      </c>
      <c r="U63" s="197">
        <v>13850</v>
      </c>
      <c r="V63" s="196">
        <v>8733</v>
      </c>
      <c r="W63" s="196">
        <f t="shared" si="7"/>
        <v>0.63054151624548738</v>
      </c>
      <c r="X63" s="197"/>
      <c r="Y63" s="196"/>
      <c r="Z63" s="196"/>
      <c r="AA63" s="95"/>
      <c r="AB63" s="196"/>
      <c r="AC63" s="196"/>
      <c r="AD63" s="197">
        <v>2070325</v>
      </c>
      <c r="AE63" s="197">
        <f>VLOOKUP(B63,Reference!A:B,2,0)</f>
        <v>15074.1</v>
      </c>
    </row>
    <row r="64" spans="1:31">
      <c r="A64" s="3">
        <v>1984</v>
      </c>
      <c r="B64" s="3" t="s">
        <v>434</v>
      </c>
      <c r="C64" s="191">
        <v>30926</v>
      </c>
      <c r="D64" s="192">
        <v>3793055</v>
      </c>
      <c r="E64" s="193">
        <v>218028</v>
      </c>
      <c r="F64" s="227">
        <f t="shared" si="4"/>
        <v>5.7480843278043689E-2</v>
      </c>
      <c r="G64" s="194">
        <v>21380</v>
      </c>
      <c r="H64" s="193">
        <v>13897</v>
      </c>
      <c r="I64" s="193">
        <f t="shared" si="5"/>
        <v>0.65</v>
      </c>
      <c r="J64" s="229"/>
      <c r="K64" s="193"/>
      <c r="L64" s="195"/>
      <c r="M64" s="193"/>
      <c r="N64" s="229"/>
      <c r="O64" s="193"/>
      <c r="P64" s="3"/>
      <c r="Q64" s="196"/>
      <c r="R64" s="194">
        <v>0</v>
      </c>
      <c r="S64" s="193">
        <v>0</v>
      </c>
      <c r="T64" s="193">
        <f t="shared" si="6"/>
        <v>0</v>
      </c>
      <c r="U64" s="197">
        <v>12769</v>
      </c>
      <c r="V64" s="196">
        <v>8064</v>
      </c>
      <c r="W64" s="196">
        <f t="shared" si="7"/>
        <v>0.63152948547262899</v>
      </c>
      <c r="X64" s="197"/>
      <c r="Y64" s="196"/>
      <c r="Z64" s="196"/>
      <c r="AA64" s="95"/>
      <c r="AB64" s="196"/>
      <c r="AC64" s="196"/>
      <c r="AD64" s="197">
        <v>2070325</v>
      </c>
      <c r="AE64" s="197">
        <f>VLOOKUP(B64,Reference!A:B,2,0)</f>
        <v>15074.1</v>
      </c>
    </row>
    <row r="65" spans="1:31">
      <c r="A65" s="3">
        <v>1984</v>
      </c>
      <c r="B65" s="3" t="s">
        <v>434</v>
      </c>
      <c r="C65" s="191">
        <v>30956</v>
      </c>
      <c r="D65" s="192">
        <v>3485735</v>
      </c>
      <c r="E65" s="193">
        <v>224615</v>
      </c>
      <c r="F65" s="227">
        <f t="shared" si="4"/>
        <v>6.4438346575399444E-2</v>
      </c>
      <c r="G65" s="194">
        <v>73091</v>
      </c>
      <c r="H65" s="193">
        <v>43976</v>
      </c>
      <c r="I65" s="193">
        <f t="shared" si="5"/>
        <v>0.60166094320778207</v>
      </c>
      <c r="J65" s="229"/>
      <c r="K65" s="193"/>
      <c r="L65" s="195"/>
      <c r="M65" s="193"/>
      <c r="N65" s="229"/>
      <c r="O65" s="193"/>
      <c r="P65" s="3"/>
      <c r="Q65" s="196"/>
      <c r="R65" s="194">
        <v>0</v>
      </c>
      <c r="S65" s="193">
        <v>0</v>
      </c>
      <c r="T65" s="193">
        <f t="shared" si="6"/>
        <v>0</v>
      </c>
      <c r="U65" s="197">
        <v>11968</v>
      </c>
      <c r="V65" s="196">
        <v>7683</v>
      </c>
      <c r="W65" s="196">
        <f t="shared" si="7"/>
        <v>0.64196189839572193</v>
      </c>
      <c r="X65" s="197"/>
      <c r="Y65" s="196"/>
      <c r="Z65" s="196"/>
      <c r="AA65" s="95"/>
      <c r="AB65" s="196"/>
      <c r="AC65" s="196"/>
      <c r="AD65" s="197">
        <v>2070325</v>
      </c>
      <c r="AE65" s="197">
        <f>VLOOKUP(B65,Reference!A:B,2,0)</f>
        <v>15074.1</v>
      </c>
    </row>
    <row r="66" spans="1:31">
      <c r="A66" s="3">
        <v>1984</v>
      </c>
      <c r="B66" s="3" t="s">
        <v>434</v>
      </c>
      <c r="C66" s="191">
        <v>30987</v>
      </c>
      <c r="D66" s="192">
        <v>3303356</v>
      </c>
      <c r="E66" s="193">
        <v>219562</v>
      </c>
      <c r="F66" s="227">
        <f t="shared" si="4"/>
        <v>6.6466345135068702E-2</v>
      </c>
      <c r="G66" s="194">
        <v>144116</v>
      </c>
      <c r="H66" s="193">
        <v>86194</v>
      </c>
      <c r="I66" s="193">
        <f t="shared" si="5"/>
        <v>0.59808765161397759</v>
      </c>
      <c r="J66" s="229"/>
      <c r="K66" s="193"/>
      <c r="L66" s="195"/>
      <c r="M66" s="193"/>
      <c r="N66" s="229"/>
      <c r="O66" s="193"/>
      <c r="P66" s="3"/>
      <c r="Q66" s="196"/>
      <c r="R66" s="194">
        <v>0</v>
      </c>
      <c r="S66" s="193">
        <v>0</v>
      </c>
      <c r="T66" s="193">
        <f t="shared" si="6"/>
        <v>0</v>
      </c>
      <c r="U66" s="197">
        <v>9211</v>
      </c>
      <c r="V66" s="196">
        <v>5965</v>
      </c>
      <c r="W66" s="196">
        <f t="shared" si="7"/>
        <v>0.64759526652914989</v>
      </c>
      <c r="X66" s="197"/>
      <c r="Y66" s="196"/>
      <c r="Z66" s="196"/>
      <c r="AA66" s="95"/>
      <c r="AB66" s="196"/>
      <c r="AC66" s="196"/>
      <c r="AD66" s="197">
        <v>2070325</v>
      </c>
      <c r="AE66" s="197">
        <f>VLOOKUP(B66,Reference!A:B,2,0)</f>
        <v>15074.1</v>
      </c>
    </row>
    <row r="67" spans="1:31">
      <c r="A67" s="3">
        <v>1984</v>
      </c>
      <c r="B67" s="3" t="s">
        <v>434</v>
      </c>
      <c r="C67" s="191">
        <v>31017</v>
      </c>
      <c r="D67" s="192">
        <v>2442424</v>
      </c>
      <c r="E67" s="193">
        <v>154915</v>
      </c>
      <c r="F67" s="227">
        <f t="shared" si="4"/>
        <v>6.342674326816311E-2</v>
      </c>
      <c r="G67" s="194">
        <v>143792</v>
      </c>
      <c r="H67" s="193">
        <v>84016</v>
      </c>
      <c r="I67" s="193">
        <f t="shared" si="5"/>
        <v>0.58428841660175812</v>
      </c>
      <c r="J67" s="229"/>
      <c r="K67" s="193"/>
      <c r="L67" s="195"/>
      <c r="M67" s="193"/>
      <c r="N67" s="229"/>
      <c r="O67" s="193"/>
      <c r="P67" s="3"/>
      <c r="Q67" s="196"/>
      <c r="R67" s="194">
        <v>0</v>
      </c>
      <c r="S67" s="193">
        <v>0</v>
      </c>
      <c r="T67" s="193">
        <f t="shared" si="6"/>
        <v>0</v>
      </c>
      <c r="U67" s="197">
        <v>26557</v>
      </c>
      <c r="V67" s="196">
        <v>17561</v>
      </c>
      <c r="W67" s="196">
        <f t="shared" si="7"/>
        <v>0.66125691907971529</v>
      </c>
      <c r="X67" s="197"/>
      <c r="Y67" s="196"/>
      <c r="Z67" s="196"/>
      <c r="AA67" s="95"/>
      <c r="AB67" s="196"/>
      <c r="AC67" s="196"/>
      <c r="AD67" s="197">
        <v>2070325</v>
      </c>
      <c r="AE67" s="197">
        <f>VLOOKUP(B67,Reference!A:B,2,0)</f>
        <v>15074.1</v>
      </c>
    </row>
    <row r="68" spans="1:31">
      <c r="A68" s="3">
        <v>1985</v>
      </c>
      <c r="B68" s="3" t="s">
        <v>434</v>
      </c>
      <c r="C68" s="191">
        <v>31048</v>
      </c>
      <c r="D68" s="192">
        <v>2797613</v>
      </c>
      <c r="E68" s="193">
        <v>181128</v>
      </c>
      <c r="F68" s="227">
        <f t="shared" si="4"/>
        <v>6.4743765488650504E-2</v>
      </c>
      <c r="G68" s="194">
        <v>172851</v>
      </c>
      <c r="H68" s="193">
        <v>97044</v>
      </c>
      <c r="I68" s="193">
        <f t="shared" si="5"/>
        <v>0.56143152194664769</v>
      </c>
      <c r="J68" s="229"/>
      <c r="K68" s="193"/>
      <c r="L68" s="195"/>
      <c r="M68" s="193"/>
      <c r="N68" s="229"/>
      <c r="O68" s="193"/>
      <c r="P68" s="3"/>
      <c r="Q68" s="196"/>
      <c r="R68" s="194">
        <v>0</v>
      </c>
      <c r="S68" s="193">
        <v>0</v>
      </c>
      <c r="T68" s="193">
        <f t="shared" si="6"/>
        <v>0</v>
      </c>
      <c r="U68" s="197">
        <v>6771</v>
      </c>
      <c r="V68" s="196">
        <v>4787</v>
      </c>
      <c r="W68" s="196">
        <f t="shared" si="7"/>
        <v>0.70698567419878899</v>
      </c>
      <c r="X68" s="197"/>
      <c r="Y68" s="196"/>
      <c r="Z68" s="196"/>
      <c r="AA68" s="95"/>
      <c r="AB68" s="196"/>
      <c r="AC68" s="196"/>
      <c r="AD68" s="197">
        <v>2070325</v>
      </c>
      <c r="AE68" s="197">
        <f>VLOOKUP(B68,Reference!A:B,2,0)</f>
        <v>15074.1</v>
      </c>
    </row>
    <row r="69" spans="1:31">
      <c r="A69" s="3">
        <v>1985</v>
      </c>
      <c r="B69" s="3" t="s">
        <v>434</v>
      </c>
      <c r="C69" s="191">
        <v>31079</v>
      </c>
      <c r="D69" s="192">
        <v>3673164</v>
      </c>
      <c r="E69" s="193">
        <v>227501</v>
      </c>
      <c r="F69" s="227">
        <f t="shared" si="4"/>
        <v>6.1935976721975934E-2</v>
      </c>
      <c r="G69" s="194">
        <v>160389</v>
      </c>
      <c r="H69" s="193">
        <v>90310</v>
      </c>
      <c r="I69" s="193">
        <f t="shared" si="5"/>
        <v>0.56306853961306569</v>
      </c>
      <c r="J69" s="229"/>
      <c r="K69" s="193"/>
      <c r="L69" s="195"/>
      <c r="M69" s="193"/>
      <c r="N69" s="229"/>
      <c r="O69" s="193"/>
      <c r="P69" s="3"/>
      <c r="Q69" s="196"/>
      <c r="R69" s="194">
        <v>0</v>
      </c>
      <c r="S69" s="193">
        <v>0</v>
      </c>
      <c r="T69" s="193">
        <f t="shared" si="6"/>
        <v>0</v>
      </c>
      <c r="U69" s="197">
        <v>25050</v>
      </c>
      <c r="V69" s="196">
        <v>17527</v>
      </c>
      <c r="W69" s="196">
        <f t="shared" si="7"/>
        <v>0.69968063872255493</v>
      </c>
      <c r="X69" s="197"/>
      <c r="Y69" s="196"/>
      <c r="Z69" s="196"/>
      <c r="AA69" s="95"/>
      <c r="AB69" s="196"/>
      <c r="AC69" s="196"/>
      <c r="AD69" s="197">
        <v>2070325</v>
      </c>
      <c r="AE69" s="197">
        <f>VLOOKUP(B69,Reference!A:B,2,0)</f>
        <v>15074.1</v>
      </c>
    </row>
    <row r="70" spans="1:31">
      <c r="A70" s="3">
        <v>1985</v>
      </c>
      <c r="B70" s="3" t="s">
        <v>434</v>
      </c>
      <c r="C70" s="191">
        <v>31107</v>
      </c>
      <c r="D70" s="192">
        <v>3672763</v>
      </c>
      <c r="E70" s="193">
        <v>227467</v>
      </c>
      <c r="F70" s="227">
        <f t="shared" si="4"/>
        <v>6.1933481686675673E-2</v>
      </c>
      <c r="G70" s="194">
        <v>134271</v>
      </c>
      <c r="H70" s="193">
        <v>78147</v>
      </c>
      <c r="I70" s="193">
        <f t="shared" si="5"/>
        <v>0.58200951806421342</v>
      </c>
      <c r="J70" s="229"/>
      <c r="K70" s="193"/>
      <c r="L70" s="195"/>
      <c r="M70" s="193"/>
      <c r="N70" s="229"/>
      <c r="O70" s="193"/>
      <c r="P70" s="3"/>
      <c r="Q70" s="196"/>
      <c r="R70" s="194">
        <v>0</v>
      </c>
      <c r="S70" s="193">
        <v>0</v>
      </c>
      <c r="T70" s="193">
        <f t="shared" si="6"/>
        <v>0</v>
      </c>
      <c r="U70" s="197">
        <v>12312</v>
      </c>
      <c r="V70" s="196">
        <v>8462</v>
      </c>
      <c r="W70" s="196">
        <f t="shared" si="7"/>
        <v>0.68729694606887592</v>
      </c>
      <c r="X70" s="197"/>
      <c r="Y70" s="196"/>
      <c r="Z70" s="196"/>
      <c r="AA70" s="95"/>
      <c r="AB70" s="196"/>
      <c r="AC70" s="196"/>
      <c r="AD70" s="197">
        <v>2070325</v>
      </c>
      <c r="AE70" s="197">
        <f>VLOOKUP(B70,Reference!A:B,2,0)</f>
        <v>15074.1</v>
      </c>
    </row>
    <row r="71" spans="1:31">
      <c r="A71" s="3">
        <v>1985</v>
      </c>
      <c r="B71" s="3" t="s">
        <v>434</v>
      </c>
      <c r="C71" s="191">
        <v>31138</v>
      </c>
      <c r="D71" s="192">
        <v>2960943</v>
      </c>
      <c r="E71" s="193">
        <v>154623</v>
      </c>
      <c r="F71" s="227">
        <f t="shared" si="4"/>
        <v>5.2220863420876389E-2</v>
      </c>
      <c r="G71" s="194">
        <v>95483</v>
      </c>
      <c r="H71" s="193">
        <v>57110</v>
      </c>
      <c r="I71" s="193">
        <f t="shared" si="5"/>
        <v>0.59811694228291945</v>
      </c>
      <c r="J71" s="229"/>
      <c r="K71" s="193"/>
      <c r="L71" s="195"/>
      <c r="M71" s="193"/>
      <c r="N71" s="229"/>
      <c r="O71" s="193"/>
      <c r="P71" s="3"/>
      <c r="Q71" s="196"/>
      <c r="R71" s="194">
        <v>0</v>
      </c>
      <c r="S71" s="193">
        <v>0</v>
      </c>
      <c r="T71" s="193">
        <f t="shared" si="6"/>
        <v>0</v>
      </c>
      <c r="U71" s="197">
        <v>10786</v>
      </c>
      <c r="V71" s="196">
        <v>7149</v>
      </c>
      <c r="W71" s="196">
        <f t="shared" si="7"/>
        <v>0.66280363434081213</v>
      </c>
      <c r="X71" s="197"/>
      <c r="Y71" s="196"/>
      <c r="Z71" s="196"/>
      <c r="AA71" s="95"/>
      <c r="AB71" s="196"/>
      <c r="AC71" s="196"/>
      <c r="AD71" s="197">
        <v>2070325</v>
      </c>
      <c r="AE71" s="197">
        <f>VLOOKUP(B71,Reference!A:B,2,0)</f>
        <v>15074.1</v>
      </c>
    </row>
    <row r="72" spans="1:31">
      <c r="A72" s="3">
        <v>1985</v>
      </c>
      <c r="B72" s="3" t="s">
        <v>434</v>
      </c>
      <c r="C72" s="191">
        <v>31168</v>
      </c>
      <c r="D72" s="192">
        <v>3165906</v>
      </c>
      <c r="E72" s="193">
        <v>164825</v>
      </c>
      <c r="F72" s="227">
        <f t="shared" si="4"/>
        <v>5.2062505961958438E-2</v>
      </c>
      <c r="G72" s="194">
        <v>56478</v>
      </c>
      <c r="H72" s="193">
        <v>35624</v>
      </c>
      <c r="I72" s="193">
        <f t="shared" si="5"/>
        <v>0.6307588795637239</v>
      </c>
      <c r="J72" s="229"/>
      <c r="K72" s="193"/>
      <c r="L72" s="195"/>
      <c r="M72" s="193"/>
      <c r="N72" s="229"/>
      <c r="O72" s="193"/>
      <c r="P72" s="3"/>
      <c r="Q72" s="196"/>
      <c r="R72" s="194">
        <v>0</v>
      </c>
      <c r="S72" s="193">
        <v>0</v>
      </c>
      <c r="T72" s="193">
        <f t="shared" si="6"/>
        <v>0</v>
      </c>
      <c r="U72" s="197">
        <v>22251</v>
      </c>
      <c r="V72" s="196">
        <v>14935</v>
      </c>
      <c r="W72" s="196">
        <f t="shared" si="7"/>
        <v>0.67120578850388746</v>
      </c>
      <c r="X72" s="197"/>
      <c r="Y72" s="196"/>
      <c r="Z72" s="196"/>
      <c r="AA72" s="95"/>
      <c r="AB72" s="196"/>
      <c r="AC72" s="196"/>
      <c r="AD72" s="197">
        <v>2070325</v>
      </c>
      <c r="AE72" s="197">
        <f>VLOOKUP(B72,Reference!A:B,2,0)</f>
        <v>15074.1</v>
      </c>
    </row>
    <row r="73" spans="1:31">
      <c r="A73" s="3">
        <v>1985</v>
      </c>
      <c r="B73" s="3" t="s">
        <v>434</v>
      </c>
      <c r="C73" s="191">
        <v>31199</v>
      </c>
      <c r="D73" s="192">
        <v>3575395</v>
      </c>
      <c r="E73" s="193">
        <v>193321</v>
      </c>
      <c r="F73" s="227">
        <f t="shared" si="4"/>
        <v>5.4069830046750082E-2</v>
      </c>
      <c r="G73" s="194">
        <v>20318</v>
      </c>
      <c r="H73" s="193">
        <v>13590</v>
      </c>
      <c r="I73" s="193">
        <f t="shared" si="5"/>
        <v>0.66886504577222172</v>
      </c>
      <c r="J73" s="229"/>
      <c r="K73" s="193"/>
      <c r="L73" s="195"/>
      <c r="M73" s="193"/>
      <c r="N73" s="229"/>
      <c r="O73" s="193"/>
      <c r="P73" s="3"/>
      <c r="Q73" s="196"/>
      <c r="R73" s="194"/>
      <c r="S73" s="193"/>
      <c r="T73" s="193">
        <f t="shared" si="6"/>
        <v>0</v>
      </c>
      <c r="U73" s="197">
        <v>11939</v>
      </c>
      <c r="V73" s="196">
        <v>7905</v>
      </c>
      <c r="W73" s="196">
        <f t="shared" si="7"/>
        <v>0.66211575508836584</v>
      </c>
      <c r="X73" s="197"/>
      <c r="Y73" s="196"/>
      <c r="Z73" s="196"/>
      <c r="AA73" s="95"/>
      <c r="AB73" s="196"/>
      <c r="AC73" s="196"/>
      <c r="AD73" s="197">
        <v>2070325</v>
      </c>
      <c r="AE73" s="197">
        <f>VLOOKUP(B73,Reference!A:B,2,0)</f>
        <v>15074.1</v>
      </c>
    </row>
    <row r="74" spans="1:31">
      <c r="A74" s="3">
        <v>1985</v>
      </c>
      <c r="B74" s="3" t="s">
        <v>435</v>
      </c>
      <c r="C74" s="191">
        <v>31229</v>
      </c>
      <c r="D74" s="192">
        <v>3463237</v>
      </c>
      <c r="E74" s="193">
        <v>201354</v>
      </c>
      <c r="F74" s="227">
        <f t="shared" si="4"/>
        <v>5.8140404482858087E-2</v>
      </c>
      <c r="G74" s="194">
        <v>19002</v>
      </c>
      <c r="H74" s="193">
        <v>12499</v>
      </c>
      <c r="I74" s="193">
        <f t="shared" si="5"/>
        <v>0.65777286601410379</v>
      </c>
      <c r="J74" s="229"/>
      <c r="K74" s="193"/>
      <c r="L74" s="195"/>
      <c r="M74" s="193"/>
      <c r="N74" s="229"/>
      <c r="O74" s="193"/>
      <c r="P74" s="3"/>
      <c r="Q74" s="196"/>
      <c r="R74" s="194">
        <v>0</v>
      </c>
      <c r="S74" s="193">
        <v>0</v>
      </c>
      <c r="T74" s="193">
        <f t="shared" si="6"/>
        <v>0</v>
      </c>
      <c r="U74" s="197">
        <v>55594</v>
      </c>
      <c r="V74" s="196">
        <v>37931</v>
      </c>
      <c r="W74" s="196">
        <f t="shared" si="7"/>
        <v>0.68228585818613519</v>
      </c>
      <c r="X74" s="197"/>
      <c r="Y74" s="196"/>
      <c r="Z74" s="196"/>
      <c r="AA74" s="95"/>
      <c r="AB74" s="196"/>
      <c r="AC74" s="196"/>
      <c r="AD74" s="197">
        <v>2070325</v>
      </c>
      <c r="AE74" s="197">
        <f>VLOOKUP(B74,Reference!A:B,2,0)</f>
        <v>15532.7</v>
      </c>
    </row>
    <row r="75" spans="1:31">
      <c r="A75" s="3">
        <v>1985</v>
      </c>
      <c r="B75" s="3" t="s">
        <v>435</v>
      </c>
      <c r="C75" s="191">
        <v>31260</v>
      </c>
      <c r="D75" s="192">
        <v>3328905</v>
      </c>
      <c r="E75" s="193">
        <v>194236</v>
      </c>
      <c r="F75" s="227">
        <f t="shared" si="4"/>
        <v>5.8348315737457211E-2</v>
      </c>
      <c r="G75" s="194">
        <v>22843</v>
      </c>
      <c r="H75" s="193">
        <v>14819</v>
      </c>
      <c r="I75" s="193">
        <f t="shared" si="5"/>
        <v>0.64873265332924746</v>
      </c>
      <c r="J75" s="229"/>
      <c r="K75" s="193"/>
      <c r="L75" s="195"/>
      <c r="M75" s="193"/>
      <c r="N75" s="229"/>
      <c r="O75" s="193"/>
      <c r="P75" s="3"/>
      <c r="Q75" s="196"/>
      <c r="R75" s="194">
        <v>0</v>
      </c>
      <c r="S75" s="193">
        <v>0</v>
      </c>
      <c r="T75" s="193">
        <f t="shared" si="6"/>
        <v>0</v>
      </c>
      <c r="U75" s="197">
        <v>12737</v>
      </c>
      <c r="V75" s="196">
        <v>8813</v>
      </c>
      <c r="W75" s="196">
        <f t="shared" si="7"/>
        <v>0.69192117453089419</v>
      </c>
      <c r="X75" s="197"/>
      <c r="Y75" s="196"/>
      <c r="Z75" s="196"/>
      <c r="AA75" s="95"/>
      <c r="AB75" s="196"/>
      <c r="AC75" s="196"/>
      <c r="AD75" s="197">
        <v>2070325</v>
      </c>
      <c r="AE75" s="197">
        <f>VLOOKUP(B75,Reference!A:B,2,0)</f>
        <v>15532.7</v>
      </c>
    </row>
    <row r="76" spans="1:31">
      <c r="A76" s="3">
        <v>1985</v>
      </c>
      <c r="B76" s="3" t="s">
        <v>435</v>
      </c>
      <c r="C76" s="191">
        <v>31291</v>
      </c>
      <c r="D76" s="192">
        <v>2848798</v>
      </c>
      <c r="E76" s="193">
        <v>174255</v>
      </c>
      <c r="F76" s="227">
        <f t="shared" si="4"/>
        <v>6.1167903094568307E-2</v>
      </c>
      <c r="G76" s="194">
        <v>17261</v>
      </c>
      <c r="H76" s="193">
        <v>10900</v>
      </c>
      <c r="I76" s="193">
        <f t="shared" si="5"/>
        <v>0.63148137419616479</v>
      </c>
      <c r="J76" s="229"/>
      <c r="K76" s="193"/>
      <c r="L76" s="195"/>
      <c r="M76" s="193"/>
      <c r="N76" s="229"/>
      <c r="O76" s="193"/>
      <c r="P76" s="3"/>
      <c r="Q76" s="196"/>
      <c r="R76" s="194">
        <v>0</v>
      </c>
      <c r="S76" s="193">
        <v>0</v>
      </c>
      <c r="T76" s="193">
        <f t="shared" si="6"/>
        <v>0</v>
      </c>
      <c r="U76" s="197">
        <v>12736</v>
      </c>
      <c r="V76" s="196">
        <v>8812</v>
      </c>
      <c r="W76" s="196">
        <f t="shared" si="7"/>
        <v>0.69189698492462315</v>
      </c>
      <c r="X76" s="197"/>
      <c r="Y76" s="196"/>
      <c r="Z76" s="196"/>
      <c r="AA76" s="95"/>
      <c r="AB76" s="196"/>
      <c r="AC76" s="196"/>
      <c r="AD76" s="197">
        <v>2070325</v>
      </c>
      <c r="AE76" s="197">
        <f>VLOOKUP(B76,Reference!A:B,2,0)</f>
        <v>15532.7</v>
      </c>
    </row>
    <row r="77" spans="1:31">
      <c r="A77" s="3">
        <v>1985</v>
      </c>
      <c r="B77" s="3" t="s">
        <v>435</v>
      </c>
      <c r="C77" s="191">
        <v>31321</v>
      </c>
      <c r="D77" s="192">
        <v>3114551</v>
      </c>
      <c r="E77" s="193">
        <v>202467</v>
      </c>
      <c r="F77" s="227">
        <f t="shared" si="4"/>
        <v>6.5006801943522513E-2</v>
      </c>
      <c r="G77" s="194">
        <v>20249</v>
      </c>
      <c r="H77" s="193">
        <v>13903</v>
      </c>
      <c r="I77" s="193">
        <f t="shared" si="5"/>
        <v>0.68660180749666655</v>
      </c>
      <c r="J77" s="229"/>
      <c r="K77" s="193"/>
      <c r="L77" s="195"/>
      <c r="M77" s="193"/>
      <c r="N77" s="229"/>
      <c r="O77" s="193"/>
      <c r="P77" s="3"/>
      <c r="Q77" s="196"/>
      <c r="R77" s="194">
        <v>0</v>
      </c>
      <c r="S77" s="193">
        <v>0</v>
      </c>
      <c r="T77" s="193">
        <f t="shared" si="6"/>
        <v>0</v>
      </c>
      <c r="U77" s="197">
        <v>10328</v>
      </c>
      <c r="V77" s="196">
        <v>7453</v>
      </c>
      <c r="W77" s="196">
        <f t="shared" si="7"/>
        <v>0.72163051897753683</v>
      </c>
      <c r="X77" s="197"/>
      <c r="Y77" s="196"/>
      <c r="Z77" s="196"/>
      <c r="AA77" s="95"/>
      <c r="AB77" s="196"/>
      <c r="AC77" s="196"/>
      <c r="AD77" s="197">
        <v>2070325</v>
      </c>
      <c r="AE77" s="197">
        <f>VLOOKUP(B77,Reference!A:B,2,0)</f>
        <v>15532.7</v>
      </c>
    </row>
    <row r="78" spans="1:31">
      <c r="A78" s="3">
        <v>1985</v>
      </c>
      <c r="B78" s="3" t="s">
        <v>435</v>
      </c>
      <c r="C78" s="191">
        <v>31352</v>
      </c>
      <c r="D78" s="192">
        <v>2772097</v>
      </c>
      <c r="E78" s="193">
        <v>182826</v>
      </c>
      <c r="F78" s="227">
        <f t="shared" si="4"/>
        <v>6.5952237602075248E-2</v>
      </c>
      <c r="G78" s="194">
        <v>116003</v>
      </c>
      <c r="H78" s="193">
        <v>65211</v>
      </c>
      <c r="I78" s="193">
        <f t="shared" si="5"/>
        <v>0.56214925476065269</v>
      </c>
      <c r="J78" s="229"/>
      <c r="K78" s="193"/>
      <c r="L78" s="195"/>
      <c r="M78" s="193"/>
      <c r="N78" s="229"/>
      <c r="O78" s="193"/>
      <c r="P78" s="3"/>
      <c r="Q78" s="196"/>
      <c r="R78" s="194">
        <v>1489</v>
      </c>
      <c r="S78" s="193">
        <v>1164</v>
      </c>
      <c r="T78" s="193">
        <f t="shared" si="6"/>
        <v>0.78173270651443927</v>
      </c>
      <c r="U78" s="197">
        <v>37794</v>
      </c>
      <c r="V78" s="196">
        <v>26912</v>
      </c>
      <c r="W78" s="196">
        <f t="shared" si="7"/>
        <v>0.71207069905275966</v>
      </c>
      <c r="X78" s="197"/>
      <c r="Y78" s="196">
        <v>19093</v>
      </c>
      <c r="Z78" s="196"/>
      <c r="AA78" s="95"/>
      <c r="AB78" s="196" t="s">
        <v>237</v>
      </c>
      <c r="AC78" s="196"/>
      <c r="AD78" s="197">
        <v>2070325</v>
      </c>
      <c r="AE78" s="197">
        <f>VLOOKUP(B78,Reference!A:B,2,0)</f>
        <v>15532.7</v>
      </c>
    </row>
    <row r="79" spans="1:31">
      <c r="A79" s="3">
        <v>1985</v>
      </c>
      <c r="B79" s="3" t="s">
        <v>435</v>
      </c>
      <c r="C79" s="191">
        <v>31382</v>
      </c>
      <c r="D79" s="192">
        <v>2733774</v>
      </c>
      <c r="E79" s="193">
        <v>185612</v>
      </c>
      <c r="F79" s="227">
        <f t="shared" si="4"/>
        <v>6.7895883127134876E-2</v>
      </c>
      <c r="G79" s="194">
        <v>136852</v>
      </c>
      <c r="H79" s="193">
        <v>83839</v>
      </c>
      <c r="I79" s="193">
        <f t="shared" si="5"/>
        <v>0.61262531786163155</v>
      </c>
      <c r="J79" s="229"/>
      <c r="K79" s="193"/>
      <c r="L79" s="195"/>
      <c r="M79" s="193"/>
      <c r="N79" s="229"/>
      <c r="O79" s="193"/>
      <c r="P79" s="3"/>
      <c r="Q79" s="196"/>
      <c r="R79" s="194">
        <v>1647</v>
      </c>
      <c r="S79" s="193">
        <v>1288</v>
      </c>
      <c r="T79" s="193">
        <f t="shared" si="6"/>
        <v>0.7820279295689132</v>
      </c>
      <c r="U79" s="197"/>
      <c r="V79" s="196"/>
      <c r="W79" s="196">
        <f t="shared" si="7"/>
        <v>0</v>
      </c>
      <c r="X79" s="197"/>
      <c r="Y79" s="196"/>
      <c r="Z79" s="196"/>
      <c r="AA79" s="95"/>
      <c r="AB79" s="196">
        <v>6255</v>
      </c>
      <c r="AC79" s="196"/>
      <c r="AD79" s="197">
        <v>2070325</v>
      </c>
      <c r="AE79" s="197">
        <f>VLOOKUP(B79,Reference!A:B,2,0)</f>
        <v>15532.7</v>
      </c>
    </row>
    <row r="80" spans="1:31">
      <c r="A80" s="3">
        <v>1986</v>
      </c>
      <c r="B80" s="3" t="s">
        <v>435</v>
      </c>
      <c r="C80" s="191">
        <v>31413</v>
      </c>
      <c r="D80" s="192">
        <v>2720908</v>
      </c>
      <c r="E80" s="193">
        <v>190193</v>
      </c>
      <c r="F80" s="227">
        <f t="shared" si="4"/>
        <v>6.9900562606306421E-2</v>
      </c>
      <c r="G80" s="194">
        <v>99618</v>
      </c>
      <c r="H80" s="193">
        <v>59219</v>
      </c>
      <c r="I80" s="193">
        <f t="shared" si="5"/>
        <v>0.59446084041036762</v>
      </c>
      <c r="J80" s="229"/>
      <c r="K80" s="193"/>
      <c r="L80" s="195"/>
      <c r="M80" s="193"/>
      <c r="N80" s="229"/>
      <c r="O80" s="193"/>
      <c r="P80" s="3"/>
      <c r="Q80" s="196"/>
      <c r="R80" s="194">
        <v>0</v>
      </c>
      <c r="S80" s="193">
        <v>0</v>
      </c>
      <c r="T80" s="193">
        <f t="shared" si="6"/>
        <v>0</v>
      </c>
      <c r="U80" s="197"/>
      <c r="V80" s="196"/>
      <c r="W80" s="196">
        <f t="shared" si="7"/>
        <v>0</v>
      </c>
      <c r="X80" s="197"/>
      <c r="Y80" s="196">
        <v>22686</v>
      </c>
      <c r="Z80" s="196"/>
      <c r="AA80" s="95"/>
      <c r="AB80" s="196">
        <v>1251</v>
      </c>
      <c r="AC80" s="196"/>
      <c r="AD80" s="197">
        <v>2070325</v>
      </c>
      <c r="AE80" s="197">
        <f>VLOOKUP(B80,Reference!A:B,2,0)</f>
        <v>15532.7</v>
      </c>
    </row>
    <row r="81" spans="1:31">
      <c r="A81" s="3">
        <v>1986</v>
      </c>
      <c r="B81" s="3" t="s">
        <v>435</v>
      </c>
      <c r="C81" s="191">
        <v>31444</v>
      </c>
      <c r="D81" s="192">
        <v>2925637</v>
      </c>
      <c r="E81" s="193">
        <v>201815</v>
      </c>
      <c r="F81" s="227">
        <f t="shared" si="4"/>
        <v>6.8981558546053395E-2</v>
      </c>
      <c r="G81" s="194">
        <v>104586</v>
      </c>
      <c r="H81" s="193">
        <v>46054</v>
      </c>
      <c r="I81" s="193">
        <f t="shared" si="5"/>
        <v>0.44034574417226013</v>
      </c>
      <c r="J81" s="229"/>
      <c r="K81" s="193"/>
      <c r="L81" s="195"/>
      <c r="M81" s="193"/>
      <c r="N81" s="229"/>
      <c r="O81" s="193"/>
      <c r="P81" s="3"/>
      <c r="Q81" s="196"/>
      <c r="R81" s="194">
        <v>0</v>
      </c>
      <c r="S81" s="193">
        <v>0</v>
      </c>
      <c r="T81" s="193">
        <f t="shared" si="6"/>
        <v>0</v>
      </c>
      <c r="U81" s="197"/>
      <c r="V81" s="196"/>
      <c r="W81" s="196">
        <f t="shared" si="7"/>
        <v>0</v>
      </c>
      <c r="X81" s="197"/>
      <c r="Y81" s="196"/>
      <c r="Z81" s="196"/>
      <c r="AA81" s="95"/>
      <c r="AB81" s="196">
        <v>1251</v>
      </c>
      <c r="AC81" s="196"/>
      <c r="AD81" s="197">
        <v>2070325</v>
      </c>
      <c r="AE81" s="197">
        <f>VLOOKUP(B81,Reference!A:B,2,0)</f>
        <v>15532.7</v>
      </c>
    </row>
    <row r="82" spans="1:31">
      <c r="A82" s="3">
        <v>1986</v>
      </c>
      <c r="B82" s="3" t="s">
        <v>435</v>
      </c>
      <c r="C82" s="191">
        <v>31472</v>
      </c>
      <c r="D82" s="192">
        <v>2426369</v>
      </c>
      <c r="E82" s="193">
        <v>171820</v>
      </c>
      <c r="F82" s="227">
        <f t="shared" si="4"/>
        <v>7.0813631397367835E-2</v>
      </c>
      <c r="G82" s="194">
        <v>91283</v>
      </c>
      <c r="H82" s="193">
        <v>37464</v>
      </c>
      <c r="I82" s="193">
        <f t="shared" si="5"/>
        <v>0.41041595915997503</v>
      </c>
      <c r="J82" s="229"/>
      <c r="K82" s="193"/>
      <c r="L82" s="195"/>
      <c r="M82" s="193"/>
      <c r="N82" s="229"/>
      <c r="O82" s="193"/>
      <c r="P82" s="3"/>
      <c r="Q82" s="196"/>
      <c r="R82" s="194">
        <v>0</v>
      </c>
      <c r="S82" s="193">
        <v>0</v>
      </c>
      <c r="T82" s="193">
        <f t="shared" si="6"/>
        <v>0</v>
      </c>
      <c r="U82" s="197"/>
      <c r="V82" s="196"/>
      <c r="W82" s="196">
        <f t="shared" si="7"/>
        <v>0</v>
      </c>
      <c r="X82" s="197"/>
      <c r="Y82" s="196"/>
      <c r="Z82" s="196"/>
      <c r="AA82" s="95"/>
      <c r="AB82" s="196">
        <v>1251</v>
      </c>
      <c r="AC82" s="196"/>
      <c r="AD82" s="197">
        <v>2070325</v>
      </c>
      <c r="AE82" s="197">
        <f>VLOOKUP(B82,Reference!A:B,2,0)</f>
        <v>15532.7</v>
      </c>
    </row>
    <row r="83" spans="1:31">
      <c r="A83" s="3">
        <v>1986</v>
      </c>
      <c r="B83" s="3" t="s">
        <v>435</v>
      </c>
      <c r="C83" s="191">
        <v>31503</v>
      </c>
      <c r="D83" s="192">
        <v>3031280</v>
      </c>
      <c r="E83" s="193">
        <v>209301</v>
      </c>
      <c r="F83" s="227">
        <f t="shared" si="4"/>
        <v>6.9047069224881893E-2</v>
      </c>
      <c r="G83" s="194">
        <v>62993</v>
      </c>
      <c r="H83" s="193">
        <v>26692</v>
      </c>
      <c r="I83" s="193">
        <f t="shared" si="5"/>
        <v>0.42372962075151205</v>
      </c>
      <c r="J83" s="229"/>
      <c r="K83" s="193"/>
      <c r="L83" s="195"/>
      <c r="M83" s="193"/>
      <c r="N83" s="229"/>
      <c r="O83" s="193"/>
      <c r="P83" s="3"/>
      <c r="Q83" s="196"/>
      <c r="R83" s="194">
        <v>1224</v>
      </c>
      <c r="S83" s="193">
        <v>891</v>
      </c>
      <c r="T83" s="193">
        <f t="shared" si="6"/>
        <v>0.7279411764705882</v>
      </c>
      <c r="U83" s="197">
        <v>38746</v>
      </c>
      <c r="V83" s="196">
        <v>28973</v>
      </c>
      <c r="W83" s="196">
        <f t="shared" si="7"/>
        <v>0.74776751148505649</v>
      </c>
      <c r="X83" s="197"/>
      <c r="Y83" s="196">
        <v>11312</v>
      </c>
      <c r="Z83" s="196"/>
      <c r="AA83" s="95"/>
      <c r="AB83" s="196">
        <v>1251</v>
      </c>
      <c r="AC83" s="196"/>
      <c r="AD83" s="197">
        <v>2070325</v>
      </c>
      <c r="AE83" s="197">
        <f>VLOOKUP(B83,Reference!A:B,2,0)</f>
        <v>15532.7</v>
      </c>
    </row>
    <row r="84" spans="1:31">
      <c r="A84" s="3">
        <v>1986</v>
      </c>
      <c r="B84" s="3" t="s">
        <v>435</v>
      </c>
      <c r="C84" s="191">
        <v>31533</v>
      </c>
      <c r="D84" s="192">
        <v>2983286</v>
      </c>
      <c r="E84" s="193">
        <v>208265</v>
      </c>
      <c r="F84" s="227">
        <f t="shared" si="4"/>
        <v>6.9810604816299873E-2</v>
      </c>
      <c r="G84" s="194">
        <v>24214</v>
      </c>
      <c r="H84" s="193">
        <v>14769</v>
      </c>
      <c r="I84" s="193">
        <f t="shared" si="5"/>
        <v>0.60993640042950359</v>
      </c>
      <c r="J84" s="229"/>
      <c r="K84" s="193"/>
      <c r="L84" s="195"/>
      <c r="M84" s="193"/>
      <c r="N84" s="229"/>
      <c r="O84" s="193"/>
      <c r="P84" s="3"/>
      <c r="Q84" s="196"/>
      <c r="R84" s="194">
        <v>4504</v>
      </c>
      <c r="S84" s="193">
        <v>3279</v>
      </c>
      <c r="T84" s="193">
        <f t="shared" si="6"/>
        <v>0.72801953818827714</v>
      </c>
      <c r="U84" s="197">
        <v>11767</v>
      </c>
      <c r="V84" s="196">
        <v>9283</v>
      </c>
      <c r="W84" s="196">
        <f t="shared" si="7"/>
        <v>0.78890116427296675</v>
      </c>
      <c r="X84" s="197"/>
      <c r="Y84" s="196"/>
      <c r="Z84" s="196"/>
      <c r="AA84" s="95"/>
      <c r="AB84" s="196">
        <v>1251</v>
      </c>
      <c r="AC84" s="196"/>
      <c r="AD84" s="197">
        <v>2070325</v>
      </c>
      <c r="AE84" s="197">
        <f>VLOOKUP(B84,Reference!A:B,2,0)</f>
        <v>15532.7</v>
      </c>
    </row>
    <row r="85" spans="1:31">
      <c r="A85" s="3">
        <v>1986</v>
      </c>
      <c r="B85" s="3" t="s">
        <v>435</v>
      </c>
      <c r="C85" s="191">
        <v>31564</v>
      </c>
      <c r="D85" s="192">
        <v>2992943</v>
      </c>
      <c r="E85" s="193">
        <v>210786</v>
      </c>
      <c r="F85" s="227">
        <f t="shared" si="4"/>
        <v>7.0427669354210895E-2</v>
      </c>
      <c r="G85" s="194">
        <v>20215</v>
      </c>
      <c r="H85" s="193">
        <v>12193</v>
      </c>
      <c r="I85" s="193">
        <f t="shared" si="5"/>
        <v>0.6031659658669305</v>
      </c>
      <c r="J85" s="229"/>
      <c r="K85" s="193"/>
      <c r="L85" s="195"/>
      <c r="M85" s="193"/>
      <c r="N85" s="229"/>
      <c r="O85" s="193"/>
      <c r="P85" s="3"/>
      <c r="Q85" s="196"/>
      <c r="R85" s="194">
        <v>1984</v>
      </c>
      <c r="S85" s="193">
        <v>1444</v>
      </c>
      <c r="T85" s="193">
        <f t="shared" si="6"/>
        <v>0.72782258064516125</v>
      </c>
      <c r="U85" s="197">
        <v>10798</v>
      </c>
      <c r="V85" s="196">
        <v>8424</v>
      </c>
      <c r="W85" s="196">
        <f t="shared" si="7"/>
        <v>0.78014447119837005</v>
      </c>
      <c r="X85" s="197"/>
      <c r="Y85" s="196"/>
      <c r="Z85" s="196"/>
      <c r="AA85" s="95"/>
      <c r="AB85" s="196">
        <v>1251</v>
      </c>
      <c r="AC85" s="196"/>
      <c r="AD85" s="197">
        <v>2070325</v>
      </c>
      <c r="AE85" s="197">
        <f>VLOOKUP(B85,Reference!A:B,2,0)</f>
        <v>15532.7</v>
      </c>
    </row>
    <row r="86" spans="1:31">
      <c r="A86" s="3">
        <v>1986</v>
      </c>
      <c r="B86" s="3" t="s">
        <v>436</v>
      </c>
      <c r="C86" s="191">
        <v>31594</v>
      </c>
      <c r="D86" s="192">
        <v>3255247</v>
      </c>
      <c r="E86" s="193">
        <v>227629</v>
      </c>
      <c r="F86" s="227">
        <f t="shared" si="4"/>
        <v>6.9926798181520478E-2</v>
      </c>
      <c r="G86" s="194">
        <v>26320</v>
      </c>
      <c r="H86" s="193">
        <v>14915</v>
      </c>
      <c r="I86" s="193">
        <f t="shared" si="5"/>
        <v>0.56667933130699089</v>
      </c>
      <c r="J86" s="229"/>
      <c r="K86" s="193"/>
      <c r="L86" s="195"/>
      <c r="M86" s="193"/>
      <c r="N86" s="229"/>
      <c r="O86" s="193"/>
      <c r="P86" s="3"/>
      <c r="Q86" s="196"/>
      <c r="R86" s="194">
        <v>0</v>
      </c>
      <c r="S86" s="193">
        <v>0</v>
      </c>
      <c r="T86" s="193">
        <f t="shared" si="6"/>
        <v>0</v>
      </c>
      <c r="U86" s="197">
        <v>12445</v>
      </c>
      <c r="V86" s="196">
        <v>9580</v>
      </c>
      <c r="W86" s="196">
        <f t="shared" si="7"/>
        <v>0.76978706307754119</v>
      </c>
      <c r="X86" s="197"/>
      <c r="Y86" s="196"/>
      <c r="Z86" s="196"/>
      <c r="AA86" s="95"/>
      <c r="AB86" s="196">
        <v>1251</v>
      </c>
      <c r="AC86" s="196"/>
      <c r="AD86" s="197">
        <v>2070325</v>
      </c>
      <c r="AE86" s="197">
        <f>VLOOKUP(B86,Reference!A:B,2,0)</f>
        <v>15656.1</v>
      </c>
    </row>
    <row r="87" spans="1:31">
      <c r="A87" s="3">
        <v>1986</v>
      </c>
      <c r="B87" s="3" t="s">
        <v>436</v>
      </c>
      <c r="C87" s="191">
        <v>31625</v>
      </c>
      <c r="D87" s="192">
        <v>3258522</v>
      </c>
      <c r="E87" s="193">
        <v>229174</v>
      </c>
      <c r="F87" s="227">
        <f t="shared" si="4"/>
        <v>7.0330659114776581E-2</v>
      </c>
      <c r="G87" s="194">
        <v>23673</v>
      </c>
      <c r="H87" s="193">
        <v>13386</v>
      </c>
      <c r="I87" s="193">
        <f t="shared" si="5"/>
        <v>0.56545431504245347</v>
      </c>
      <c r="J87" s="229"/>
      <c r="K87" s="193"/>
      <c r="L87" s="195"/>
      <c r="M87" s="193"/>
      <c r="N87" s="229"/>
      <c r="O87" s="193"/>
      <c r="P87" s="3"/>
      <c r="Q87" s="196"/>
      <c r="R87" s="194">
        <v>0</v>
      </c>
      <c r="S87" s="193">
        <v>0</v>
      </c>
      <c r="T87" s="193">
        <f t="shared" si="6"/>
        <v>0</v>
      </c>
      <c r="U87" s="197">
        <v>12445</v>
      </c>
      <c r="V87" s="196">
        <v>9580</v>
      </c>
      <c r="W87" s="196">
        <f t="shared" si="7"/>
        <v>0.76978706307754119</v>
      </c>
      <c r="X87" s="197"/>
      <c r="Y87" s="196">
        <v>13121</v>
      </c>
      <c r="Z87" s="196"/>
      <c r="AA87" s="95"/>
      <c r="AB87" s="196">
        <v>2151</v>
      </c>
      <c r="AC87" s="196"/>
      <c r="AD87" s="197">
        <v>2070325</v>
      </c>
      <c r="AE87" s="197">
        <f>VLOOKUP(B87,Reference!A:B,2,0)</f>
        <v>15656.1</v>
      </c>
    </row>
    <row r="88" spans="1:31">
      <c r="A88" s="3">
        <v>1986</v>
      </c>
      <c r="B88" s="3" t="s">
        <v>436</v>
      </c>
      <c r="C88" s="191">
        <v>31656</v>
      </c>
      <c r="D88" s="192">
        <v>2365556</v>
      </c>
      <c r="E88" s="193">
        <v>163286</v>
      </c>
      <c r="F88" s="227">
        <f t="shared" si="4"/>
        <v>6.9026478341666822E-2</v>
      </c>
      <c r="G88" s="194">
        <v>17083</v>
      </c>
      <c r="H88" s="193">
        <v>9692</v>
      </c>
      <c r="I88" s="193">
        <f t="shared" si="5"/>
        <v>0.56734765556401101</v>
      </c>
      <c r="J88" s="229"/>
      <c r="K88" s="193"/>
      <c r="L88" s="195"/>
      <c r="M88" s="193"/>
      <c r="N88" s="229"/>
      <c r="O88" s="193"/>
      <c r="P88" s="3"/>
      <c r="Q88" s="196"/>
      <c r="R88" s="194">
        <v>0</v>
      </c>
      <c r="S88" s="193">
        <v>0</v>
      </c>
      <c r="T88" s="193">
        <f t="shared" si="6"/>
        <v>0</v>
      </c>
      <c r="U88" s="197">
        <v>8643</v>
      </c>
      <c r="V88" s="196">
        <v>9181</v>
      </c>
      <c r="W88" s="196">
        <f t="shared" si="7"/>
        <v>1.0622469050098347</v>
      </c>
      <c r="X88" s="197"/>
      <c r="Y88" s="196">
        <v>230</v>
      </c>
      <c r="Z88" s="196"/>
      <c r="AA88" s="95"/>
      <c r="AB88" s="196">
        <v>1251</v>
      </c>
      <c r="AC88" s="196"/>
      <c r="AD88" s="197">
        <v>2070325</v>
      </c>
      <c r="AE88" s="197">
        <f>VLOOKUP(B88,Reference!A:B,2,0)</f>
        <v>15656.1</v>
      </c>
    </row>
    <row r="89" spans="1:31">
      <c r="A89" s="3">
        <v>1986</v>
      </c>
      <c r="B89" s="3" t="s">
        <v>436</v>
      </c>
      <c r="C89" s="191">
        <v>31686</v>
      </c>
      <c r="D89" s="192">
        <v>2907064</v>
      </c>
      <c r="E89" s="193">
        <v>195193</v>
      </c>
      <c r="F89" s="227">
        <f t="shared" si="4"/>
        <v>6.7144376594392138E-2</v>
      </c>
      <c r="G89" s="194">
        <v>30215</v>
      </c>
      <c r="H89" s="193">
        <v>15381</v>
      </c>
      <c r="I89" s="193">
        <f t="shared" si="5"/>
        <v>0.50905179546582824</v>
      </c>
      <c r="J89" s="229"/>
      <c r="K89" s="193"/>
      <c r="L89" s="195"/>
      <c r="M89" s="193"/>
      <c r="N89" s="229"/>
      <c r="O89" s="193"/>
      <c r="P89" s="3"/>
      <c r="Q89" s="196"/>
      <c r="R89" s="194">
        <v>0</v>
      </c>
      <c r="S89" s="193">
        <v>0</v>
      </c>
      <c r="T89" s="193">
        <f t="shared" si="6"/>
        <v>0</v>
      </c>
      <c r="U89" s="197">
        <v>8980</v>
      </c>
      <c r="V89" s="196">
        <v>6472</v>
      </c>
      <c r="W89" s="196">
        <f t="shared" si="7"/>
        <v>0.72071269487750556</v>
      </c>
      <c r="X89" s="197"/>
      <c r="Y89" s="196"/>
      <c r="Z89" s="196"/>
      <c r="AA89" s="95"/>
      <c r="AB89" s="196">
        <v>1251</v>
      </c>
      <c r="AC89" s="196"/>
      <c r="AD89" s="197">
        <v>2070325</v>
      </c>
      <c r="AE89" s="197">
        <f>VLOOKUP(B89,Reference!A:B,2,0)</f>
        <v>15656.1</v>
      </c>
    </row>
    <row r="90" spans="1:31">
      <c r="A90" s="3">
        <v>1986</v>
      </c>
      <c r="B90" s="3" t="s">
        <v>436</v>
      </c>
      <c r="C90" s="191">
        <v>31717</v>
      </c>
      <c r="D90" s="192">
        <v>2724055</v>
      </c>
      <c r="E90" s="193">
        <v>179145</v>
      </c>
      <c r="F90" s="227">
        <f t="shared" ref="F90:F128" si="8">IF(D90&gt;0,(E90/D90),0)</f>
        <v>6.5764090666304467E-2</v>
      </c>
      <c r="G90" s="194">
        <v>58914</v>
      </c>
      <c r="H90" s="193">
        <v>24805</v>
      </c>
      <c r="I90" s="193">
        <f t="shared" ref="I90:I128" si="9">IF(G90&gt;0,(H90/G90),0)</f>
        <v>0.42103744441049668</v>
      </c>
      <c r="J90" s="229"/>
      <c r="K90" s="193"/>
      <c r="L90" s="195"/>
      <c r="M90" s="193"/>
      <c r="N90" s="229"/>
      <c r="O90" s="193"/>
      <c r="P90" s="3"/>
      <c r="Q90" s="196"/>
      <c r="R90" s="194">
        <v>0</v>
      </c>
      <c r="S90" s="193">
        <v>0</v>
      </c>
      <c r="T90" s="193">
        <f t="shared" si="6"/>
        <v>0</v>
      </c>
      <c r="U90" s="197">
        <v>10772</v>
      </c>
      <c r="V90" s="196">
        <v>7898</v>
      </c>
      <c r="W90" s="196">
        <f t="shared" si="7"/>
        <v>0.7331971778685481</v>
      </c>
      <c r="X90" s="197"/>
      <c r="Y90" s="196">
        <v>487</v>
      </c>
      <c r="Z90" s="196"/>
      <c r="AA90" s="95"/>
      <c r="AB90" s="196">
        <v>1251</v>
      </c>
      <c r="AC90" s="196"/>
      <c r="AD90" s="197">
        <v>2070325</v>
      </c>
      <c r="AE90" s="197">
        <f>VLOOKUP(B90,Reference!A:B,2,0)</f>
        <v>15656.1</v>
      </c>
    </row>
    <row r="91" spans="1:31">
      <c r="A91" s="3">
        <v>1986</v>
      </c>
      <c r="B91" s="3" t="s">
        <v>436</v>
      </c>
      <c r="C91" s="191">
        <v>31747</v>
      </c>
      <c r="D91" s="192">
        <v>2507186</v>
      </c>
      <c r="E91" s="193">
        <v>160463</v>
      </c>
      <c r="F91" s="227">
        <f t="shared" si="8"/>
        <v>6.4001234850545596E-2</v>
      </c>
      <c r="G91" s="194">
        <v>117706</v>
      </c>
      <c r="H91" s="193">
        <v>39149</v>
      </c>
      <c r="I91" s="193">
        <f t="shared" si="9"/>
        <v>0.33259986746639936</v>
      </c>
      <c r="J91" s="229"/>
      <c r="K91" s="193"/>
      <c r="L91" s="195"/>
      <c r="M91" s="193"/>
      <c r="N91" s="229"/>
      <c r="O91" s="193"/>
      <c r="P91" s="3"/>
      <c r="Q91" s="196"/>
      <c r="R91" s="194">
        <v>0</v>
      </c>
      <c r="S91" s="193">
        <v>0</v>
      </c>
      <c r="T91" s="193">
        <f t="shared" si="6"/>
        <v>0</v>
      </c>
      <c r="U91" s="197"/>
      <c r="V91" s="196">
        <v>-965</v>
      </c>
      <c r="W91" s="196">
        <f t="shared" si="7"/>
        <v>0</v>
      </c>
      <c r="X91" s="197"/>
      <c r="Y91" s="196"/>
      <c r="Z91" s="196"/>
      <c r="AA91" s="95"/>
      <c r="AB91" s="196">
        <v>1251</v>
      </c>
      <c r="AC91" s="196"/>
      <c r="AD91" s="197">
        <v>2070325</v>
      </c>
      <c r="AE91" s="197">
        <f>VLOOKUP(B91,Reference!A:B,2,0)</f>
        <v>15656.1</v>
      </c>
    </row>
    <row r="92" spans="1:31">
      <c r="A92" s="3">
        <v>1987</v>
      </c>
      <c r="B92" s="3" t="s">
        <v>436</v>
      </c>
      <c r="C92" s="191">
        <v>31778</v>
      </c>
      <c r="D92" s="192">
        <v>2682354</v>
      </c>
      <c r="E92" s="193">
        <v>167897</v>
      </c>
      <c r="F92" s="227">
        <f t="shared" si="8"/>
        <v>6.259315511673702E-2</v>
      </c>
      <c r="G92" s="194">
        <v>151820</v>
      </c>
      <c r="H92" s="193">
        <v>49431</v>
      </c>
      <c r="I92" s="193">
        <f t="shared" si="9"/>
        <v>0.32558951389803714</v>
      </c>
      <c r="J92" s="229"/>
      <c r="K92" s="193"/>
      <c r="L92" s="195"/>
      <c r="M92" s="193"/>
      <c r="N92" s="229"/>
      <c r="O92" s="193"/>
      <c r="P92" s="3"/>
      <c r="Q92" s="196"/>
      <c r="R92" s="194">
        <v>0</v>
      </c>
      <c r="S92" s="193">
        <v>0</v>
      </c>
      <c r="T92" s="193">
        <f t="shared" si="6"/>
        <v>0</v>
      </c>
      <c r="U92" s="197">
        <v>6068</v>
      </c>
      <c r="V92" s="196">
        <v>4437</v>
      </c>
      <c r="W92" s="196">
        <f t="shared" si="7"/>
        <v>0.73121292023731044</v>
      </c>
      <c r="X92" s="197"/>
      <c r="Y92" s="196"/>
      <c r="Z92" s="196"/>
      <c r="AA92" s="95"/>
      <c r="AB92" s="196">
        <v>1251</v>
      </c>
      <c r="AC92" s="196"/>
      <c r="AD92" s="197">
        <v>2070325</v>
      </c>
      <c r="AE92" s="197">
        <f>VLOOKUP(B92,Reference!A:B,2,0)</f>
        <v>15656.1</v>
      </c>
    </row>
    <row r="93" spans="1:31">
      <c r="A93" s="3">
        <v>1987</v>
      </c>
      <c r="B93" s="3" t="s">
        <v>436</v>
      </c>
      <c r="C93" s="191">
        <v>31809</v>
      </c>
      <c r="D93" s="192">
        <v>2992758</v>
      </c>
      <c r="E93" s="193">
        <v>188297</v>
      </c>
      <c r="F93" s="227">
        <f t="shared" si="8"/>
        <v>6.2917549631477054E-2</v>
      </c>
      <c r="G93" s="194">
        <v>120941</v>
      </c>
      <c r="H93" s="193">
        <v>45216</v>
      </c>
      <c r="I93" s="193">
        <f t="shared" si="9"/>
        <v>0.37386824980775751</v>
      </c>
      <c r="J93" s="229"/>
      <c r="K93" s="193"/>
      <c r="L93" s="195"/>
      <c r="M93" s="193"/>
      <c r="N93" s="229"/>
      <c r="O93" s="193"/>
      <c r="P93" s="3"/>
      <c r="Q93" s="196"/>
      <c r="R93" s="194">
        <v>0</v>
      </c>
      <c r="S93" s="193">
        <v>0</v>
      </c>
      <c r="T93" s="193">
        <f t="shared" si="6"/>
        <v>0</v>
      </c>
      <c r="U93" s="197">
        <v>42860</v>
      </c>
      <c r="V93" s="196">
        <v>27608</v>
      </c>
      <c r="W93" s="196">
        <f t="shared" si="7"/>
        <v>0.64414372375174989</v>
      </c>
      <c r="X93" s="197"/>
      <c r="Y93" s="196">
        <v>487</v>
      </c>
      <c r="Z93" s="196"/>
      <c r="AA93" s="95"/>
      <c r="AB93" s="196">
        <v>1251</v>
      </c>
      <c r="AC93" s="196"/>
      <c r="AD93" s="197">
        <v>2070325</v>
      </c>
      <c r="AE93" s="197">
        <f>VLOOKUP(B93,Reference!A:B,2,0)</f>
        <v>15656.1</v>
      </c>
    </row>
    <row r="94" spans="1:31">
      <c r="A94" s="3">
        <v>1987</v>
      </c>
      <c r="B94" s="3" t="s">
        <v>436</v>
      </c>
      <c r="C94" s="191">
        <v>31837</v>
      </c>
      <c r="D94" s="192">
        <v>3009207</v>
      </c>
      <c r="E94" s="193">
        <v>191046</v>
      </c>
      <c r="F94" s="227">
        <f t="shared" si="8"/>
        <v>6.3487157912366948E-2</v>
      </c>
      <c r="G94" s="194">
        <v>115042</v>
      </c>
      <c r="H94" s="193">
        <v>41767</v>
      </c>
      <c r="I94" s="193">
        <f t="shared" si="9"/>
        <v>0.36305870899323728</v>
      </c>
      <c r="J94" s="229"/>
      <c r="K94" s="193"/>
      <c r="L94" s="195"/>
      <c r="M94" s="193"/>
      <c r="N94" s="229"/>
      <c r="O94" s="193"/>
      <c r="P94" s="3"/>
      <c r="Q94" s="196"/>
      <c r="R94" s="194">
        <v>0</v>
      </c>
      <c r="S94" s="193">
        <v>0</v>
      </c>
      <c r="T94" s="193">
        <f t="shared" si="6"/>
        <v>0</v>
      </c>
      <c r="U94" s="197">
        <v>7304</v>
      </c>
      <c r="V94" s="196">
        <v>5649</v>
      </c>
      <c r="W94" s="196">
        <f t="shared" si="7"/>
        <v>0.77341182913472073</v>
      </c>
      <c r="X94" s="197"/>
      <c r="Y94" s="196"/>
      <c r="Z94" s="196"/>
      <c r="AA94" s="95"/>
      <c r="AB94" s="196">
        <v>1251</v>
      </c>
      <c r="AC94" s="196"/>
      <c r="AD94" s="197">
        <v>2070325</v>
      </c>
      <c r="AE94" s="197">
        <f>VLOOKUP(B94,Reference!A:B,2,0)</f>
        <v>15656.1</v>
      </c>
    </row>
    <row r="95" spans="1:31">
      <c r="A95" s="3">
        <v>1987</v>
      </c>
      <c r="B95" s="3" t="s">
        <v>436</v>
      </c>
      <c r="C95" s="191">
        <v>31868</v>
      </c>
      <c r="D95" s="192">
        <v>2954424</v>
      </c>
      <c r="E95" s="193">
        <v>194257</v>
      </c>
      <c r="F95" s="227">
        <f t="shared" si="8"/>
        <v>6.5751225958088619E-2</v>
      </c>
      <c r="G95" s="194">
        <v>32375</v>
      </c>
      <c r="H95" s="193">
        <v>16629</v>
      </c>
      <c r="I95" s="193">
        <f t="shared" si="9"/>
        <v>0.51363706563706568</v>
      </c>
      <c r="J95" s="229"/>
      <c r="K95" s="193"/>
      <c r="L95" s="195"/>
      <c r="M95" s="193"/>
      <c r="N95" s="229"/>
      <c r="O95" s="193"/>
      <c r="P95" s="3"/>
      <c r="Q95" s="196"/>
      <c r="R95" s="194">
        <v>0</v>
      </c>
      <c r="S95" s="193">
        <v>0</v>
      </c>
      <c r="T95" s="193">
        <f t="shared" si="6"/>
        <v>0</v>
      </c>
      <c r="U95" s="197">
        <v>32351</v>
      </c>
      <c r="V95" s="196">
        <v>26072</v>
      </c>
      <c r="W95" s="196">
        <f t="shared" si="7"/>
        <v>0.80591017279218569</v>
      </c>
      <c r="X95" s="197"/>
      <c r="Y95" s="196">
        <v>487</v>
      </c>
      <c r="Z95" s="196"/>
      <c r="AA95" s="95"/>
      <c r="AB95" s="196">
        <v>1251</v>
      </c>
      <c r="AC95" s="196"/>
      <c r="AD95" s="197">
        <v>2070325</v>
      </c>
      <c r="AE95" s="197">
        <f>VLOOKUP(B95,Reference!A:B,2,0)</f>
        <v>15656.1</v>
      </c>
    </row>
    <row r="96" spans="1:31">
      <c r="A96" s="3">
        <v>1987</v>
      </c>
      <c r="B96" s="3" t="s">
        <v>436</v>
      </c>
      <c r="C96" s="191">
        <v>31898</v>
      </c>
      <c r="D96" s="192">
        <v>2874421</v>
      </c>
      <c r="E96" s="193">
        <v>188883</v>
      </c>
      <c r="F96" s="227">
        <f t="shared" si="8"/>
        <v>6.571166854124709E-2</v>
      </c>
      <c r="G96" s="194">
        <v>23510</v>
      </c>
      <c r="H96" s="193">
        <v>15002</v>
      </c>
      <c r="I96" s="193">
        <f t="shared" si="9"/>
        <v>0.63811144193960012</v>
      </c>
      <c r="J96" s="229"/>
      <c r="K96" s="193"/>
      <c r="L96" s="195"/>
      <c r="M96" s="193"/>
      <c r="N96" s="229"/>
      <c r="O96" s="193"/>
      <c r="P96" s="3"/>
      <c r="Q96" s="196"/>
      <c r="R96" s="194">
        <v>0</v>
      </c>
      <c r="S96" s="193">
        <v>0</v>
      </c>
      <c r="T96" s="193">
        <f t="shared" si="6"/>
        <v>0</v>
      </c>
      <c r="U96" s="197"/>
      <c r="V96" s="196"/>
      <c r="W96" s="196">
        <f t="shared" si="7"/>
        <v>0</v>
      </c>
      <c r="X96" s="197"/>
      <c r="Y96" s="196">
        <v>487</v>
      </c>
      <c r="Z96" s="196"/>
      <c r="AA96" s="95"/>
      <c r="AB96" s="196">
        <v>1251</v>
      </c>
      <c r="AC96" s="196"/>
      <c r="AD96" s="197">
        <v>2070325</v>
      </c>
      <c r="AE96" s="197">
        <f>VLOOKUP(B96,Reference!A:B,2,0)</f>
        <v>15656.1</v>
      </c>
    </row>
    <row r="97" spans="1:31">
      <c r="A97" s="3">
        <v>1987</v>
      </c>
      <c r="B97" s="3" t="s">
        <v>436</v>
      </c>
      <c r="C97" s="191">
        <v>31929</v>
      </c>
      <c r="D97" s="192">
        <v>1242297</v>
      </c>
      <c r="E97" s="193">
        <v>83951</v>
      </c>
      <c r="F97" s="227">
        <f t="shared" si="8"/>
        <v>6.7577237971274184E-2</v>
      </c>
      <c r="G97" s="194">
        <v>13176</v>
      </c>
      <c r="H97" s="193">
        <v>9143</v>
      </c>
      <c r="I97" s="193">
        <f t="shared" si="9"/>
        <v>0.69391317547055253</v>
      </c>
      <c r="J97" s="229"/>
      <c r="K97" s="193"/>
      <c r="L97" s="195"/>
      <c r="M97" s="193"/>
      <c r="N97" s="229"/>
      <c r="O97" s="193"/>
      <c r="P97" s="3"/>
      <c r="Q97" s="196"/>
      <c r="R97" s="194">
        <v>0</v>
      </c>
      <c r="S97" s="193">
        <v>0</v>
      </c>
      <c r="T97" s="193">
        <f t="shared" si="6"/>
        <v>0</v>
      </c>
      <c r="U97" s="197">
        <v>18304</v>
      </c>
      <c r="V97" s="196">
        <v>15407</v>
      </c>
      <c r="W97" s="196">
        <f t="shared" si="7"/>
        <v>0.84172858391608396</v>
      </c>
      <c r="X97" s="197"/>
      <c r="Y97" s="196"/>
      <c r="Z97" s="196"/>
      <c r="AA97" s="95"/>
      <c r="AB97" s="196">
        <v>1251</v>
      </c>
      <c r="AC97" s="196"/>
      <c r="AD97" s="197">
        <v>2070325</v>
      </c>
      <c r="AE97" s="197">
        <f>VLOOKUP(B97,Reference!A:B,2,0)</f>
        <v>15656.1</v>
      </c>
    </row>
    <row r="98" spans="1:31">
      <c r="A98" s="3">
        <v>1987</v>
      </c>
      <c r="B98" s="3" t="s">
        <v>437</v>
      </c>
      <c r="C98" s="191">
        <v>31959</v>
      </c>
      <c r="D98" s="192">
        <v>734</v>
      </c>
      <c r="E98" s="193">
        <v>57</v>
      </c>
      <c r="F98" s="227">
        <f t="shared" si="8"/>
        <v>7.7656675749318796E-2</v>
      </c>
      <c r="G98" s="194">
        <v>24823</v>
      </c>
      <c r="H98" s="193">
        <v>15869</v>
      </c>
      <c r="I98" s="193">
        <f t="shared" si="9"/>
        <v>0.63928614591306454</v>
      </c>
      <c r="J98" s="229"/>
      <c r="K98" s="193"/>
      <c r="L98" s="195"/>
      <c r="M98" s="193"/>
      <c r="N98" s="229"/>
      <c r="O98" s="193"/>
      <c r="P98" s="3"/>
      <c r="Q98" s="196"/>
      <c r="R98" s="194">
        <v>0</v>
      </c>
      <c r="S98" s="193">
        <v>0</v>
      </c>
      <c r="T98" s="193">
        <f t="shared" si="6"/>
        <v>0</v>
      </c>
      <c r="U98" s="197">
        <v>62048</v>
      </c>
      <c r="V98" s="196">
        <v>37878</v>
      </c>
      <c r="W98" s="196">
        <f t="shared" si="7"/>
        <v>0.61046286745745226</v>
      </c>
      <c r="X98" s="197"/>
      <c r="Y98" s="196"/>
      <c r="Z98" s="196"/>
      <c r="AA98" s="95"/>
      <c r="AB98" s="196">
        <v>1251</v>
      </c>
      <c r="AC98" s="196"/>
      <c r="AD98" s="197">
        <v>2070325</v>
      </c>
      <c r="AE98" s="197">
        <f>VLOOKUP(B98,Reference!A:B,2,0)</f>
        <v>15548</v>
      </c>
    </row>
    <row r="99" spans="1:31">
      <c r="A99" s="3">
        <v>1987</v>
      </c>
      <c r="B99" s="3" t="s">
        <v>437</v>
      </c>
      <c r="C99" s="191">
        <v>31990</v>
      </c>
      <c r="D99" s="192">
        <v>6440685</v>
      </c>
      <c r="E99" s="193">
        <v>429933</v>
      </c>
      <c r="F99" s="227">
        <f t="shared" si="8"/>
        <v>6.6752682362202151E-2</v>
      </c>
      <c r="G99" s="194">
        <v>21164</v>
      </c>
      <c r="H99" s="193">
        <v>13684</v>
      </c>
      <c r="I99" s="193">
        <f t="shared" si="9"/>
        <v>0.64656964656964655</v>
      </c>
      <c r="J99" s="229"/>
      <c r="K99" s="193"/>
      <c r="L99" s="195"/>
      <c r="M99" s="193"/>
      <c r="N99" s="229"/>
      <c r="O99" s="193"/>
      <c r="P99" s="3"/>
      <c r="Q99" s="196"/>
      <c r="R99" s="194">
        <v>0</v>
      </c>
      <c r="S99" s="193">
        <v>0</v>
      </c>
      <c r="T99" s="193">
        <f t="shared" si="6"/>
        <v>0</v>
      </c>
      <c r="U99" s="197"/>
      <c r="V99" s="196"/>
      <c r="W99" s="196">
        <f t="shared" si="7"/>
        <v>0</v>
      </c>
      <c r="X99" s="197"/>
      <c r="Y99" s="196"/>
      <c r="Z99" s="196"/>
      <c r="AA99" s="95"/>
      <c r="AB99" s="196">
        <v>1670</v>
      </c>
      <c r="AC99" s="196"/>
      <c r="AD99" s="197">
        <v>2070325</v>
      </c>
      <c r="AE99" s="197">
        <f>VLOOKUP(B99,Reference!A:B,2,0)</f>
        <v>15548</v>
      </c>
    </row>
    <row r="100" spans="1:31">
      <c r="A100" s="3">
        <v>1987</v>
      </c>
      <c r="B100" s="3" t="s">
        <v>437</v>
      </c>
      <c r="C100" s="191">
        <v>32021</v>
      </c>
      <c r="D100" s="192">
        <v>2780913</v>
      </c>
      <c r="E100" s="193">
        <v>184267</v>
      </c>
      <c r="F100" s="227">
        <f t="shared" si="8"/>
        <v>6.6261332159618089E-2</v>
      </c>
      <c r="G100" s="194">
        <v>12012</v>
      </c>
      <c r="H100" s="193">
        <v>8486</v>
      </c>
      <c r="I100" s="193">
        <f t="shared" si="9"/>
        <v>0.70646020646020646</v>
      </c>
      <c r="J100" s="229"/>
      <c r="K100" s="193"/>
      <c r="L100" s="195"/>
      <c r="M100" s="193"/>
      <c r="N100" s="229"/>
      <c r="O100" s="193"/>
      <c r="P100" s="3"/>
      <c r="Q100" s="196"/>
      <c r="R100" s="194">
        <v>0</v>
      </c>
      <c r="S100" s="193">
        <v>0</v>
      </c>
      <c r="T100" s="193">
        <f t="shared" si="6"/>
        <v>0</v>
      </c>
      <c r="U100" s="197"/>
      <c r="V100" s="196"/>
      <c r="W100" s="196">
        <f t="shared" si="7"/>
        <v>0</v>
      </c>
      <c r="X100" s="197"/>
      <c r="Y100" s="196">
        <v>44120</v>
      </c>
      <c r="Z100" s="196"/>
      <c r="AA100" s="95"/>
      <c r="AB100" s="196">
        <v>1737</v>
      </c>
      <c r="AC100" s="196"/>
      <c r="AD100" s="197">
        <v>2070325</v>
      </c>
      <c r="AE100" s="197">
        <f>VLOOKUP(B100,Reference!A:B,2,0)</f>
        <v>15548</v>
      </c>
    </row>
    <row r="101" spans="1:31">
      <c r="A101" s="3">
        <v>1987</v>
      </c>
      <c r="B101" s="3" t="s">
        <v>437</v>
      </c>
      <c r="C101" s="191">
        <v>32051</v>
      </c>
      <c r="D101" s="192">
        <v>2864910</v>
      </c>
      <c r="E101" s="193">
        <v>187843</v>
      </c>
      <c r="F101" s="227">
        <f t="shared" si="8"/>
        <v>6.5566806636159602E-2</v>
      </c>
      <c r="G101" s="194">
        <v>10338</v>
      </c>
      <c r="H101" s="193">
        <v>6753</v>
      </c>
      <c r="I101" s="193">
        <f t="shared" si="9"/>
        <v>0.65322112594312243</v>
      </c>
      <c r="J101" s="229"/>
      <c r="K101" s="193"/>
      <c r="L101" s="195"/>
      <c r="M101" s="193"/>
      <c r="N101" s="229"/>
      <c r="O101" s="193"/>
      <c r="P101" s="3"/>
      <c r="Q101" s="196"/>
      <c r="R101" s="194">
        <v>0</v>
      </c>
      <c r="S101" s="193">
        <v>0</v>
      </c>
      <c r="T101" s="193">
        <f t="shared" si="6"/>
        <v>0</v>
      </c>
      <c r="U101" s="197"/>
      <c r="V101" s="196"/>
      <c r="W101" s="196">
        <f t="shared" si="7"/>
        <v>0</v>
      </c>
      <c r="X101" s="197"/>
      <c r="Y101" s="196"/>
      <c r="Z101" s="196"/>
      <c r="AA101" s="95"/>
      <c r="AB101" s="196">
        <v>1809</v>
      </c>
      <c r="AC101" s="196"/>
      <c r="AD101" s="197">
        <v>2070325</v>
      </c>
      <c r="AE101" s="197">
        <f>VLOOKUP(B101,Reference!A:B,2,0)</f>
        <v>15548</v>
      </c>
    </row>
    <row r="102" spans="1:31">
      <c r="A102" s="3">
        <v>1987</v>
      </c>
      <c r="B102" s="3" t="s">
        <v>437</v>
      </c>
      <c r="C102" s="191">
        <v>32082</v>
      </c>
      <c r="D102" s="192">
        <v>1837409</v>
      </c>
      <c r="E102" s="193">
        <v>123967</v>
      </c>
      <c r="F102" s="227">
        <f t="shared" si="8"/>
        <v>6.7468375304572906E-2</v>
      </c>
      <c r="G102" s="194">
        <v>35126</v>
      </c>
      <c r="H102" s="193">
        <v>15163</v>
      </c>
      <c r="I102" s="193">
        <f t="shared" si="9"/>
        <v>0.43167454307350678</v>
      </c>
      <c r="J102" s="229"/>
      <c r="K102" s="193"/>
      <c r="L102" s="195"/>
      <c r="M102" s="193"/>
      <c r="N102" s="229"/>
      <c r="O102" s="193"/>
      <c r="P102" s="3"/>
      <c r="Q102" s="196"/>
      <c r="R102" s="194">
        <v>0</v>
      </c>
      <c r="S102" s="193">
        <v>0</v>
      </c>
      <c r="T102" s="193">
        <f t="shared" ref="T102:T128" si="10">IF(R102&gt;0,(S102/R102),0)</f>
        <v>0</v>
      </c>
      <c r="U102" s="197"/>
      <c r="V102" s="196"/>
      <c r="W102" s="196">
        <f t="shared" ref="W102:W128" si="11">IF(U102&gt;0,(V102/U102),0)</f>
        <v>0</v>
      </c>
      <c r="X102" s="197"/>
      <c r="Y102" s="196">
        <v>562</v>
      </c>
      <c r="Z102" s="196"/>
      <c r="AA102" s="95"/>
      <c r="AB102" s="196">
        <v>1754</v>
      </c>
      <c r="AC102" s="196"/>
      <c r="AD102" s="197">
        <v>2070325</v>
      </c>
      <c r="AE102" s="197">
        <f>VLOOKUP(B102,Reference!A:B,2,0)</f>
        <v>15548</v>
      </c>
    </row>
    <row r="103" spans="1:31">
      <c r="A103" s="3">
        <v>1987</v>
      </c>
      <c r="B103" s="3" t="s">
        <v>437</v>
      </c>
      <c r="C103" s="191">
        <v>32112</v>
      </c>
      <c r="D103" s="192">
        <v>2128269</v>
      </c>
      <c r="E103" s="193">
        <v>140073</v>
      </c>
      <c r="F103" s="227">
        <f t="shared" si="8"/>
        <v>6.5815458478228075E-2</v>
      </c>
      <c r="G103" s="194">
        <v>24927</v>
      </c>
      <c r="H103" s="193">
        <v>17271</v>
      </c>
      <c r="I103" s="193">
        <f t="shared" si="9"/>
        <v>0.69286316042845109</v>
      </c>
      <c r="J103" s="229"/>
      <c r="K103" s="193"/>
      <c r="L103" s="195"/>
      <c r="M103" s="193"/>
      <c r="N103" s="229"/>
      <c r="O103" s="193"/>
      <c r="P103" s="3"/>
      <c r="Q103" s="196"/>
      <c r="R103" s="194">
        <v>0</v>
      </c>
      <c r="S103" s="193">
        <v>0</v>
      </c>
      <c r="T103" s="193">
        <f t="shared" si="10"/>
        <v>0</v>
      </c>
      <c r="U103" s="197"/>
      <c r="V103" s="196"/>
      <c r="W103" s="196">
        <f t="shared" si="11"/>
        <v>0</v>
      </c>
      <c r="X103" s="197"/>
      <c r="Y103" s="196"/>
      <c r="Z103" s="196"/>
      <c r="AA103" s="95"/>
      <c r="AB103" s="196">
        <v>1754</v>
      </c>
      <c r="AC103" s="196"/>
      <c r="AD103" s="197">
        <v>2070325</v>
      </c>
      <c r="AE103" s="197">
        <f>VLOOKUP(B103,Reference!A:B,2,0)</f>
        <v>15548</v>
      </c>
    </row>
    <row r="104" spans="1:31">
      <c r="A104" s="3">
        <v>1988</v>
      </c>
      <c r="B104" s="3" t="s">
        <v>437</v>
      </c>
      <c r="C104" s="191">
        <v>32143</v>
      </c>
      <c r="D104" s="192">
        <v>2884599</v>
      </c>
      <c r="E104" s="193">
        <v>193594</v>
      </c>
      <c r="F104" s="227">
        <f t="shared" si="8"/>
        <v>6.7112967868324158E-2</v>
      </c>
      <c r="G104" s="194">
        <v>153435</v>
      </c>
      <c r="H104" s="193">
        <v>58565</v>
      </c>
      <c r="I104" s="193">
        <f t="shared" si="9"/>
        <v>0.38169257340241797</v>
      </c>
      <c r="J104" s="229"/>
      <c r="K104" s="193"/>
      <c r="L104" s="195"/>
      <c r="M104" s="193"/>
      <c r="N104" s="229"/>
      <c r="O104" s="193"/>
      <c r="P104" s="3"/>
      <c r="Q104" s="196"/>
      <c r="R104" s="194">
        <v>14529</v>
      </c>
      <c r="S104" s="193">
        <v>9280</v>
      </c>
      <c r="T104" s="193">
        <f t="shared" si="10"/>
        <v>0.63872255489021956</v>
      </c>
      <c r="U104" s="197"/>
      <c r="V104" s="196"/>
      <c r="W104" s="196">
        <f t="shared" si="11"/>
        <v>0</v>
      </c>
      <c r="X104" s="197"/>
      <c r="Y104" s="196"/>
      <c r="Z104" s="196"/>
      <c r="AA104" s="95"/>
      <c r="AB104" s="196">
        <v>1670</v>
      </c>
      <c r="AC104" s="196"/>
      <c r="AD104" s="197">
        <v>2070325</v>
      </c>
      <c r="AE104" s="197">
        <f>VLOOKUP(B104,Reference!A:B,2,0)</f>
        <v>15548</v>
      </c>
    </row>
    <row r="105" spans="1:31">
      <c r="A105" s="3">
        <v>1988</v>
      </c>
      <c r="B105" s="3" t="s">
        <v>437</v>
      </c>
      <c r="C105" s="191">
        <v>32174</v>
      </c>
      <c r="D105" s="192">
        <v>2551800</v>
      </c>
      <c r="E105" s="193">
        <v>171513</v>
      </c>
      <c r="F105" s="227">
        <f t="shared" si="8"/>
        <v>6.7212555842934396E-2</v>
      </c>
      <c r="G105" s="194">
        <v>18128</v>
      </c>
      <c r="H105" s="193">
        <v>12562</v>
      </c>
      <c r="I105" s="193">
        <f t="shared" si="9"/>
        <v>0.69296116504854366</v>
      </c>
      <c r="J105" s="229"/>
      <c r="K105" s="193"/>
      <c r="L105" s="195"/>
      <c r="M105" s="193"/>
      <c r="N105" s="229"/>
      <c r="O105" s="193"/>
      <c r="P105" s="3"/>
      <c r="Q105" s="196"/>
      <c r="R105" s="194">
        <v>0</v>
      </c>
      <c r="S105" s="193">
        <v>0</v>
      </c>
      <c r="T105" s="193">
        <f t="shared" si="10"/>
        <v>0</v>
      </c>
      <c r="U105" s="197">
        <v>60729</v>
      </c>
      <c r="V105" s="196">
        <v>50180</v>
      </c>
      <c r="W105" s="196">
        <f t="shared" si="11"/>
        <v>0.82629386289910911</v>
      </c>
      <c r="X105" s="197"/>
      <c r="Y105" s="196"/>
      <c r="Z105" s="196"/>
      <c r="AA105" s="95"/>
      <c r="AB105" s="196">
        <v>1670</v>
      </c>
      <c r="AC105" s="196"/>
      <c r="AD105" s="197">
        <v>2070325</v>
      </c>
      <c r="AE105" s="197">
        <f>VLOOKUP(B105,Reference!A:B,2,0)</f>
        <v>15548</v>
      </c>
    </row>
    <row r="106" spans="1:31">
      <c r="A106" s="3">
        <v>1988</v>
      </c>
      <c r="B106" s="3" t="s">
        <v>437</v>
      </c>
      <c r="C106" s="191">
        <v>32203</v>
      </c>
      <c r="D106" s="192">
        <v>2758502</v>
      </c>
      <c r="E106" s="193">
        <v>190808</v>
      </c>
      <c r="F106" s="227">
        <f t="shared" si="8"/>
        <v>6.9170876076943208E-2</v>
      </c>
      <c r="G106" s="194">
        <v>17443</v>
      </c>
      <c r="H106" s="193">
        <v>12088</v>
      </c>
      <c r="I106" s="193">
        <f t="shared" si="9"/>
        <v>0.6930000573295878</v>
      </c>
      <c r="J106" s="229"/>
      <c r="K106" s="193"/>
      <c r="L106" s="195"/>
      <c r="M106" s="193"/>
      <c r="N106" s="229"/>
      <c r="O106" s="193"/>
      <c r="P106" s="3"/>
      <c r="Q106" s="196"/>
      <c r="R106" s="194">
        <v>0</v>
      </c>
      <c r="S106" s="193">
        <v>0</v>
      </c>
      <c r="T106" s="193">
        <f t="shared" si="10"/>
        <v>0</v>
      </c>
      <c r="U106" s="197">
        <v>9321</v>
      </c>
      <c r="V106" s="196">
        <v>7735</v>
      </c>
      <c r="W106" s="196">
        <f t="shared" si="11"/>
        <v>0.8298465829846583</v>
      </c>
      <c r="X106" s="197"/>
      <c r="Y106" s="196">
        <v>611</v>
      </c>
      <c r="Z106" s="196"/>
      <c r="AA106" s="95"/>
      <c r="AB106" s="196">
        <v>1670</v>
      </c>
      <c r="AC106" s="196"/>
      <c r="AD106" s="197">
        <v>2070325</v>
      </c>
      <c r="AE106" s="197">
        <f>VLOOKUP(B106,Reference!A:B,2,0)</f>
        <v>15548</v>
      </c>
    </row>
    <row r="107" spans="1:31">
      <c r="A107" s="3">
        <v>1988</v>
      </c>
      <c r="B107" s="3" t="s">
        <v>437</v>
      </c>
      <c r="C107" s="191">
        <v>32234</v>
      </c>
      <c r="D107" s="192">
        <v>2522320</v>
      </c>
      <c r="E107" s="193">
        <v>178487</v>
      </c>
      <c r="F107" s="227">
        <f t="shared" si="8"/>
        <v>7.0763027688794444E-2</v>
      </c>
      <c r="G107" s="194">
        <v>124326</v>
      </c>
      <c r="H107" s="193">
        <v>52238</v>
      </c>
      <c r="I107" s="193">
        <f t="shared" si="9"/>
        <v>0.42016955423644292</v>
      </c>
      <c r="J107" s="229"/>
      <c r="K107" s="193"/>
      <c r="L107" s="195"/>
      <c r="M107" s="193"/>
      <c r="N107" s="229"/>
      <c r="O107" s="193"/>
      <c r="P107" s="3"/>
      <c r="Q107" s="196"/>
      <c r="R107" s="194">
        <v>0</v>
      </c>
      <c r="S107" s="193">
        <v>0</v>
      </c>
      <c r="T107" s="193">
        <f t="shared" si="10"/>
        <v>0</v>
      </c>
      <c r="U107" s="197">
        <v>85397</v>
      </c>
      <c r="V107" s="196">
        <v>71548</v>
      </c>
      <c r="W107" s="196">
        <f t="shared" si="11"/>
        <v>0.83782802674567025</v>
      </c>
      <c r="X107" s="197"/>
      <c r="Y107" s="196">
        <v>6287</v>
      </c>
      <c r="Z107" s="196"/>
      <c r="AA107" s="95"/>
      <c r="AB107" s="196">
        <v>1670</v>
      </c>
      <c r="AC107" s="196"/>
      <c r="AD107" s="197">
        <v>2070325</v>
      </c>
      <c r="AE107" s="197">
        <f>VLOOKUP(B107,Reference!A:B,2,0)</f>
        <v>15548</v>
      </c>
    </row>
    <row r="108" spans="1:31">
      <c r="A108" s="3">
        <v>1988</v>
      </c>
      <c r="B108" s="3" t="s">
        <v>437</v>
      </c>
      <c r="C108" s="191">
        <v>32264</v>
      </c>
      <c r="D108" s="192">
        <v>2934968</v>
      </c>
      <c r="E108" s="193">
        <v>208159</v>
      </c>
      <c r="F108" s="227">
        <f t="shared" si="8"/>
        <v>7.0923771570933658E-2</v>
      </c>
      <c r="G108" s="194">
        <v>19460</v>
      </c>
      <c r="H108" s="193">
        <v>8563</v>
      </c>
      <c r="I108" s="193">
        <f t="shared" si="9"/>
        <v>0.44003083247687563</v>
      </c>
      <c r="J108" s="229"/>
      <c r="K108" s="193"/>
      <c r="L108" s="195"/>
      <c r="M108" s="193"/>
      <c r="N108" s="229"/>
      <c r="O108" s="193"/>
      <c r="P108" s="3"/>
      <c r="Q108" s="196"/>
      <c r="R108" s="194">
        <v>0</v>
      </c>
      <c r="S108" s="193">
        <v>0</v>
      </c>
      <c r="T108" s="193">
        <f t="shared" si="10"/>
        <v>0</v>
      </c>
      <c r="U108" s="197"/>
      <c r="V108" s="196"/>
      <c r="W108" s="196">
        <f t="shared" si="11"/>
        <v>0</v>
      </c>
      <c r="X108" s="197"/>
      <c r="Y108" s="196"/>
      <c r="Z108" s="196"/>
      <c r="AA108" s="95"/>
      <c r="AB108" s="196">
        <v>1670</v>
      </c>
      <c r="AC108" s="196"/>
      <c r="AD108" s="197">
        <v>2070325</v>
      </c>
      <c r="AE108" s="197">
        <f>VLOOKUP(B108,Reference!A:B,2,0)</f>
        <v>15548</v>
      </c>
    </row>
    <row r="109" spans="1:31">
      <c r="A109" s="3">
        <v>1988</v>
      </c>
      <c r="B109" s="3" t="s">
        <v>437</v>
      </c>
      <c r="C109" s="191">
        <v>32295</v>
      </c>
      <c r="D109" s="192">
        <v>3053346</v>
      </c>
      <c r="E109" s="193">
        <v>216739</v>
      </c>
      <c r="F109" s="227">
        <f t="shared" si="8"/>
        <v>7.0984094170788381E-2</v>
      </c>
      <c r="G109" s="194">
        <v>31585</v>
      </c>
      <c r="H109" s="193">
        <v>13652</v>
      </c>
      <c r="I109" s="193">
        <f t="shared" si="9"/>
        <v>0.43223048915624507</v>
      </c>
      <c r="J109" s="229"/>
      <c r="K109" s="193"/>
      <c r="L109" s="195"/>
      <c r="M109" s="193"/>
      <c r="N109" s="229"/>
      <c r="O109" s="193"/>
      <c r="P109" s="3"/>
      <c r="Q109" s="196"/>
      <c r="R109" s="194">
        <v>0</v>
      </c>
      <c r="S109" s="193">
        <v>0</v>
      </c>
      <c r="T109" s="193">
        <f t="shared" si="10"/>
        <v>0</v>
      </c>
      <c r="U109" s="197">
        <v>21521</v>
      </c>
      <c r="V109" s="196">
        <v>19124</v>
      </c>
      <c r="W109" s="196">
        <f t="shared" si="11"/>
        <v>0.88862041726685559</v>
      </c>
      <c r="X109" s="197"/>
      <c r="Y109" s="196"/>
      <c r="Z109" s="196"/>
      <c r="AA109" s="95"/>
      <c r="AB109" s="196">
        <v>1670</v>
      </c>
      <c r="AC109" s="196"/>
      <c r="AD109" s="197">
        <v>2070325</v>
      </c>
      <c r="AE109" s="197">
        <f>VLOOKUP(B109,Reference!A:B,2,0)</f>
        <v>15548</v>
      </c>
    </row>
    <row r="110" spans="1:31">
      <c r="A110" s="3">
        <v>1988</v>
      </c>
      <c r="B110" s="3" t="s">
        <v>438</v>
      </c>
      <c r="C110" s="191">
        <v>32325</v>
      </c>
      <c r="D110" s="192">
        <v>3379653</v>
      </c>
      <c r="E110" s="193">
        <v>243381</v>
      </c>
      <c r="F110" s="227">
        <f t="shared" si="8"/>
        <v>7.2013606130570215E-2</v>
      </c>
      <c r="G110" s="194">
        <v>18322</v>
      </c>
      <c r="H110" s="193">
        <v>9052</v>
      </c>
      <c r="I110" s="193">
        <f t="shared" si="9"/>
        <v>0.49405086780919116</v>
      </c>
      <c r="J110" s="229"/>
      <c r="K110" s="193"/>
      <c r="L110" s="195"/>
      <c r="M110" s="193"/>
      <c r="N110" s="229"/>
      <c r="O110" s="193"/>
      <c r="P110" s="3"/>
      <c r="Q110" s="196"/>
      <c r="R110" s="194">
        <v>0</v>
      </c>
      <c r="S110" s="193">
        <v>0</v>
      </c>
      <c r="T110" s="193">
        <f t="shared" si="10"/>
        <v>0</v>
      </c>
      <c r="U110" s="197">
        <v>13195</v>
      </c>
      <c r="V110" s="196">
        <v>12410</v>
      </c>
      <c r="W110" s="196">
        <f t="shared" si="11"/>
        <v>0.94050776809397496</v>
      </c>
      <c r="X110" s="197"/>
      <c r="Y110" s="196">
        <v>15157</v>
      </c>
      <c r="Z110" s="196"/>
      <c r="AA110" s="95"/>
      <c r="AB110" s="196">
        <v>1670</v>
      </c>
      <c r="AC110" s="196"/>
      <c r="AD110" s="197">
        <v>2070325</v>
      </c>
      <c r="AE110" s="197">
        <f>VLOOKUP(B110,Reference!A:B,2,0)</f>
        <v>15650.6</v>
      </c>
    </row>
    <row r="111" spans="1:31">
      <c r="A111" s="3">
        <v>1988</v>
      </c>
      <c r="B111" s="3" t="s">
        <v>438</v>
      </c>
      <c r="C111" s="191">
        <v>32356</v>
      </c>
      <c r="D111" s="192">
        <v>3178747</v>
      </c>
      <c r="E111" s="193">
        <v>229510</v>
      </c>
      <c r="F111" s="227">
        <f t="shared" si="8"/>
        <v>7.2201405144857386E-2</v>
      </c>
      <c r="G111" s="194">
        <v>19586</v>
      </c>
      <c r="H111" s="193">
        <v>9843</v>
      </c>
      <c r="I111" s="193">
        <f t="shared" si="9"/>
        <v>0.50255284386806898</v>
      </c>
      <c r="J111" s="229"/>
      <c r="K111" s="193"/>
      <c r="L111" s="195"/>
      <c r="M111" s="193"/>
      <c r="N111" s="229"/>
      <c r="O111" s="193"/>
      <c r="P111" s="3"/>
      <c r="Q111" s="196"/>
      <c r="R111" s="194">
        <v>0</v>
      </c>
      <c r="S111" s="193">
        <v>0</v>
      </c>
      <c r="T111" s="193">
        <f t="shared" si="10"/>
        <v>0</v>
      </c>
      <c r="U111" s="197">
        <v>54202</v>
      </c>
      <c r="V111" s="196">
        <v>49929</v>
      </c>
      <c r="W111" s="196">
        <f t="shared" si="11"/>
        <v>0.92116527065421938</v>
      </c>
      <c r="X111" s="197"/>
      <c r="Y111" s="196">
        <v>21371</v>
      </c>
      <c r="Z111" s="196"/>
      <c r="AA111" s="95"/>
      <c r="AB111" s="196">
        <v>1670</v>
      </c>
      <c r="AC111" s="196"/>
      <c r="AD111" s="197">
        <v>2070325</v>
      </c>
      <c r="AE111" s="197">
        <f>VLOOKUP(B111,Reference!A:B,2,0)</f>
        <v>15650.6</v>
      </c>
    </row>
    <row r="112" spans="1:31">
      <c r="A112" s="3">
        <v>1988</v>
      </c>
      <c r="B112" s="3" t="s">
        <v>438</v>
      </c>
      <c r="C112" s="191">
        <v>32387</v>
      </c>
      <c r="D112" s="192">
        <v>2970516</v>
      </c>
      <c r="E112" s="193">
        <v>218325</v>
      </c>
      <c r="F112" s="227">
        <f t="shared" si="8"/>
        <v>7.3497331776701424E-2</v>
      </c>
      <c r="G112" s="194">
        <v>15047</v>
      </c>
      <c r="H112" s="193">
        <v>8272</v>
      </c>
      <c r="I112" s="193">
        <f t="shared" si="9"/>
        <v>0.54974413504353026</v>
      </c>
      <c r="J112" s="229"/>
      <c r="K112" s="193"/>
      <c r="L112" s="195"/>
      <c r="M112" s="193"/>
      <c r="N112" s="229"/>
      <c r="O112" s="193"/>
      <c r="P112" s="3"/>
      <c r="Q112" s="196"/>
      <c r="R112" s="194">
        <v>0</v>
      </c>
      <c r="S112" s="193">
        <v>0</v>
      </c>
      <c r="T112" s="193">
        <f t="shared" si="10"/>
        <v>0</v>
      </c>
      <c r="U112" s="197">
        <v>9388</v>
      </c>
      <c r="V112" s="196">
        <v>8815</v>
      </c>
      <c r="W112" s="196">
        <f t="shared" si="11"/>
        <v>0.93896463570515554</v>
      </c>
      <c r="X112" s="197"/>
      <c r="Y112" s="196">
        <v>14643</v>
      </c>
      <c r="Z112" s="196"/>
      <c r="AA112" s="95"/>
      <c r="AB112" s="196">
        <v>1670</v>
      </c>
      <c r="AC112" s="196"/>
      <c r="AD112" s="197">
        <v>2070325</v>
      </c>
      <c r="AE112" s="197">
        <f>VLOOKUP(B112,Reference!A:B,2,0)</f>
        <v>15650.6</v>
      </c>
    </row>
    <row r="113" spans="1:31">
      <c r="A113" s="3">
        <v>1988</v>
      </c>
      <c r="B113" s="3" t="s">
        <v>438</v>
      </c>
      <c r="C113" s="191">
        <v>32417</v>
      </c>
      <c r="D113" s="192">
        <v>2970557</v>
      </c>
      <c r="E113" s="193">
        <v>218334</v>
      </c>
      <c r="F113" s="227">
        <f t="shared" si="8"/>
        <v>7.3499347092144673E-2</v>
      </c>
      <c r="G113" s="194">
        <v>9346</v>
      </c>
      <c r="H113" s="193">
        <v>4305</v>
      </c>
      <c r="I113" s="193">
        <f t="shared" si="9"/>
        <v>0.46062486625294241</v>
      </c>
      <c r="J113" s="229"/>
      <c r="K113" s="193"/>
      <c r="L113" s="195"/>
      <c r="M113" s="193"/>
      <c r="N113" s="229"/>
      <c r="O113" s="193"/>
      <c r="P113" s="3"/>
      <c r="Q113" s="196"/>
      <c r="R113" s="194">
        <v>0</v>
      </c>
      <c r="S113" s="193">
        <v>0</v>
      </c>
      <c r="T113" s="193">
        <f t="shared" si="10"/>
        <v>0</v>
      </c>
      <c r="U113" s="197">
        <v>29167</v>
      </c>
      <c r="V113" s="196">
        <v>26925</v>
      </c>
      <c r="W113" s="196">
        <f t="shared" si="11"/>
        <v>0.9231323070593479</v>
      </c>
      <c r="X113" s="197"/>
      <c r="Y113" s="196">
        <v>0</v>
      </c>
      <c r="Z113" s="196"/>
      <c r="AA113" s="95"/>
      <c r="AB113" s="196">
        <v>1670</v>
      </c>
      <c r="AC113" s="196"/>
      <c r="AD113" s="197">
        <v>2070325</v>
      </c>
      <c r="AE113" s="197">
        <f>VLOOKUP(B113,Reference!A:B,2,0)</f>
        <v>15650.6</v>
      </c>
    </row>
    <row r="114" spans="1:31">
      <c r="A114" s="3">
        <v>1988</v>
      </c>
      <c r="B114" s="3" t="s">
        <v>438</v>
      </c>
      <c r="C114" s="191">
        <v>32448</v>
      </c>
      <c r="D114" s="192">
        <v>2970572</v>
      </c>
      <c r="E114" s="193">
        <v>218335</v>
      </c>
      <c r="F114" s="227">
        <f t="shared" si="8"/>
        <v>7.3499312590302471E-2</v>
      </c>
      <c r="G114" s="194">
        <v>74547</v>
      </c>
      <c r="H114" s="193">
        <v>29935</v>
      </c>
      <c r="I114" s="193">
        <f t="shared" si="9"/>
        <v>0.40155874817229398</v>
      </c>
      <c r="J114" s="229"/>
      <c r="K114" s="193"/>
      <c r="L114" s="195"/>
      <c r="M114" s="193"/>
      <c r="N114" s="229"/>
      <c r="O114" s="193"/>
      <c r="P114" s="3"/>
      <c r="Q114" s="196"/>
      <c r="R114" s="194">
        <v>0</v>
      </c>
      <c r="S114" s="193">
        <v>0</v>
      </c>
      <c r="T114" s="193">
        <f t="shared" si="10"/>
        <v>0</v>
      </c>
      <c r="U114" s="197">
        <v>14171</v>
      </c>
      <c r="V114" s="196">
        <v>13093</v>
      </c>
      <c r="W114" s="196">
        <f t="shared" si="11"/>
        <v>0.92392915108319806</v>
      </c>
      <c r="X114" s="197"/>
      <c r="Y114" s="196">
        <v>0</v>
      </c>
      <c r="Z114" s="196"/>
      <c r="AA114" s="95"/>
      <c r="AB114" s="196">
        <v>1670</v>
      </c>
      <c r="AC114" s="196"/>
      <c r="AD114" s="197">
        <v>2070325</v>
      </c>
      <c r="AE114" s="197">
        <f>VLOOKUP(B114,Reference!A:B,2,0)</f>
        <v>15650.6</v>
      </c>
    </row>
    <row r="115" spans="1:31">
      <c r="A115" s="3">
        <v>1988</v>
      </c>
      <c r="B115" s="3" t="s">
        <v>438</v>
      </c>
      <c r="C115" s="191">
        <v>32478</v>
      </c>
      <c r="D115" s="192">
        <v>2390028</v>
      </c>
      <c r="E115" s="193">
        <v>179334</v>
      </c>
      <c r="F115" s="227">
        <f t="shared" si="8"/>
        <v>7.5034267380967926E-2</v>
      </c>
      <c r="G115" s="194">
        <v>113795</v>
      </c>
      <c r="H115" s="193">
        <v>46204</v>
      </c>
      <c r="I115" s="193">
        <f t="shared" si="9"/>
        <v>0.40602838437541194</v>
      </c>
      <c r="J115" s="229"/>
      <c r="K115" s="193"/>
      <c r="L115" s="195"/>
      <c r="M115" s="193"/>
      <c r="N115" s="229"/>
      <c r="O115" s="193"/>
      <c r="P115" s="3"/>
      <c r="Q115" s="196"/>
      <c r="R115" s="194">
        <v>0</v>
      </c>
      <c r="S115" s="193">
        <v>0</v>
      </c>
      <c r="T115" s="193">
        <f t="shared" si="10"/>
        <v>0</v>
      </c>
      <c r="U115" s="197">
        <v>3018</v>
      </c>
      <c r="V115" s="196">
        <v>2898</v>
      </c>
      <c r="W115" s="196">
        <f t="shared" si="11"/>
        <v>0.96023856858846923</v>
      </c>
      <c r="X115" s="197"/>
      <c r="Y115" s="196">
        <v>666</v>
      </c>
      <c r="Z115" s="196"/>
      <c r="AA115" s="95"/>
      <c r="AB115" s="196">
        <v>1670</v>
      </c>
      <c r="AC115" s="196"/>
      <c r="AD115" s="197">
        <v>2070325</v>
      </c>
      <c r="AE115" s="197">
        <f>VLOOKUP(B115,Reference!A:B,2,0)</f>
        <v>15650.6</v>
      </c>
    </row>
    <row r="116" spans="1:31">
      <c r="A116" s="3">
        <v>1989</v>
      </c>
      <c r="B116" s="3" t="s">
        <v>438</v>
      </c>
      <c r="C116" s="191">
        <v>32509</v>
      </c>
      <c r="D116" s="192">
        <v>2878713</v>
      </c>
      <c r="E116" s="193">
        <v>214808</v>
      </c>
      <c r="F116" s="227">
        <f t="shared" si="8"/>
        <v>7.4619456680815349E-2</v>
      </c>
      <c r="G116" s="194">
        <v>123817</v>
      </c>
      <c r="H116" s="193">
        <v>48166</v>
      </c>
      <c r="I116" s="193">
        <f t="shared" si="9"/>
        <v>0.38900958672880137</v>
      </c>
      <c r="J116" s="229"/>
      <c r="K116" s="193"/>
      <c r="L116" s="195"/>
      <c r="M116" s="193"/>
      <c r="N116" s="229"/>
      <c r="O116" s="193"/>
      <c r="P116" s="3"/>
      <c r="Q116" s="196"/>
      <c r="R116" s="194">
        <v>0</v>
      </c>
      <c r="S116" s="193">
        <v>0</v>
      </c>
      <c r="T116" s="193">
        <f t="shared" si="10"/>
        <v>0</v>
      </c>
      <c r="U116" s="197">
        <v>15391</v>
      </c>
      <c r="V116" s="196">
        <v>14338</v>
      </c>
      <c r="W116" s="196">
        <f t="shared" si="11"/>
        <v>0.9315833928919498</v>
      </c>
      <c r="X116" s="197"/>
      <c r="Y116" s="196">
        <v>0</v>
      </c>
      <c r="Z116" s="196"/>
      <c r="AA116" s="95"/>
      <c r="AB116" s="196">
        <v>1670</v>
      </c>
      <c r="AC116" s="196"/>
      <c r="AD116" s="197">
        <v>2070325</v>
      </c>
      <c r="AE116" s="197">
        <f>VLOOKUP(B116,Reference!A:B,2,0)</f>
        <v>15650.6</v>
      </c>
    </row>
    <row r="117" spans="1:31">
      <c r="A117" s="3">
        <v>1989</v>
      </c>
      <c r="B117" s="3" t="s">
        <v>438</v>
      </c>
      <c r="C117" s="191">
        <v>32540</v>
      </c>
      <c r="D117" s="192">
        <v>2827309</v>
      </c>
      <c r="E117" s="193">
        <v>213258</v>
      </c>
      <c r="F117" s="227">
        <f t="shared" si="8"/>
        <v>7.5427906889554697E-2</v>
      </c>
      <c r="G117" s="194">
        <v>96146</v>
      </c>
      <c r="H117" s="193">
        <v>42483</v>
      </c>
      <c r="I117" s="193">
        <f t="shared" si="9"/>
        <v>0.44185925571526635</v>
      </c>
      <c r="J117" s="229"/>
      <c r="K117" s="193"/>
      <c r="L117" s="195"/>
      <c r="M117" s="193"/>
      <c r="N117" s="229"/>
      <c r="O117" s="193"/>
      <c r="P117" s="3"/>
      <c r="Q117" s="196"/>
      <c r="R117" s="194">
        <v>20132</v>
      </c>
      <c r="S117" s="193">
        <v>15200</v>
      </c>
      <c r="T117" s="193">
        <f t="shared" si="10"/>
        <v>0.75501688853566462</v>
      </c>
      <c r="U117" s="197">
        <v>10979</v>
      </c>
      <c r="V117" s="196">
        <v>10189</v>
      </c>
      <c r="W117" s="196">
        <f t="shared" si="11"/>
        <v>0.92804444849257672</v>
      </c>
      <c r="X117" s="197"/>
      <c r="Y117" s="196">
        <v>0</v>
      </c>
      <c r="Z117" s="196"/>
      <c r="AA117" s="95"/>
      <c r="AB117" s="196">
        <v>1670</v>
      </c>
      <c r="AC117" s="196"/>
      <c r="AD117" s="197">
        <v>2070325</v>
      </c>
      <c r="AE117" s="197">
        <f>VLOOKUP(B117,Reference!A:B,2,0)</f>
        <v>15650.6</v>
      </c>
    </row>
    <row r="118" spans="1:31">
      <c r="A118" s="3">
        <v>1989</v>
      </c>
      <c r="B118" s="3" t="s">
        <v>438</v>
      </c>
      <c r="C118" s="191">
        <v>32568</v>
      </c>
      <c r="D118" s="192">
        <v>2746019</v>
      </c>
      <c r="E118" s="193">
        <v>211126</v>
      </c>
      <c r="F118" s="227">
        <f t="shared" si="8"/>
        <v>7.6884391550094883E-2</v>
      </c>
      <c r="G118" s="194">
        <v>84149</v>
      </c>
      <c r="H118" s="193">
        <v>36601</v>
      </c>
      <c r="I118" s="193">
        <f t="shared" si="9"/>
        <v>0.43495466375120323</v>
      </c>
      <c r="J118" s="229"/>
      <c r="K118" s="193"/>
      <c r="L118" s="195"/>
      <c r="M118" s="193"/>
      <c r="N118" s="229"/>
      <c r="O118" s="193"/>
      <c r="P118" s="3"/>
      <c r="Q118" s="196"/>
      <c r="R118" s="194">
        <v>0</v>
      </c>
      <c r="S118" s="193">
        <v>0</v>
      </c>
      <c r="T118" s="193">
        <f t="shared" si="10"/>
        <v>0</v>
      </c>
      <c r="U118" s="197">
        <v>12876</v>
      </c>
      <c r="V118" s="196">
        <v>12579</v>
      </c>
      <c r="W118" s="196">
        <f t="shared" si="11"/>
        <v>0.97693383038210624</v>
      </c>
      <c r="X118" s="197"/>
      <c r="Y118" s="196">
        <v>15040</v>
      </c>
      <c r="Z118" s="196"/>
      <c r="AA118" s="95"/>
      <c r="AB118" s="196">
        <v>1670</v>
      </c>
      <c r="AC118" s="196"/>
      <c r="AD118" s="197">
        <v>2070325</v>
      </c>
      <c r="AE118" s="197">
        <f>VLOOKUP(B118,Reference!A:B,2,0)</f>
        <v>15650.6</v>
      </c>
    </row>
    <row r="119" spans="1:31">
      <c r="A119" s="3">
        <v>1989</v>
      </c>
      <c r="B119" s="3" t="s">
        <v>438</v>
      </c>
      <c r="C119" s="191">
        <v>32599</v>
      </c>
      <c r="D119" s="192">
        <v>2850735</v>
      </c>
      <c r="E119" s="193">
        <v>217668</v>
      </c>
      <c r="F119" s="227">
        <f t="shared" si="8"/>
        <v>7.6355045277796782E-2</v>
      </c>
      <c r="G119" s="194">
        <v>26505</v>
      </c>
      <c r="H119" s="193">
        <v>14078</v>
      </c>
      <c r="I119" s="193">
        <f t="shared" si="9"/>
        <v>0.5311450669684965</v>
      </c>
      <c r="J119" s="229"/>
      <c r="K119" s="193"/>
      <c r="L119" s="195"/>
      <c r="M119" s="193"/>
      <c r="N119" s="229"/>
      <c r="O119" s="193"/>
      <c r="P119" s="3"/>
      <c r="Q119" s="196"/>
      <c r="R119" s="194">
        <v>0</v>
      </c>
      <c r="S119" s="193">
        <v>0</v>
      </c>
      <c r="T119" s="193">
        <f t="shared" si="10"/>
        <v>0</v>
      </c>
      <c r="U119" s="197">
        <v>18526</v>
      </c>
      <c r="V119" s="196">
        <v>19348</v>
      </c>
      <c r="W119" s="196">
        <f t="shared" si="11"/>
        <v>1.044370074489906</v>
      </c>
      <c r="X119" s="197"/>
      <c r="Y119" s="196">
        <v>0</v>
      </c>
      <c r="Z119" s="196"/>
      <c r="AA119" s="95"/>
      <c r="AB119" s="196">
        <v>1670</v>
      </c>
      <c r="AC119" s="196"/>
      <c r="AD119" s="197">
        <v>2070325</v>
      </c>
      <c r="AE119" s="197">
        <f>VLOOKUP(B119,Reference!A:B,2,0)</f>
        <v>15650.6</v>
      </c>
    </row>
    <row r="120" spans="1:31">
      <c r="A120" s="3">
        <v>1989</v>
      </c>
      <c r="B120" s="3" t="s">
        <v>438</v>
      </c>
      <c r="C120" s="191">
        <v>32629</v>
      </c>
      <c r="D120" s="192">
        <v>2856778</v>
      </c>
      <c r="E120" s="193">
        <v>214255</v>
      </c>
      <c r="F120" s="227">
        <f t="shared" si="8"/>
        <v>7.4998827350252623E-2</v>
      </c>
      <c r="G120" s="194">
        <v>23784</v>
      </c>
      <c r="H120" s="193">
        <v>12215</v>
      </c>
      <c r="I120" s="193">
        <f t="shared" si="9"/>
        <v>0.51358055835856042</v>
      </c>
      <c r="J120" s="229"/>
      <c r="K120" s="193"/>
      <c r="L120" s="195"/>
      <c r="M120" s="193"/>
      <c r="N120" s="229"/>
      <c r="O120" s="193"/>
      <c r="P120" s="3"/>
      <c r="Q120" s="196"/>
      <c r="R120" s="194">
        <v>0</v>
      </c>
      <c r="S120" s="193">
        <v>0</v>
      </c>
      <c r="T120" s="193">
        <f t="shared" si="10"/>
        <v>0</v>
      </c>
      <c r="U120" s="197">
        <v>18105</v>
      </c>
      <c r="V120" s="196">
        <v>18917</v>
      </c>
      <c r="W120" s="196">
        <f t="shared" si="11"/>
        <v>1.0448494890914113</v>
      </c>
      <c r="X120" s="197"/>
      <c r="Y120" s="196">
        <v>0</v>
      </c>
      <c r="Z120" s="196"/>
      <c r="AA120" s="95"/>
      <c r="AB120" s="196">
        <v>1670</v>
      </c>
      <c r="AC120" s="196"/>
      <c r="AD120" s="197">
        <v>2070325</v>
      </c>
      <c r="AE120" s="197">
        <f>VLOOKUP(B120,Reference!A:B,2,0)</f>
        <v>15650.6</v>
      </c>
    </row>
    <row r="121" spans="1:31">
      <c r="A121" s="3">
        <v>1989</v>
      </c>
      <c r="B121" s="3" t="s">
        <v>438</v>
      </c>
      <c r="C121" s="191">
        <v>32660</v>
      </c>
      <c r="D121" s="192">
        <v>2925349</v>
      </c>
      <c r="E121" s="193">
        <v>225059</v>
      </c>
      <c r="F121" s="227">
        <f t="shared" si="8"/>
        <v>7.6934068379533524E-2</v>
      </c>
      <c r="G121" s="194">
        <v>17650</v>
      </c>
      <c r="H121" s="193">
        <v>9858</v>
      </c>
      <c r="I121" s="193">
        <f t="shared" si="9"/>
        <v>0.55852691218130313</v>
      </c>
      <c r="J121" s="229"/>
      <c r="K121" s="193"/>
      <c r="L121" s="195"/>
      <c r="M121" s="193"/>
      <c r="N121" s="229"/>
      <c r="O121" s="193"/>
      <c r="P121" s="3"/>
      <c r="Q121" s="196"/>
      <c r="R121" s="194">
        <v>0</v>
      </c>
      <c r="S121" s="193">
        <v>0</v>
      </c>
      <c r="T121" s="193">
        <f t="shared" si="10"/>
        <v>0</v>
      </c>
      <c r="U121" s="197">
        <v>2311</v>
      </c>
      <c r="V121" s="196">
        <v>1926</v>
      </c>
      <c r="W121" s="196">
        <f t="shared" si="11"/>
        <v>0.83340545218520123</v>
      </c>
      <c r="X121" s="197"/>
      <c r="Y121" s="196">
        <v>6800</v>
      </c>
      <c r="Z121" s="196"/>
      <c r="AA121" s="95"/>
      <c r="AB121" s="196">
        <v>1670</v>
      </c>
      <c r="AC121" s="196"/>
      <c r="AD121" s="197">
        <v>2070325</v>
      </c>
      <c r="AE121" s="197">
        <f>VLOOKUP(B121,Reference!A:B,2,0)</f>
        <v>15650.6</v>
      </c>
    </row>
    <row r="122" spans="1:31">
      <c r="A122" s="3">
        <v>1989</v>
      </c>
      <c r="B122" s="3" t="s">
        <v>439</v>
      </c>
      <c r="C122" s="191">
        <v>32690</v>
      </c>
      <c r="D122" s="192">
        <v>3130716</v>
      </c>
      <c r="E122" s="193">
        <v>242518</v>
      </c>
      <c r="F122" s="227">
        <f t="shared" si="8"/>
        <v>7.7464068922252924E-2</v>
      </c>
      <c r="G122" s="194">
        <v>16708</v>
      </c>
      <c r="H122" s="193">
        <v>9774</v>
      </c>
      <c r="I122" s="193">
        <f t="shared" si="9"/>
        <v>0.58498922671774001</v>
      </c>
      <c r="J122" s="229"/>
      <c r="K122" s="193"/>
      <c r="L122" s="195"/>
      <c r="M122" s="193"/>
      <c r="N122" s="229"/>
      <c r="O122" s="193"/>
      <c r="P122" s="3"/>
      <c r="Q122" s="196"/>
      <c r="R122" s="194">
        <v>0</v>
      </c>
      <c r="S122" s="193">
        <v>0</v>
      </c>
      <c r="T122" s="193">
        <f t="shared" si="10"/>
        <v>0</v>
      </c>
      <c r="U122" s="197">
        <v>44396</v>
      </c>
      <c r="V122" s="196">
        <v>49071</v>
      </c>
      <c r="W122" s="196">
        <f t="shared" si="11"/>
        <v>1.1053022794846383</v>
      </c>
      <c r="X122" s="197"/>
      <c r="Y122" s="196">
        <v>671</v>
      </c>
      <c r="Z122" s="196"/>
      <c r="AA122" s="95"/>
      <c r="AB122" s="196">
        <v>1670</v>
      </c>
      <c r="AC122" s="196"/>
      <c r="AD122" s="197">
        <v>2070325</v>
      </c>
      <c r="AE122" s="197">
        <f>VLOOKUP(B122,Reference!A:B,2,0)</f>
        <v>15677.7</v>
      </c>
    </row>
    <row r="123" spans="1:31">
      <c r="A123" s="3">
        <v>1989</v>
      </c>
      <c r="B123" s="3" t="s">
        <v>439</v>
      </c>
      <c r="C123" s="191">
        <v>32721</v>
      </c>
      <c r="D123" s="192">
        <v>3213320</v>
      </c>
      <c r="E123" s="193">
        <v>248473</v>
      </c>
      <c r="F123" s="227">
        <f t="shared" si="8"/>
        <v>7.7325943261175353E-2</v>
      </c>
      <c r="G123" s="194">
        <v>16736</v>
      </c>
      <c r="H123" s="193">
        <v>9767</v>
      </c>
      <c r="I123" s="193">
        <f t="shared" si="9"/>
        <v>0.58359225621414912</v>
      </c>
      <c r="J123" s="229"/>
      <c r="K123" s="193"/>
      <c r="L123" s="195"/>
      <c r="M123" s="193"/>
      <c r="N123" s="229"/>
      <c r="O123" s="193"/>
      <c r="P123" s="3"/>
      <c r="Q123" s="196"/>
      <c r="R123" s="194">
        <v>0</v>
      </c>
      <c r="S123" s="193">
        <v>0</v>
      </c>
      <c r="T123" s="193">
        <f t="shared" si="10"/>
        <v>0</v>
      </c>
      <c r="U123" s="197">
        <v>0</v>
      </c>
      <c r="V123" s="196">
        <v>0</v>
      </c>
      <c r="W123" s="196">
        <f t="shared" si="11"/>
        <v>0</v>
      </c>
      <c r="X123" s="197"/>
      <c r="Y123" s="196">
        <v>0</v>
      </c>
      <c r="Z123" s="196"/>
      <c r="AA123" s="95"/>
      <c r="AB123" s="196">
        <v>1670</v>
      </c>
      <c r="AC123" s="196"/>
      <c r="AD123" s="197"/>
      <c r="AE123" s="197">
        <f>VLOOKUP(B123,Reference!A:B,2,0)</f>
        <v>15677.7</v>
      </c>
    </row>
    <row r="124" spans="1:31">
      <c r="A124" s="3">
        <v>1989</v>
      </c>
      <c r="B124" s="3" t="s">
        <v>439</v>
      </c>
      <c r="C124" s="191">
        <v>32752</v>
      </c>
      <c r="D124" s="192">
        <v>3091732</v>
      </c>
      <c r="E124" s="193">
        <v>244765</v>
      </c>
      <c r="F124" s="227">
        <f t="shared" si="8"/>
        <v>7.916759926151426E-2</v>
      </c>
      <c r="G124" s="194">
        <v>14832</v>
      </c>
      <c r="H124" s="193">
        <v>8932</v>
      </c>
      <c r="I124" s="193">
        <f t="shared" si="9"/>
        <v>0.6022114347357066</v>
      </c>
      <c r="J124" s="229"/>
      <c r="K124" s="193"/>
      <c r="L124" s="195"/>
      <c r="M124" s="193"/>
      <c r="N124" s="229"/>
      <c r="O124" s="193"/>
      <c r="P124" s="3"/>
      <c r="Q124" s="196"/>
      <c r="R124" s="194">
        <v>0</v>
      </c>
      <c r="S124" s="193">
        <v>0</v>
      </c>
      <c r="T124" s="193">
        <f t="shared" si="10"/>
        <v>0</v>
      </c>
      <c r="U124" s="197">
        <v>26797</v>
      </c>
      <c r="V124" s="196">
        <v>29833</v>
      </c>
      <c r="W124" s="196">
        <f t="shared" si="11"/>
        <v>1.1132962645072209</v>
      </c>
      <c r="X124" s="197"/>
      <c r="Y124" s="196">
        <v>9321</v>
      </c>
      <c r="Z124" s="196"/>
      <c r="AA124" s="95"/>
      <c r="AB124" s="196">
        <v>1670</v>
      </c>
      <c r="AC124" s="196"/>
      <c r="AD124" s="197"/>
      <c r="AE124" s="197">
        <f>VLOOKUP(B124,Reference!A:B,2,0)</f>
        <v>15677.7</v>
      </c>
    </row>
    <row r="125" spans="1:31">
      <c r="A125" s="3">
        <v>1989</v>
      </c>
      <c r="B125" s="3" t="s">
        <v>439</v>
      </c>
      <c r="C125" s="191">
        <v>32782</v>
      </c>
      <c r="D125" s="192">
        <v>2800419</v>
      </c>
      <c r="E125" s="193">
        <v>214308</v>
      </c>
      <c r="F125" s="227">
        <f t="shared" si="8"/>
        <v>7.6527119691731843E-2</v>
      </c>
      <c r="G125" s="194">
        <v>30080</v>
      </c>
      <c r="H125" s="193">
        <v>13484</v>
      </c>
      <c r="I125" s="193">
        <f t="shared" si="9"/>
        <v>0.44827127659574467</v>
      </c>
      <c r="J125" s="229"/>
      <c r="K125" s="193"/>
      <c r="L125" s="195"/>
      <c r="M125" s="193"/>
      <c r="N125" s="229"/>
      <c r="O125" s="193"/>
      <c r="P125" s="3"/>
      <c r="Q125" s="196"/>
      <c r="R125" s="194">
        <v>0</v>
      </c>
      <c r="S125" s="193">
        <v>0</v>
      </c>
      <c r="T125" s="193">
        <f t="shared" si="10"/>
        <v>0</v>
      </c>
      <c r="U125" s="197">
        <v>18516</v>
      </c>
      <c r="V125" s="196">
        <v>19856</v>
      </c>
      <c r="W125" s="196">
        <f t="shared" si="11"/>
        <v>1.0723698422985526</v>
      </c>
      <c r="X125" s="197"/>
      <c r="Y125" s="196">
        <v>0</v>
      </c>
      <c r="Z125" s="196"/>
      <c r="AA125" s="95"/>
      <c r="AB125" s="196">
        <v>1670</v>
      </c>
      <c r="AC125" s="196"/>
      <c r="AD125" s="197"/>
      <c r="AE125" s="197">
        <f>VLOOKUP(B125,Reference!A:B,2,0)</f>
        <v>15677.7</v>
      </c>
    </row>
    <row r="126" spans="1:31">
      <c r="A126" s="3">
        <v>1989</v>
      </c>
      <c r="B126" s="3" t="s">
        <v>439</v>
      </c>
      <c r="C126" s="191">
        <v>32813</v>
      </c>
      <c r="D126" s="192">
        <v>3176205</v>
      </c>
      <c r="E126" s="193">
        <v>253997</v>
      </c>
      <c r="F126" s="227">
        <f t="shared" si="8"/>
        <v>7.9968704790780193E-2</v>
      </c>
      <c r="G126" s="194">
        <v>62755</v>
      </c>
      <c r="H126" s="193">
        <v>25295</v>
      </c>
      <c r="I126" s="193">
        <f t="shared" si="9"/>
        <v>0.40307545215520674</v>
      </c>
      <c r="J126" s="229"/>
      <c r="K126" s="193"/>
      <c r="L126" s="195"/>
      <c r="M126" s="193"/>
      <c r="N126" s="229"/>
      <c r="O126" s="193"/>
      <c r="P126" s="3"/>
      <c r="Q126" s="196"/>
      <c r="R126" s="194">
        <v>0</v>
      </c>
      <c r="S126" s="193">
        <v>0</v>
      </c>
      <c r="T126" s="193">
        <f t="shared" si="10"/>
        <v>0</v>
      </c>
      <c r="U126" s="197">
        <v>6200</v>
      </c>
      <c r="V126" s="196">
        <v>6714</v>
      </c>
      <c r="W126" s="196">
        <f t="shared" si="11"/>
        <v>1.0829032258064517</v>
      </c>
      <c r="X126" s="197"/>
      <c r="Y126" s="196">
        <v>0</v>
      </c>
      <c r="Z126" s="196"/>
      <c r="AA126" s="95"/>
      <c r="AB126" s="196">
        <v>1670</v>
      </c>
      <c r="AC126" s="196"/>
      <c r="AD126" s="197"/>
      <c r="AE126" s="197">
        <f>VLOOKUP(B126,Reference!A:B,2,0)</f>
        <v>15677.7</v>
      </c>
    </row>
    <row r="127" spans="1:31">
      <c r="A127" s="3">
        <v>1989</v>
      </c>
      <c r="B127" s="3" t="s">
        <v>439</v>
      </c>
      <c r="C127" s="191">
        <v>32843</v>
      </c>
      <c r="D127" s="192">
        <v>2426476</v>
      </c>
      <c r="E127" s="193">
        <v>190738</v>
      </c>
      <c r="F127" s="227">
        <f t="shared" si="8"/>
        <v>7.8607000440144473E-2</v>
      </c>
      <c r="G127" s="194">
        <v>88157</v>
      </c>
      <c r="H127" s="193">
        <v>38621</v>
      </c>
      <c r="I127" s="193">
        <f t="shared" si="9"/>
        <v>0.4380934015449709</v>
      </c>
      <c r="J127" s="229"/>
      <c r="K127" s="193"/>
      <c r="L127" s="195"/>
      <c r="M127" s="193"/>
      <c r="N127" s="229"/>
      <c r="O127" s="193"/>
      <c r="P127" s="3"/>
      <c r="Q127" s="196"/>
      <c r="R127" s="194">
        <v>0</v>
      </c>
      <c r="S127" s="193">
        <v>0</v>
      </c>
      <c r="T127" s="193">
        <f t="shared" si="10"/>
        <v>0</v>
      </c>
      <c r="U127" s="197">
        <v>31362</v>
      </c>
      <c r="V127" s="196">
        <v>34174</v>
      </c>
      <c r="W127" s="196">
        <f t="shared" si="11"/>
        <v>1.0896626490657484</v>
      </c>
      <c r="X127" s="197"/>
      <c r="Y127" s="196">
        <v>12766</v>
      </c>
      <c r="Z127" s="196"/>
      <c r="AA127" s="95"/>
      <c r="AB127" s="196">
        <v>1670</v>
      </c>
      <c r="AC127" s="196"/>
      <c r="AD127" s="197"/>
      <c r="AE127" s="197">
        <f>VLOOKUP(B127,Reference!A:B,2,0)</f>
        <v>15677.7</v>
      </c>
    </row>
    <row r="128" spans="1:31">
      <c r="A128" s="3">
        <v>1990</v>
      </c>
      <c r="B128" s="3" t="s">
        <v>439</v>
      </c>
      <c r="C128" s="191">
        <v>32874</v>
      </c>
      <c r="D128" s="192">
        <v>2983854</v>
      </c>
      <c r="E128" s="193">
        <v>231964</v>
      </c>
      <c r="F128" s="227">
        <f t="shared" si="8"/>
        <v>7.7739728552402368E-2</v>
      </c>
      <c r="G128" s="194">
        <v>117994</v>
      </c>
      <c r="H128" s="193">
        <v>52794</v>
      </c>
      <c r="I128" s="193">
        <f t="shared" si="9"/>
        <v>0.44742953031510074</v>
      </c>
      <c r="J128" s="229"/>
      <c r="K128" s="193"/>
      <c r="L128" s="195"/>
      <c r="M128" s="193"/>
      <c r="N128" s="229"/>
      <c r="O128" s="193"/>
      <c r="P128" s="3"/>
      <c r="Q128" s="196"/>
      <c r="R128" s="194">
        <v>0</v>
      </c>
      <c r="S128" s="193">
        <v>0</v>
      </c>
      <c r="T128" s="193">
        <f t="shared" si="10"/>
        <v>0</v>
      </c>
      <c r="U128" s="197">
        <v>35014</v>
      </c>
      <c r="V128" s="196">
        <v>38530</v>
      </c>
      <c r="W128" s="196">
        <f t="shared" si="11"/>
        <v>1.1004169760667162</v>
      </c>
      <c r="X128" s="197"/>
      <c r="Y128" s="196">
        <v>0</v>
      </c>
      <c r="Z128" s="196"/>
      <c r="AA128" s="95"/>
      <c r="AB128" s="196">
        <v>1670</v>
      </c>
      <c r="AC128" s="196"/>
      <c r="AD128" s="197"/>
      <c r="AE128" s="197">
        <f>VLOOKUP(B128,Reference!A:B,2,0)</f>
        <v>15677.7</v>
      </c>
    </row>
    <row r="129" spans="1:31">
      <c r="A129" s="3">
        <v>1990</v>
      </c>
      <c r="B129" s="3" t="s">
        <v>439</v>
      </c>
      <c r="C129" s="191">
        <v>32905</v>
      </c>
      <c r="D129" s="192"/>
      <c r="E129" s="193"/>
      <c r="F129" s="193"/>
      <c r="G129" s="194"/>
      <c r="H129" s="193"/>
      <c r="I129" s="193"/>
      <c r="J129" s="229"/>
      <c r="K129" s="193"/>
      <c r="L129" s="195"/>
      <c r="M129" s="193"/>
      <c r="N129" s="229"/>
      <c r="O129" s="193"/>
      <c r="P129" s="3"/>
      <c r="Q129" s="196"/>
      <c r="R129" s="194"/>
      <c r="S129" s="193"/>
      <c r="T129" s="193"/>
      <c r="U129" s="197"/>
      <c r="V129" s="196"/>
      <c r="W129" s="196"/>
      <c r="X129" s="197"/>
      <c r="Y129" s="196"/>
      <c r="Z129" s="196"/>
      <c r="AA129" s="95"/>
      <c r="AB129" s="196"/>
      <c r="AC129" s="196"/>
      <c r="AD129" s="197"/>
      <c r="AE129" s="197">
        <f>VLOOKUP(B129,Reference!A:B,2,0)</f>
        <v>15677.7</v>
      </c>
    </row>
    <row r="130" spans="1:31">
      <c r="A130" s="3">
        <v>1990</v>
      </c>
      <c r="B130" s="3" t="s">
        <v>439</v>
      </c>
      <c r="C130" s="191">
        <v>32933</v>
      </c>
      <c r="D130" s="192"/>
      <c r="E130" s="193"/>
      <c r="F130" s="193"/>
      <c r="G130" s="194"/>
      <c r="H130" s="193"/>
      <c r="I130" s="193"/>
      <c r="J130" s="229"/>
      <c r="K130" s="193"/>
      <c r="L130" s="195"/>
      <c r="M130" s="193"/>
      <c r="N130" s="229"/>
      <c r="O130" s="193"/>
      <c r="P130" s="3"/>
      <c r="Q130" s="196"/>
      <c r="R130" s="194"/>
      <c r="S130" s="193"/>
      <c r="T130" s="193"/>
      <c r="U130" s="197"/>
      <c r="V130" s="196"/>
      <c r="W130" s="196"/>
      <c r="X130" s="197"/>
      <c r="Y130" s="196"/>
      <c r="Z130" s="196"/>
      <c r="AA130" s="95"/>
      <c r="AB130" s="196"/>
      <c r="AC130" s="196"/>
      <c r="AD130" s="197"/>
      <c r="AE130" s="197">
        <f>VLOOKUP(B130,Reference!A:B,2,0)</f>
        <v>15677.7</v>
      </c>
    </row>
    <row r="131" spans="1:31">
      <c r="A131" s="3">
        <v>1990</v>
      </c>
      <c r="B131" s="3" t="s">
        <v>439</v>
      </c>
      <c r="C131" s="191">
        <v>32964</v>
      </c>
      <c r="D131" s="192"/>
      <c r="E131" s="193"/>
      <c r="F131" s="193"/>
      <c r="G131" s="194"/>
      <c r="H131" s="193"/>
      <c r="I131" s="193"/>
      <c r="J131" s="229"/>
      <c r="K131" s="193"/>
      <c r="L131" s="195"/>
      <c r="M131" s="193"/>
      <c r="N131" s="229"/>
      <c r="O131" s="193"/>
      <c r="P131" s="3"/>
      <c r="Q131" s="196"/>
      <c r="R131" s="194"/>
      <c r="S131" s="193"/>
      <c r="T131" s="193"/>
      <c r="U131" s="197"/>
      <c r="V131" s="196"/>
      <c r="W131" s="196"/>
      <c r="X131" s="197"/>
      <c r="Y131" s="196"/>
      <c r="Z131" s="196"/>
      <c r="AA131" s="95"/>
      <c r="AB131" s="196"/>
      <c r="AC131" s="196"/>
      <c r="AD131" s="197"/>
      <c r="AE131" s="197">
        <f>VLOOKUP(B131,Reference!A:B,2,0)</f>
        <v>15677.7</v>
      </c>
    </row>
    <row r="132" spans="1:31">
      <c r="A132" s="3">
        <v>1990</v>
      </c>
      <c r="B132" s="3" t="s">
        <v>439</v>
      </c>
      <c r="C132" s="191">
        <v>32994</v>
      </c>
      <c r="D132" s="192"/>
      <c r="E132" s="193"/>
      <c r="F132" s="193"/>
      <c r="G132" s="194"/>
      <c r="H132" s="193"/>
      <c r="I132" s="193"/>
      <c r="J132" s="229"/>
      <c r="K132" s="193"/>
      <c r="L132" s="195"/>
      <c r="M132" s="193"/>
      <c r="N132" s="229"/>
      <c r="O132" s="193"/>
      <c r="P132" s="3"/>
      <c r="Q132" s="196"/>
      <c r="R132" s="194"/>
      <c r="S132" s="193"/>
      <c r="T132" s="193"/>
      <c r="U132" s="197"/>
      <c r="V132" s="196"/>
      <c r="W132" s="196"/>
      <c r="X132" s="197"/>
      <c r="Y132" s="196"/>
      <c r="Z132" s="196"/>
      <c r="AA132" s="95"/>
      <c r="AB132" s="196"/>
      <c r="AC132" s="196"/>
      <c r="AD132" s="197"/>
      <c r="AE132" s="197">
        <f>VLOOKUP(B132,Reference!A:B,2,0)</f>
        <v>15677.7</v>
      </c>
    </row>
    <row r="133" spans="1:31">
      <c r="A133" s="3">
        <v>1990</v>
      </c>
      <c r="B133" s="3" t="s">
        <v>439</v>
      </c>
      <c r="C133" s="191">
        <v>33025</v>
      </c>
      <c r="D133" s="192"/>
      <c r="E133" s="193"/>
      <c r="F133" s="193"/>
      <c r="G133" s="194"/>
      <c r="H133" s="193"/>
      <c r="I133" s="193"/>
      <c r="J133" s="229"/>
      <c r="K133" s="193"/>
      <c r="L133" s="195"/>
      <c r="M133" s="193"/>
      <c r="N133" s="229"/>
      <c r="O133" s="193"/>
      <c r="P133" s="3"/>
      <c r="Q133" s="196"/>
      <c r="R133" s="194"/>
      <c r="S133" s="193"/>
      <c r="T133" s="193"/>
      <c r="U133" s="197"/>
      <c r="V133" s="196"/>
      <c r="W133" s="196"/>
      <c r="X133" s="197"/>
      <c r="Y133" s="196"/>
      <c r="Z133" s="196"/>
      <c r="AA133" s="95"/>
      <c r="AB133" s="196"/>
      <c r="AC133" s="196"/>
      <c r="AD133" s="197"/>
      <c r="AE133" s="197">
        <f>VLOOKUP(B133,Reference!A:B,2,0)</f>
        <v>15677.7</v>
      </c>
    </row>
    <row r="134" spans="1:31">
      <c r="A134" s="3">
        <v>1990</v>
      </c>
      <c r="B134" s="3" t="s">
        <v>440</v>
      </c>
      <c r="C134" s="191">
        <v>33055</v>
      </c>
      <c r="D134" s="192"/>
      <c r="E134" s="193"/>
      <c r="F134" s="193"/>
      <c r="G134" s="194"/>
      <c r="H134" s="193"/>
      <c r="I134" s="193"/>
      <c r="J134" s="229"/>
      <c r="K134" s="193"/>
      <c r="L134" s="195"/>
      <c r="M134" s="193"/>
      <c r="N134" s="229"/>
      <c r="O134" s="193"/>
      <c r="P134" s="3"/>
      <c r="Q134" s="196"/>
      <c r="R134" s="194"/>
      <c r="S134" s="193"/>
      <c r="T134" s="193"/>
      <c r="U134" s="197"/>
      <c r="V134" s="196"/>
      <c r="W134" s="196"/>
      <c r="X134" s="197"/>
      <c r="Y134" s="196"/>
      <c r="Z134" s="196"/>
      <c r="AA134" s="95"/>
      <c r="AB134" s="196"/>
      <c r="AC134" s="196"/>
      <c r="AD134" s="197"/>
      <c r="AE134" s="197">
        <f>VLOOKUP(B134,Reference!A:B,2,0)</f>
        <v>16349.5</v>
      </c>
    </row>
    <row r="135" spans="1:31">
      <c r="A135" s="3">
        <v>1990</v>
      </c>
      <c r="B135" s="3" t="s">
        <v>440</v>
      </c>
      <c r="C135" s="191">
        <v>33086</v>
      </c>
      <c r="D135" s="192"/>
      <c r="E135" s="193"/>
      <c r="F135" s="193"/>
      <c r="G135" s="194"/>
      <c r="H135" s="193"/>
      <c r="I135" s="193"/>
      <c r="J135" s="229"/>
      <c r="K135" s="193"/>
      <c r="L135" s="195"/>
      <c r="M135" s="193"/>
      <c r="N135" s="229"/>
      <c r="O135" s="193"/>
      <c r="P135" s="3"/>
      <c r="Q135" s="196"/>
      <c r="R135" s="194"/>
      <c r="S135" s="193"/>
      <c r="T135" s="193"/>
      <c r="U135" s="197"/>
      <c r="V135" s="196"/>
      <c r="W135" s="196"/>
      <c r="X135" s="197"/>
      <c r="Y135" s="196"/>
      <c r="Z135" s="196"/>
      <c r="AA135" s="95"/>
      <c r="AB135" s="196"/>
      <c r="AC135" s="196"/>
      <c r="AD135" s="197"/>
      <c r="AE135" s="197">
        <f>VLOOKUP(B135,Reference!A:B,2,0)</f>
        <v>16349.5</v>
      </c>
    </row>
    <row r="136" spans="1:31">
      <c r="A136" s="3">
        <v>1990</v>
      </c>
      <c r="B136" s="3" t="s">
        <v>440</v>
      </c>
      <c r="C136" s="191">
        <v>33117</v>
      </c>
      <c r="D136" s="192"/>
      <c r="E136" s="193"/>
      <c r="F136" s="193"/>
      <c r="G136" s="194"/>
      <c r="H136" s="193"/>
      <c r="I136" s="193"/>
      <c r="J136" s="229"/>
      <c r="K136" s="193"/>
      <c r="L136" s="195"/>
      <c r="M136" s="193"/>
      <c r="N136" s="229"/>
      <c r="O136" s="193"/>
      <c r="P136" s="3"/>
      <c r="Q136" s="196"/>
      <c r="R136" s="194"/>
      <c r="S136" s="193"/>
      <c r="T136" s="193"/>
      <c r="U136" s="197"/>
      <c r="V136" s="196"/>
      <c r="W136" s="196"/>
      <c r="X136" s="197"/>
      <c r="Y136" s="196"/>
      <c r="Z136" s="196"/>
      <c r="AA136" s="95"/>
      <c r="AB136" s="196"/>
      <c r="AC136" s="196"/>
      <c r="AD136" s="197"/>
      <c r="AE136" s="197">
        <f>VLOOKUP(B136,Reference!A:B,2,0)</f>
        <v>16349.5</v>
      </c>
    </row>
    <row r="137" spans="1:31">
      <c r="A137" s="3">
        <v>1990</v>
      </c>
      <c r="B137" s="3" t="s">
        <v>440</v>
      </c>
      <c r="C137" s="191">
        <v>33147</v>
      </c>
      <c r="D137" s="192"/>
      <c r="E137" s="193"/>
      <c r="F137" s="193"/>
      <c r="G137" s="194"/>
      <c r="H137" s="193"/>
      <c r="I137" s="193"/>
      <c r="J137" s="229"/>
      <c r="K137" s="193"/>
      <c r="L137" s="195"/>
      <c r="M137" s="193"/>
      <c r="N137" s="229"/>
      <c r="O137" s="193"/>
      <c r="P137" s="3"/>
      <c r="Q137" s="196"/>
      <c r="R137" s="194"/>
      <c r="S137" s="193"/>
      <c r="T137" s="193"/>
      <c r="U137" s="197"/>
      <c r="V137" s="196"/>
      <c r="W137" s="196"/>
      <c r="X137" s="197"/>
      <c r="Y137" s="196"/>
      <c r="Z137" s="196"/>
      <c r="AA137" s="95"/>
      <c r="AB137" s="196"/>
      <c r="AC137" s="196"/>
      <c r="AD137" s="197"/>
      <c r="AE137" s="197">
        <f>VLOOKUP(B137,Reference!A:B,2,0)</f>
        <v>16349.5</v>
      </c>
    </row>
    <row r="138" spans="1:31">
      <c r="A138" s="3">
        <v>1990</v>
      </c>
      <c r="B138" s="3" t="s">
        <v>440</v>
      </c>
      <c r="C138" s="191">
        <v>33178</v>
      </c>
      <c r="D138" s="192"/>
      <c r="E138" s="193"/>
      <c r="F138" s="193"/>
      <c r="G138" s="194"/>
      <c r="H138" s="193"/>
      <c r="I138" s="193"/>
      <c r="J138" s="229"/>
      <c r="K138" s="193"/>
      <c r="L138" s="195"/>
      <c r="M138" s="193"/>
      <c r="N138" s="229"/>
      <c r="O138" s="193"/>
      <c r="P138" s="3"/>
      <c r="Q138" s="196"/>
      <c r="R138" s="194"/>
      <c r="S138" s="193"/>
      <c r="T138" s="193"/>
      <c r="U138" s="197"/>
      <c r="V138" s="196"/>
      <c r="W138" s="196"/>
      <c r="X138" s="197"/>
      <c r="Y138" s="196"/>
      <c r="Z138" s="196"/>
      <c r="AA138" s="95"/>
      <c r="AB138" s="196"/>
      <c r="AC138" s="196"/>
      <c r="AD138" s="197"/>
      <c r="AE138" s="197">
        <f>VLOOKUP(B138,Reference!A:B,2,0)</f>
        <v>16349.5</v>
      </c>
    </row>
    <row r="139" spans="1:31">
      <c r="A139" s="3">
        <v>1990</v>
      </c>
      <c r="B139" s="3" t="s">
        <v>440</v>
      </c>
      <c r="C139" s="191">
        <v>33208</v>
      </c>
      <c r="D139" s="192"/>
      <c r="E139" s="193"/>
      <c r="F139" s="193"/>
      <c r="G139" s="194"/>
      <c r="H139" s="193"/>
      <c r="I139" s="193"/>
      <c r="J139" s="229"/>
      <c r="K139" s="193"/>
      <c r="L139" s="195"/>
      <c r="M139" s="193"/>
      <c r="N139" s="229"/>
      <c r="O139" s="193"/>
      <c r="P139" s="3"/>
      <c r="Q139" s="196"/>
      <c r="R139" s="194"/>
      <c r="S139" s="193"/>
      <c r="T139" s="193"/>
      <c r="U139" s="197"/>
      <c r="V139" s="196"/>
      <c r="W139" s="196"/>
      <c r="X139" s="197"/>
      <c r="Y139" s="196"/>
      <c r="Z139" s="196"/>
      <c r="AA139" s="95"/>
      <c r="AB139" s="196"/>
      <c r="AC139" s="196"/>
      <c r="AD139" s="197"/>
      <c r="AE139" s="197">
        <f>VLOOKUP(B139,Reference!A:B,2,0)</f>
        <v>16349.5</v>
      </c>
    </row>
    <row r="140" spans="1:31">
      <c r="A140" s="3">
        <v>1991</v>
      </c>
      <c r="B140" s="3" t="s">
        <v>440</v>
      </c>
      <c r="C140" s="191">
        <v>33239</v>
      </c>
      <c r="D140" s="192"/>
      <c r="E140" s="193"/>
      <c r="F140" s="193"/>
      <c r="G140" s="194"/>
      <c r="H140" s="193"/>
      <c r="I140" s="193"/>
      <c r="J140" s="229"/>
      <c r="K140" s="193"/>
      <c r="L140" s="195"/>
      <c r="M140" s="193"/>
      <c r="N140" s="229"/>
      <c r="O140" s="193"/>
      <c r="P140" s="3"/>
      <c r="Q140" s="196"/>
      <c r="R140" s="194"/>
      <c r="S140" s="193"/>
      <c r="T140" s="193"/>
      <c r="U140" s="197"/>
      <c r="V140" s="196"/>
      <c r="W140" s="196"/>
      <c r="X140" s="197"/>
      <c r="Y140" s="196"/>
      <c r="Z140" s="196"/>
      <c r="AA140" s="95"/>
      <c r="AB140" s="196"/>
      <c r="AC140" s="196"/>
      <c r="AD140" s="197"/>
      <c r="AE140" s="197">
        <f>VLOOKUP(B140,Reference!A:B,2,0)</f>
        <v>16349.5</v>
      </c>
    </row>
    <row r="141" spans="1:31">
      <c r="A141" s="3">
        <v>1991</v>
      </c>
      <c r="B141" s="3" t="s">
        <v>440</v>
      </c>
      <c r="C141" s="191">
        <v>33270</v>
      </c>
      <c r="D141" s="192"/>
      <c r="E141" s="193"/>
      <c r="F141" s="193"/>
      <c r="G141" s="194"/>
      <c r="H141" s="193"/>
      <c r="I141" s="193"/>
      <c r="J141" s="229"/>
      <c r="K141" s="193"/>
      <c r="L141" s="195"/>
      <c r="M141" s="193"/>
      <c r="N141" s="229"/>
      <c r="O141" s="193"/>
      <c r="P141" s="3"/>
      <c r="Q141" s="196"/>
      <c r="R141" s="194"/>
      <c r="S141" s="193"/>
      <c r="T141" s="193"/>
      <c r="U141" s="197"/>
      <c r="V141" s="196"/>
      <c r="W141" s="196"/>
      <c r="X141" s="197"/>
      <c r="Y141" s="196"/>
      <c r="Z141" s="196"/>
      <c r="AA141" s="95"/>
      <c r="AB141" s="196"/>
      <c r="AC141" s="196"/>
      <c r="AD141" s="197"/>
      <c r="AE141" s="197">
        <f>VLOOKUP(B141,Reference!A:B,2,0)</f>
        <v>16349.5</v>
      </c>
    </row>
    <row r="142" spans="1:31">
      <c r="A142" s="3">
        <v>1991</v>
      </c>
      <c r="B142" s="3" t="s">
        <v>440</v>
      </c>
      <c r="C142" s="191">
        <v>33298</v>
      </c>
      <c r="D142" s="192"/>
      <c r="E142" s="193"/>
      <c r="F142" s="193"/>
      <c r="G142" s="194"/>
      <c r="H142" s="193"/>
      <c r="I142" s="193"/>
      <c r="J142" s="229"/>
      <c r="K142" s="193"/>
      <c r="L142" s="195"/>
      <c r="M142" s="193"/>
      <c r="N142" s="229"/>
      <c r="O142" s="193"/>
      <c r="P142" s="3"/>
      <c r="Q142" s="196"/>
      <c r="R142" s="194"/>
      <c r="S142" s="193"/>
      <c r="T142" s="193"/>
      <c r="U142" s="197"/>
      <c r="V142" s="196"/>
      <c r="W142" s="196"/>
      <c r="X142" s="197"/>
      <c r="Y142" s="196"/>
      <c r="Z142" s="196"/>
      <c r="AA142" s="95"/>
      <c r="AB142" s="196"/>
      <c r="AC142" s="196"/>
      <c r="AD142" s="197"/>
      <c r="AE142" s="197">
        <f>VLOOKUP(B142,Reference!A:B,2,0)</f>
        <v>16349.5</v>
      </c>
    </row>
    <row r="143" spans="1:31">
      <c r="A143" s="3">
        <v>1991</v>
      </c>
      <c r="B143" s="3" t="s">
        <v>440</v>
      </c>
      <c r="C143" s="191">
        <v>33329</v>
      </c>
      <c r="D143" s="192"/>
      <c r="E143" s="193"/>
      <c r="F143" s="193"/>
      <c r="G143" s="194"/>
      <c r="H143" s="193"/>
      <c r="I143" s="193"/>
      <c r="J143" s="229"/>
      <c r="K143" s="193"/>
      <c r="L143" s="195"/>
      <c r="M143" s="193"/>
      <c r="N143" s="229"/>
      <c r="O143" s="193"/>
      <c r="P143" s="3"/>
      <c r="Q143" s="196"/>
      <c r="R143" s="194"/>
      <c r="S143" s="193"/>
      <c r="T143" s="193"/>
      <c r="U143" s="197"/>
      <c r="V143" s="196"/>
      <c r="W143" s="196"/>
      <c r="X143" s="197"/>
      <c r="Y143" s="196"/>
      <c r="Z143" s="196"/>
      <c r="AA143" s="95"/>
      <c r="AB143" s="196"/>
      <c r="AC143" s="196"/>
      <c r="AD143" s="197"/>
      <c r="AE143" s="197">
        <f>VLOOKUP(B143,Reference!A:B,2,0)</f>
        <v>16349.5</v>
      </c>
    </row>
    <row r="144" spans="1:31">
      <c r="A144" s="3">
        <v>1991</v>
      </c>
      <c r="B144" s="3" t="s">
        <v>440</v>
      </c>
      <c r="C144" s="191">
        <v>33359</v>
      </c>
      <c r="D144" s="192"/>
      <c r="E144" s="193"/>
      <c r="F144" s="193"/>
      <c r="G144" s="194"/>
      <c r="H144" s="193"/>
      <c r="I144" s="193"/>
      <c r="J144" s="229"/>
      <c r="K144" s="193"/>
      <c r="L144" s="195"/>
      <c r="M144" s="193"/>
      <c r="N144" s="229"/>
      <c r="O144" s="193"/>
      <c r="P144" s="3"/>
      <c r="Q144" s="196"/>
      <c r="R144" s="194"/>
      <c r="S144" s="193"/>
      <c r="T144" s="193"/>
      <c r="U144" s="197"/>
      <c r="V144" s="196"/>
      <c r="W144" s="196"/>
      <c r="X144" s="197"/>
      <c r="Y144" s="196"/>
      <c r="Z144" s="196"/>
      <c r="AA144" s="95"/>
      <c r="AB144" s="196"/>
      <c r="AC144" s="196"/>
      <c r="AD144" s="197"/>
      <c r="AE144" s="197">
        <f>VLOOKUP(B144,Reference!A:B,2,0)</f>
        <v>16349.5</v>
      </c>
    </row>
    <row r="145" spans="1:31">
      <c r="A145" s="3">
        <v>1991</v>
      </c>
      <c r="B145" s="3" t="s">
        <v>440</v>
      </c>
      <c r="C145" s="191">
        <v>33390</v>
      </c>
      <c r="D145" s="192"/>
      <c r="E145" s="193"/>
      <c r="F145" s="193"/>
      <c r="G145" s="194"/>
      <c r="H145" s="193"/>
      <c r="I145" s="193"/>
      <c r="J145" s="229"/>
      <c r="K145" s="193"/>
      <c r="L145" s="195"/>
      <c r="M145" s="193"/>
      <c r="N145" s="229"/>
      <c r="O145" s="193"/>
      <c r="P145" s="3"/>
      <c r="Q145" s="196"/>
      <c r="R145" s="194"/>
      <c r="S145" s="193"/>
      <c r="T145" s="193"/>
      <c r="U145" s="197"/>
      <c r="V145" s="196"/>
      <c r="W145" s="196"/>
      <c r="X145" s="197"/>
      <c r="Y145" s="196"/>
      <c r="Z145" s="196"/>
      <c r="AA145" s="95"/>
      <c r="AB145" s="196"/>
      <c r="AC145" s="196"/>
      <c r="AD145" s="197"/>
      <c r="AE145" s="197">
        <f>VLOOKUP(B145,Reference!A:B,2,0)</f>
        <v>16349.5</v>
      </c>
    </row>
    <row r="146" spans="1:31">
      <c r="A146" s="3">
        <v>1991</v>
      </c>
      <c r="B146" s="3" t="s">
        <v>441</v>
      </c>
      <c r="C146" s="191">
        <v>33420</v>
      </c>
      <c r="D146" s="192"/>
      <c r="E146" s="193"/>
      <c r="F146" s="193"/>
      <c r="G146" s="194"/>
      <c r="H146" s="193"/>
      <c r="I146" s="193"/>
      <c r="J146" s="229"/>
      <c r="K146" s="193"/>
      <c r="L146" s="195"/>
      <c r="M146" s="193"/>
      <c r="N146" s="229"/>
      <c r="O146" s="193"/>
      <c r="P146" s="3"/>
      <c r="Q146" s="196"/>
      <c r="R146" s="194"/>
      <c r="S146" s="193"/>
      <c r="T146" s="193"/>
      <c r="U146" s="197"/>
      <c r="V146" s="196"/>
      <c r="W146" s="196"/>
      <c r="X146" s="197"/>
      <c r="Y146" s="196"/>
      <c r="Z146" s="196"/>
      <c r="AA146" s="95"/>
      <c r="AB146" s="196"/>
      <c r="AC146" s="196"/>
      <c r="AD146" s="197"/>
      <c r="AE146" s="197">
        <f>VLOOKUP(B146,Reference!A:B,2,0)</f>
        <v>15298.7</v>
      </c>
    </row>
    <row r="147" spans="1:31">
      <c r="A147" s="3">
        <v>1991</v>
      </c>
      <c r="B147" s="3" t="s">
        <v>441</v>
      </c>
      <c r="C147" s="191">
        <v>33451</v>
      </c>
      <c r="D147" s="192"/>
      <c r="E147" s="193"/>
      <c r="F147" s="193"/>
      <c r="G147" s="194"/>
      <c r="H147" s="193"/>
      <c r="I147" s="193"/>
      <c r="J147" s="229"/>
      <c r="K147" s="193"/>
      <c r="L147" s="195"/>
      <c r="M147" s="193"/>
      <c r="N147" s="229"/>
      <c r="O147" s="193"/>
      <c r="P147" s="3"/>
      <c r="Q147" s="196"/>
      <c r="R147" s="194"/>
      <c r="S147" s="193"/>
      <c r="T147" s="193"/>
      <c r="U147" s="197"/>
      <c r="V147" s="196"/>
      <c r="W147" s="196"/>
      <c r="X147" s="197"/>
      <c r="Y147" s="196"/>
      <c r="Z147" s="196"/>
      <c r="AA147" s="95"/>
      <c r="AB147" s="196"/>
      <c r="AC147" s="196"/>
      <c r="AD147" s="197"/>
      <c r="AE147" s="197">
        <f>VLOOKUP(B147,Reference!A:B,2,0)</f>
        <v>15298.7</v>
      </c>
    </row>
    <row r="148" spans="1:31">
      <c r="A148" s="3">
        <v>1991</v>
      </c>
      <c r="B148" s="3" t="s">
        <v>441</v>
      </c>
      <c r="C148" s="191">
        <v>33482</v>
      </c>
      <c r="D148" s="192"/>
      <c r="E148" s="193"/>
      <c r="F148" s="193"/>
      <c r="G148" s="194"/>
      <c r="H148" s="193"/>
      <c r="I148" s="193"/>
      <c r="J148" s="229"/>
      <c r="K148" s="193"/>
      <c r="L148" s="195"/>
      <c r="M148" s="193"/>
      <c r="N148" s="229"/>
      <c r="O148" s="193"/>
      <c r="P148" s="3"/>
      <c r="Q148" s="196"/>
      <c r="R148" s="194"/>
      <c r="S148" s="193"/>
      <c r="T148" s="193"/>
      <c r="U148" s="197"/>
      <c r="V148" s="196"/>
      <c r="W148" s="196"/>
      <c r="X148" s="197"/>
      <c r="Y148" s="196"/>
      <c r="Z148" s="196"/>
      <c r="AA148" s="95"/>
      <c r="AB148" s="196"/>
      <c r="AC148" s="196"/>
      <c r="AD148" s="197"/>
      <c r="AE148" s="197">
        <f>VLOOKUP(B148,Reference!A:B,2,0)</f>
        <v>15298.7</v>
      </c>
    </row>
    <row r="149" spans="1:31">
      <c r="A149" s="3">
        <v>1991</v>
      </c>
      <c r="B149" s="3" t="s">
        <v>441</v>
      </c>
      <c r="C149" s="191">
        <v>33512</v>
      </c>
      <c r="D149" s="192"/>
      <c r="E149" s="193"/>
      <c r="F149" s="193"/>
      <c r="G149" s="194"/>
      <c r="H149" s="193"/>
      <c r="I149" s="193"/>
      <c r="J149" s="229"/>
      <c r="K149" s="193"/>
      <c r="L149" s="195"/>
      <c r="M149" s="193"/>
      <c r="N149" s="229"/>
      <c r="O149" s="193"/>
      <c r="P149" s="3"/>
      <c r="Q149" s="196"/>
      <c r="R149" s="194"/>
      <c r="S149" s="193"/>
      <c r="T149" s="193"/>
      <c r="U149" s="197"/>
      <c r="V149" s="196"/>
      <c r="W149" s="196"/>
      <c r="X149" s="197"/>
      <c r="Y149" s="196"/>
      <c r="Z149" s="196"/>
      <c r="AA149" s="95"/>
      <c r="AB149" s="196"/>
      <c r="AC149" s="196"/>
      <c r="AD149" s="197"/>
      <c r="AE149" s="197">
        <f>VLOOKUP(B149,Reference!A:B,2,0)</f>
        <v>15298.7</v>
      </c>
    </row>
    <row r="150" spans="1:31">
      <c r="A150" s="3">
        <v>1991</v>
      </c>
      <c r="B150" s="3" t="s">
        <v>441</v>
      </c>
      <c r="C150" s="191">
        <v>33543</v>
      </c>
      <c r="D150" s="192"/>
      <c r="E150" s="193"/>
      <c r="F150" s="193"/>
      <c r="G150" s="194"/>
      <c r="H150" s="193"/>
      <c r="I150" s="193"/>
      <c r="J150" s="229"/>
      <c r="K150" s="193"/>
      <c r="L150" s="195"/>
      <c r="M150" s="193"/>
      <c r="N150" s="229"/>
      <c r="O150" s="193"/>
      <c r="P150" s="3"/>
      <c r="Q150" s="196"/>
      <c r="R150" s="194"/>
      <c r="S150" s="193"/>
      <c r="T150" s="193"/>
      <c r="U150" s="197"/>
      <c r="V150" s="196"/>
      <c r="W150" s="196"/>
      <c r="X150" s="197"/>
      <c r="Y150" s="196"/>
      <c r="Z150" s="196"/>
      <c r="AA150" s="95"/>
      <c r="AB150" s="196"/>
      <c r="AC150" s="196"/>
      <c r="AD150" s="197"/>
      <c r="AE150" s="197">
        <f>VLOOKUP(B150,Reference!A:B,2,0)</f>
        <v>15298.7</v>
      </c>
    </row>
    <row r="151" spans="1:31">
      <c r="A151" s="3">
        <v>1991</v>
      </c>
      <c r="B151" s="3" t="s">
        <v>441</v>
      </c>
      <c r="C151" s="191">
        <v>33573</v>
      </c>
      <c r="D151" s="192"/>
      <c r="E151" s="193"/>
      <c r="F151" s="193"/>
      <c r="G151" s="194"/>
      <c r="H151" s="193"/>
      <c r="I151" s="193"/>
      <c r="J151" s="229"/>
      <c r="K151" s="193"/>
      <c r="L151" s="195"/>
      <c r="M151" s="193"/>
      <c r="N151" s="229"/>
      <c r="O151" s="193"/>
      <c r="P151" s="3"/>
      <c r="Q151" s="196"/>
      <c r="R151" s="194"/>
      <c r="S151" s="193"/>
      <c r="T151" s="193"/>
      <c r="U151" s="197"/>
      <c r="V151" s="196"/>
      <c r="W151" s="196"/>
      <c r="X151" s="197"/>
      <c r="Y151" s="196"/>
      <c r="Z151" s="196"/>
      <c r="AA151" s="95"/>
      <c r="AB151" s="196"/>
      <c r="AC151" s="196"/>
      <c r="AD151" s="197"/>
      <c r="AE151" s="197">
        <f>VLOOKUP(B151,Reference!A:B,2,0)</f>
        <v>15298.7</v>
      </c>
    </row>
    <row r="152" spans="1:31">
      <c r="A152" s="3">
        <v>1992</v>
      </c>
      <c r="B152" s="3" t="s">
        <v>441</v>
      </c>
      <c r="C152" s="191">
        <v>33604</v>
      </c>
      <c r="D152" s="192"/>
      <c r="E152" s="193"/>
      <c r="F152" s="193"/>
      <c r="G152" s="194"/>
      <c r="H152" s="193"/>
      <c r="I152" s="193"/>
      <c r="J152" s="229"/>
      <c r="K152" s="193"/>
      <c r="L152" s="195"/>
      <c r="M152" s="193"/>
      <c r="N152" s="229"/>
      <c r="O152" s="193"/>
      <c r="P152" s="3"/>
      <c r="Q152" s="196"/>
      <c r="R152" s="194"/>
      <c r="S152" s="193"/>
      <c r="T152" s="193"/>
      <c r="U152" s="197"/>
      <c r="V152" s="196"/>
      <c r="W152" s="196"/>
      <c r="X152" s="197"/>
      <c r="Y152" s="196"/>
      <c r="Z152" s="196"/>
      <c r="AA152" s="95"/>
      <c r="AB152" s="196"/>
      <c r="AC152" s="196"/>
      <c r="AD152" s="197"/>
      <c r="AE152" s="197">
        <f>VLOOKUP(B152,Reference!A:B,2,0)</f>
        <v>15298.7</v>
      </c>
    </row>
    <row r="153" spans="1:31">
      <c r="A153" s="3">
        <v>1992</v>
      </c>
      <c r="B153" s="3" t="s">
        <v>441</v>
      </c>
      <c r="C153" s="191">
        <v>33635</v>
      </c>
      <c r="D153" s="192"/>
      <c r="E153" s="193"/>
      <c r="F153" s="193"/>
      <c r="G153" s="194"/>
      <c r="H153" s="193"/>
      <c r="I153" s="193"/>
      <c r="J153" s="229"/>
      <c r="K153" s="193"/>
      <c r="L153" s="195"/>
      <c r="M153" s="193"/>
      <c r="N153" s="229"/>
      <c r="O153" s="193"/>
      <c r="P153" s="3"/>
      <c r="Q153" s="196"/>
      <c r="R153" s="194"/>
      <c r="S153" s="193"/>
      <c r="T153" s="193"/>
      <c r="U153" s="197"/>
      <c r="V153" s="196"/>
      <c r="W153" s="196"/>
      <c r="X153" s="197"/>
      <c r="Y153" s="196"/>
      <c r="Z153" s="196"/>
      <c r="AA153" s="95"/>
      <c r="AB153" s="196"/>
      <c r="AC153" s="196"/>
      <c r="AD153" s="197"/>
      <c r="AE153" s="197">
        <f>VLOOKUP(B153,Reference!A:B,2,0)</f>
        <v>15298.7</v>
      </c>
    </row>
    <row r="154" spans="1:31">
      <c r="A154" s="3">
        <v>1992</v>
      </c>
      <c r="B154" s="3" t="s">
        <v>441</v>
      </c>
      <c r="C154" s="191">
        <v>33664</v>
      </c>
      <c r="D154" s="192"/>
      <c r="E154" s="193"/>
      <c r="F154" s="193"/>
      <c r="G154" s="194"/>
      <c r="H154" s="193"/>
      <c r="I154" s="193"/>
      <c r="J154" s="229"/>
      <c r="K154" s="193"/>
      <c r="L154" s="195"/>
      <c r="M154" s="193"/>
      <c r="N154" s="229"/>
      <c r="O154" s="193"/>
      <c r="P154" s="3"/>
      <c r="Q154" s="196"/>
      <c r="R154" s="194"/>
      <c r="S154" s="193"/>
      <c r="T154" s="193"/>
      <c r="U154" s="197"/>
      <c r="V154" s="196"/>
      <c r="W154" s="196"/>
      <c r="X154" s="197"/>
      <c r="Y154" s="196"/>
      <c r="Z154" s="196"/>
      <c r="AA154" s="95"/>
      <c r="AB154" s="196"/>
      <c r="AC154" s="196"/>
      <c r="AD154" s="197"/>
      <c r="AE154" s="197">
        <f>VLOOKUP(B154,Reference!A:B,2,0)</f>
        <v>15298.7</v>
      </c>
    </row>
    <row r="155" spans="1:31">
      <c r="A155" s="3">
        <v>1992</v>
      </c>
      <c r="B155" s="3" t="s">
        <v>441</v>
      </c>
      <c r="C155" s="191">
        <v>33695</v>
      </c>
      <c r="D155" s="192"/>
      <c r="E155" s="193"/>
      <c r="F155" s="193"/>
      <c r="G155" s="194"/>
      <c r="H155" s="193"/>
      <c r="I155" s="193"/>
      <c r="J155" s="229"/>
      <c r="K155" s="193"/>
      <c r="L155" s="195"/>
      <c r="M155" s="193"/>
      <c r="N155" s="229"/>
      <c r="O155" s="193"/>
      <c r="P155" s="3"/>
      <c r="Q155" s="196"/>
      <c r="R155" s="194"/>
      <c r="S155" s="193"/>
      <c r="T155" s="193"/>
      <c r="U155" s="197"/>
      <c r="V155" s="196"/>
      <c r="W155" s="196"/>
      <c r="X155" s="197"/>
      <c r="Y155" s="196"/>
      <c r="Z155" s="196"/>
      <c r="AA155" s="95"/>
      <c r="AB155" s="196"/>
      <c r="AC155" s="196"/>
      <c r="AD155" s="197"/>
      <c r="AE155" s="197">
        <f>VLOOKUP(B155,Reference!A:B,2,0)</f>
        <v>15298.7</v>
      </c>
    </row>
    <row r="156" spans="1:31">
      <c r="A156" s="3">
        <v>1992</v>
      </c>
      <c r="B156" s="3" t="s">
        <v>441</v>
      </c>
      <c r="C156" s="191">
        <v>33725</v>
      </c>
      <c r="D156" s="192"/>
      <c r="E156" s="193"/>
      <c r="F156" s="193"/>
      <c r="G156" s="194"/>
      <c r="H156" s="193"/>
      <c r="I156" s="193"/>
      <c r="J156" s="229"/>
      <c r="K156" s="193"/>
      <c r="L156" s="195"/>
      <c r="M156" s="193"/>
      <c r="N156" s="229"/>
      <c r="O156" s="193"/>
      <c r="P156" s="3"/>
      <c r="Q156" s="196"/>
      <c r="R156" s="194"/>
      <c r="S156" s="193"/>
      <c r="T156" s="193"/>
      <c r="U156" s="197"/>
      <c r="V156" s="196"/>
      <c r="W156" s="196"/>
      <c r="X156" s="197"/>
      <c r="Y156" s="196"/>
      <c r="Z156" s="196"/>
      <c r="AA156" s="95"/>
      <c r="AB156" s="196"/>
      <c r="AC156" s="196"/>
      <c r="AD156" s="197"/>
      <c r="AE156" s="197">
        <f>VLOOKUP(B156,Reference!A:B,2,0)</f>
        <v>15298.7</v>
      </c>
    </row>
    <row r="157" spans="1:31">
      <c r="A157" s="3">
        <v>1992</v>
      </c>
      <c r="B157" s="3" t="s">
        <v>441</v>
      </c>
      <c r="C157" s="191">
        <v>33756</v>
      </c>
      <c r="D157" s="192"/>
      <c r="E157" s="193"/>
      <c r="F157" s="193"/>
      <c r="G157" s="194"/>
      <c r="H157" s="193"/>
      <c r="I157" s="193"/>
      <c r="J157" s="229"/>
      <c r="K157" s="193"/>
      <c r="L157" s="195"/>
      <c r="M157" s="193"/>
      <c r="N157" s="229"/>
      <c r="O157" s="193"/>
      <c r="P157" s="3"/>
      <c r="Q157" s="196"/>
      <c r="R157" s="194"/>
      <c r="S157" s="193"/>
      <c r="T157" s="193"/>
      <c r="U157" s="197"/>
      <c r="V157" s="196"/>
      <c r="W157" s="196"/>
      <c r="X157" s="197"/>
      <c r="Y157" s="196"/>
      <c r="Z157" s="196"/>
      <c r="AA157" s="95"/>
      <c r="AB157" s="196"/>
      <c r="AC157" s="196"/>
      <c r="AD157" s="197"/>
      <c r="AE157" s="197">
        <f>VLOOKUP(B157,Reference!A:B,2,0)</f>
        <v>15298.7</v>
      </c>
    </row>
    <row r="158" spans="1:31">
      <c r="A158" s="3">
        <v>1992</v>
      </c>
      <c r="B158" s="3" t="s">
        <v>442</v>
      </c>
      <c r="C158" s="191">
        <v>33786</v>
      </c>
      <c r="D158" s="192"/>
      <c r="E158" s="193"/>
      <c r="F158" s="193"/>
      <c r="G158" s="194"/>
      <c r="H158" s="193"/>
      <c r="I158" s="193"/>
      <c r="J158" s="229"/>
      <c r="K158" s="193"/>
      <c r="L158" s="195"/>
      <c r="M158" s="193"/>
      <c r="N158" s="229"/>
      <c r="O158" s="193"/>
      <c r="P158" s="3"/>
      <c r="Q158" s="196"/>
      <c r="R158" s="194"/>
      <c r="S158" s="193"/>
      <c r="T158" s="193"/>
      <c r="U158" s="197"/>
      <c r="V158" s="196"/>
      <c r="W158" s="196"/>
      <c r="X158" s="197"/>
      <c r="Y158" s="196"/>
      <c r="Z158" s="196"/>
      <c r="AA158" s="95"/>
      <c r="AB158" s="196"/>
      <c r="AC158" s="196"/>
      <c r="AD158" s="197"/>
      <c r="AE158" s="197">
        <f>VLOOKUP(B158,Reference!A:B,2,0)</f>
        <v>14484.8</v>
      </c>
    </row>
    <row r="159" spans="1:31">
      <c r="A159" s="3">
        <v>1992</v>
      </c>
      <c r="B159" s="3" t="s">
        <v>442</v>
      </c>
      <c r="C159" s="191">
        <v>33817</v>
      </c>
      <c r="D159" s="192"/>
      <c r="E159" s="193"/>
      <c r="F159" s="193"/>
      <c r="G159" s="194"/>
      <c r="H159" s="193"/>
      <c r="I159" s="193"/>
      <c r="J159" s="229"/>
      <c r="K159" s="193"/>
      <c r="L159" s="195"/>
      <c r="M159" s="193"/>
      <c r="N159" s="229"/>
      <c r="O159" s="193"/>
      <c r="P159" s="3"/>
      <c r="Q159" s="196"/>
      <c r="R159" s="194"/>
      <c r="S159" s="193"/>
      <c r="T159" s="193"/>
      <c r="U159" s="197"/>
      <c r="V159" s="196"/>
      <c r="W159" s="196"/>
      <c r="X159" s="197"/>
      <c r="Y159" s="196"/>
      <c r="Z159" s="196"/>
      <c r="AA159" s="95"/>
      <c r="AB159" s="196"/>
      <c r="AC159" s="196"/>
      <c r="AD159" s="197"/>
      <c r="AE159" s="197">
        <f>VLOOKUP(B159,Reference!A:B,2,0)</f>
        <v>14484.8</v>
      </c>
    </row>
    <row r="160" spans="1:31">
      <c r="A160" s="3">
        <v>1992</v>
      </c>
      <c r="B160" s="3" t="s">
        <v>442</v>
      </c>
      <c r="C160" s="191">
        <v>33848</v>
      </c>
      <c r="D160" s="192"/>
      <c r="E160" s="193"/>
      <c r="F160" s="193"/>
      <c r="G160" s="194"/>
      <c r="H160" s="193"/>
      <c r="I160" s="193"/>
      <c r="J160" s="229"/>
      <c r="K160" s="193"/>
      <c r="L160" s="195"/>
      <c r="M160" s="193"/>
      <c r="N160" s="229"/>
      <c r="O160" s="193"/>
      <c r="P160" s="3"/>
      <c r="Q160" s="196"/>
      <c r="R160" s="194"/>
      <c r="S160" s="193"/>
      <c r="T160" s="193"/>
      <c r="U160" s="197"/>
      <c r="V160" s="196"/>
      <c r="W160" s="196"/>
      <c r="X160" s="197"/>
      <c r="Y160" s="196"/>
      <c r="Z160" s="196"/>
      <c r="AA160" s="95"/>
      <c r="AB160" s="196"/>
      <c r="AC160" s="196"/>
      <c r="AD160" s="197"/>
      <c r="AE160" s="197">
        <f>VLOOKUP(B160,Reference!A:B,2,0)</f>
        <v>14484.8</v>
      </c>
    </row>
    <row r="161" spans="1:31">
      <c r="A161" s="3">
        <v>1992</v>
      </c>
      <c r="B161" s="3" t="s">
        <v>442</v>
      </c>
      <c r="C161" s="191">
        <v>33878</v>
      </c>
      <c r="D161" s="192"/>
      <c r="E161" s="193"/>
      <c r="F161" s="193"/>
      <c r="G161" s="194"/>
      <c r="H161" s="193"/>
      <c r="I161" s="193"/>
      <c r="J161" s="229"/>
      <c r="K161" s="193"/>
      <c r="L161" s="195"/>
      <c r="M161" s="193"/>
      <c r="N161" s="229"/>
      <c r="O161" s="193"/>
      <c r="P161" s="3"/>
      <c r="Q161" s="196"/>
      <c r="R161" s="194"/>
      <c r="S161" s="193"/>
      <c r="T161" s="193"/>
      <c r="U161" s="197"/>
      <c r="V161" s="196"/>
      <c r="W161" s="196"/>
      <c r="X161" s="197"/>
      <c r="Y161" s="196"/>
      <c r="Z161" s="196"/>
      <c r="AA161" s="95"/>
      <c r="AB161" s="196"/>
      <c r="AC161" s="196"/>
      <c r="AD161" s="197"/>
      <c r="AE161" s="197">
        <f>VLOOKUP(B161,Reference!A:B,2,0)</f>
        <v>14484.8</v>
      </c>
    </row>
    <row r="162" spans="1:31">
      <c r="A162" s="3">
        <v>1992</v>
      </c>
      <c r="B162" s="3" t="s">
        <v>442</v>
      </c>
      <c r="C162" s="191">
        <v>33909</v>
      </c>
      <c r="D162" s="192"/>
      <c r="E162" s="193"/>
      <c r="F162" s="193"/>
      <c r="G162" s="194"/>
      <c r="H162" s="193"/>
      <c r="I162" s="193"/>
      <c r="J162" s="229"/>
      <c r="K162" s="193"/>
      <c r="L162" s="195"/>
      <c r="M162" s="193"/>
      <c r="N162" s="229"/>
      <c r="O162" s="193"/>
      <c r="P162" s="3"/>
      <c r="Q162" s="196"/>
      <c r="R162" s="194"/>
      <c r="S162" s="193"/>
      <c r="T162" s="193"/>
      <c r="U162" s="197"/>
      <c r="V162" s="196"/>
      <c r="W162" s="196"/>
      <c r="X162" s="197"/>
      <c r="Y162" s="196"/>
      <c r="Z162" s="196"/>
      <c r="AA162" s="95"/>
      <c r="AB162" s="196"/>
      <c r="AC162" s="196"/>
      <c r="AD162" s="197"/>
      <c r="AE162" s="197">
        <f>VLOOKUP(B162,Reference!A:B,2,0)</f>
        <v>14484.8</v>
      </c>
    </row>
    <row r="163" spans="1:31">
      <c r="A163" s="3">
        <v>1992</v>
      </c>
      <c r="B163" s="3" t="s">
        <v>442</v>
      </c>
      <c r="C163" s="191">
        <v>33939</v>
      </c>
      <c r="D163" s="192"/>
      <c r="E163" s="193"/>
      <c r="F163" s="193"/>
      <c r="G163" s="194"/>
      <c r="H163" s="193"/>
      <c r="I163" s="193"/>
      <c r="J163" s="229"/>
      <c r="K163" s="193"/>
      <c r="L163" s="195"/>
      <c r="M163" s="193"/>
      <c r="N163" s="229"/>
      <c r="O163" s="193"/>
      <c r="P163" s="3"/>
      <c r="Q163" s="196"/>
      <c r="R163" s="194"/>
      <c r="S163" s="193"/>
      <c r="T163" s="193"/>
      <c r="U163" s="197"/>
      <c r="V163" s="196"/>
      <c r="W163" s="196"/>
      <c r="X163" s="197"/>
      <c r="Y163" s="196"/>
      <c r="Z163" s="196"/>
      <c r="AA163" s="95"/>
      <c r="AB163" s="196"/>
      <c r="AC163" s="196"/>
      <c r="AD163" s="197"/>
      <c r="AE163" s="197">
        <f>VLOOKUP(B163,Reference!A:B,2,0)</f>
        <v>14484.8</v>
      </c>
    </row>
    <row r="164" spans="1:31">
      <c r="A164" s="3">
        <v>1993</v>
      </c>
      <c r="B164" s="3" t="s">
        <v>442</v>
      </c>
      <c r="C164" s="191">
        <v>33970</v>
      </c>
      <c r="D164" s="192"/>
      <c r="E164" s="193"/>
      <c r="F164" s="193"/>
      <c r="G164" s="194"/>
      <c r="H164" s="193"/>
      <c r="I164" s="193"/>
      <c r="J164" s="229"/>
      <c r="K164" s="193"/>
      <c r="L164" s="195"/>
      <c r="M164" s="193"/>
      <c r="N164" s="229"/>
      <c r="O164" s="193"/>
      <c r="P164" s="3"/>
      <c r="Q164" s="196"/>
      <c r="R164" s="194"/>
      <c r="S164" s="193"/>
      <c r="T164" s="193"/>
      <c r="U164" s="197"/>
      <c r="V164" s="196"/>
      <c r="W164" s="196"/>
      <c r="X164" s="197"/>
      <c r="Y164" s="196"/>
      <c r="Z164" s="196"/>
      <c r="AA164" s="95"/>
      <c r="AB164" s="196"/>
      <c r="AC164" s="196"/>
      <c r="AD164" s="197"/>
      <c r="AE164" s="197">
        <f>VLOOKUP(B164,Reference!A:B,2,0)</f>
        <v>14484.8</v>
      </c>
    </row>
    <row r="165" spans="1:31">
      <c r="A165" s="3">
        <v>1993</v>
      </c>
      <c r="B165" s="3" t="s">
        <v>442</v>
      </c>
      <c r="C165" s="191">
        <v>34001</v>
      </c>
      <c r="D165" s="192"/>
      <c r="E165" s="193"/>
      <c r="F165" s="193"/>
      <c r="G165" s="194"/>
      <c r="H165" s="193"/>
      <c r="I165" s="193"/>
      <c r="J165" s="229"/>
      <c r="K165" s="193"/>
      <c r="L165" s="195"/>
      <c r="M165" s="193"/>
      <c r="N165" s="229"/>
      <c r="O165" s="193"/>
      <c r="P165" s="3"/>
      <c r="Q165" s="196"/>
      <c r="R165" s="194"/>
      <c r="S165" s="193"/>
      <c r="T165" s="193"/>
      <c r="U165" s="197"/>
      <c r="V165" s="196"/>
      <c r="W165" s="196"/>
      <c r="X165" s="197"/>
      <c r="Y165" s="196"/>
      <c r="Z165" s="196"/>
      <c r="AA165" s="95"/>
      <c r="AB165" s="196"/>
      <c r="AC165" s="196"/>
      <c r="AD165" s="197"/>
      <c r="AE165" s="197">
        <f>VLOOKUP(B165,Reference!A:B,2,0)</f>
        <v>14484.8</v>
      </c>
    </row>
    <row r="166" spans="1:31">
      <c r="A166" s="3">
        <v>1993</v>
      </c>
      <c r="B166" s="3" t="s">
        <v>442</v>
      </c>
      <c r="C166" s="191">
        <v>34029</v>
      </c>
      <c r="D166" s="192"/>
      <c r="E166" s="193"/>
      <c r="F166" s="193"/>
      <c r="G166" s="194"/>
      <c r="H166" s="193"/>
      <c r="I166" s="193"/>
      <c r="J166" s="229"/>
      <c r="K166" s="193"/>
      <c r="L166" s="195"/>
      <c r="M166" s="193"/>
      <c r="N166" s="229"/>
      <c r="O166" s="193"/>
      <c r="P166" s="3"/>
      <c r="Q166" s="196"/>
      <c r="R166" s="194"/>
      <c r="S166" s="193"/>
      <c r="T166" s="193"/>
      <c r="U166" s="197"/>
      <c r="V166" s="196"/>
      <c r="W166" s="196"/>
      <c r="X166" s="197"/>
      <c r="Y166" s="196"/>
      <c r="Z166" s="196"/>
      <c r="AA166" s="95"/>
      <c r="AB166" s="196"/>
      <c r="AC166" s="196"/>
      <c r="AD166" s="197"/>
      <c r="AE166" s="197">
        <f>VLOOKUP(B166,Reference!A:B,2,0)</f>
        <v>14484.8</v>
      </c>
    </row>
    <row r="167" spans="1:31">
      <c r="A167" s="3">
        <v>1993</v>
      </c>
      <c r="B167" s="3" t="s">
        <v>442</v>
      </c>
      <c r="C167" s="191">
        <v>34060</v>
      </c>
      <c r="D167" s="192"/>
      <c r="E167" s="193"/>
      <c r="F167" s="193"/>
      <c r="G167" s="194"/>
      <c r="H167" s="193"/>
      <c r="I167" s="193"/>
      <c r="J167" s="229"/>
      <c r="K167" s="193"/>
      <c r="L167" s="195"/>
      <c r="M167" s="193"/>
      <c r="N167" s="229"/>
      <c r="O167" s="193"/>
      <c r="P167" s="3"/>
      <c r="Q167" s="196"/>
      <c r="R167" s="194"/>
      <c r="S167" s="193"/>
      <c r="T167" s="193"/>
      <c r="U167" s="197"/>
      <c r="V167" s="196"/>
      <c r="W167" s="196"/>
      <c r="X167" s="197"/>
      <c r="Y167" s="196"/>
      <c r="Z167" s="196"/>
      <c r="AA167" s="95"/>
      <c r="AB167" s="196"/>
      <c r="AC167" s="196"/>
      <c r="AD167" s="197"/>
      <c r="AE167" s="197">
        <f>VLOOKUP(B167,Reference!A:B,2,0)</f>
        <v>14484.8</v>
      </c>
    </row>
    <row r="168" spans="1:31">
      <c r="A168" s="3">
        <v>1993</v>
      </c>
      <c r="B168" s="3" t="s">
        <v>442</v>
      </c>
      <c r="C168" s="191">
        <v>34090</v>
      </c>
      <c r="D168" s="192"/>
      <c r="E168" s="193"/>
      <c r="F168" s="193"/>
      <c r="G168" s="194"/>
      <c r="H168" s="193"/>
      <c r="I168" s="193"/>
      <c r="J168" s="229"/>
      <c r="K168" s="193"/>
      <c r="L168" s="195"/>
      <c r="M168" s="193"/>
      <c r="N168" s="229"/>
      <c r="O168" s="193"/>
      <c r="P168" s="3"/>
      <c r="Q168" s="196"/>
      <c r="R168" s="194"/>
      <c r="S168" s="193"/>
      <c r="T168" s="193"/>
      <c r="U168" s="197"/>
      <c r="V168" s="196"/>
      <c r="W168" s="196"/>
      <c r="X168" s="197"/>
      <c r="Y168" s="196"/>
      <c r="Z168" s="196"/>
      <c r="AA168" s="95"/>
      <c r="AB168" s="196"/>
      <c r="AC168" s="196"/>
      <c r="AD168" s="197"/>
      <c r="AE168" s="197">
        <f>VLOOKUP(B168,Reference!A:B,2,0)</f>
        <v>14484.8</v>
      </c>
    </row>
    <row r="169" spans="1:31">
      <c r="A169" s="3">
        <v>1993</v>
      </c>
      <c r="B169" s="3" t="s">
        <v>442</v>
      </c>
      <c r="C169" s="191">
        <v>34121</v>
      </c>
      <c r="D169" s="192"/>
      <c r="E169" s="193"/>
      <c r="F169" s="193"/>
      <c r="G169" s="194"/>
      <c r="H169" s="193"/>
      <c r="I169" s="193"/>
      <c r="J169" s="229"/>
      <c r="K169" s="193"/>
      <c r="L169" s="195"/>
      <c r="M169" s="193"/>
      <c r="N169" s="229"/>
      <c r="O169" s="193"/>
      <c r="P169" s="3"/>
      <c r="Q169" s="196"/>
      <c r="R169" s="194"/>
      <c r="S169" s="193"/>
      <c r="T169" s="193"/>
      <c r="U169" s="197"/>
      <c r="V169" s="196"/>
      <c r="W169" s="196"/>
      <c r="X169" s="197"/>
      <c r="Y169" s="196"/>
      <c r="Z169" s="196"/>
      <c r="AA169" s="95"/>
      <c r="AB169" s="196"/>
      <c r="AC169" s="196"/>
      <c r="AD169" s="197"/>
      <c r="AE169" s="197">
        <f>VLOOKUP(B169,Reference!A:B,2,0)</f>
        <v>14484.8</v>
      </c>
    </row>
    <row r="170" spans="1:31">
      <c r="A170" s="3">
        <v>1993</v>
      </c>
      <c r="B170" s="3" t="s">
        <v>443</v>
      </c>
      <c r="C170" s="191">
        <v>34151</v>
      </c>
      <c r="D170" s="192">
        <v>2878672</v>
      </c>
      <c r="E170" s="193">
        <v>246072.94</v>
      </c>
      <c r="F170" s="227">
        <f t="shared" ref="F170:F233" si="12">IF(D170=0,0,E170/D170)</f>
        <v>8.548140948326173E-2</v>
      </c>
      <c r="G170" s="194">
        <v>13115</v>
      </c>
      <c r="H170" s="193">
        <v>7706.54</v>
      </c>
      <c r="I170" s="193">
        <f t="shared" ref="I170:I233" si="13">IF(G170=0,0,H170/G170)</f>
        <v>0.58761265726267631</v>
      </c>
      <c r="J170" s="229"/>
      <c r="K170" s="193"/>
      <c r="L170" s="195"/>
      <c r="M170" s="193"/>
      <c r="N170" s="229"/>
      <c r="O170" s="193"/>
      <c r="P170" s="3"/>
      <c r="Q170" s="196"/>
      <c r="R170" s="194">
        <v>0</v>
      </c>
      <c r="S170" s="193">
        <v>0</v>
      </c>
      <c r="T170" s="193">
        <f t="shared" ref="T170:T181" si="14">IF(R170=0,0,S170/R170)</f>
        <v>0</v>
      </c>
      <c r="U170" s="197">
        <v>17815</v>
      </c>
      <c r="V170" s="196">
        <v>29550.07</v>
      </c>
      <c r="W170" s="196">
        <f>V170/U170</f>
        <v>1.6587184956497334</v>
      </c>
      <c r="X170" s="197">
        <v>10520</v>
      </c>
      <c r="Y170" s="196">
        <v>31721.33</v>
      </c>
      <c r="Z170" s="196">
        <f>Y170/X170</f>
        <v>3.0153355513307987</v>
      </c>
      <c r="AA170" s="95"/>
      <c r="AB170" s="193">
        <v>0</v>
      </c>
      <c r="AC170" s="193"/>
      <c r="AD170" s="197">
        <v>2101447.9300000002</v>
      </c>
      <c r="AE170" s="197">
        <f>VLOOKUP(B170,Reference!A:B,2,0)</f>
        <v>13514.6</v>
      </c>
    </row>
    <row r="171" spans="1:31">
      <c r="A171" s="3">
        <v>1993</v>
      </c>
      <c r="B171" s="3" t="s">
        <v>443</v>
      </c>
      <c r="C171" s="191">
        <v>34182</v>
      </c>
      <c r="D171" s="192">
        <v>2822824</v>
      </c>
      <c r="E171" s="193">
        <v>249098.29</v>
      </c>
      <c r="F171" s="227">
        <f t="shared" si="12"/>
        <v>8.8244357423629669E-2</v>
      </c>
      <c r="G171" s="194">
        <v>9635</v>
      </c>
      <c r="H171" s="193">
        <v>8882.5</v>
      </c>
      <c r="I171" s="193">
        <f t="shared" si="13"/>
        <v>0.92189932537623254</v>
      </c>
      <c r="J171" s="229"/>
      <c r="K171" s="193"/>
      <c r="L171" s="195"/>
      <c r="M171" s="193"/>
      <c r="N171" s="229"/>
      <c r="O171" s="193"/>
      <c r="P171" s="3"/>
      <c r="Q171" s="196"/>
      <c r="R171" s="194">
        <v>0</v>
      </c>
      <c r="S171" s="193">
        <v>0</v>
      </c>
      <c r="T171" s="193">
        <f t="shared" si="14"/>
        <v>0</v>
      </c>
      <c r="U171" s="197">
        <v>15790</v>
      </c>
      <c r="V171" s="196">
        <v>26277.02</v>
      </c>
      <c r="W171" s="196">
        <f t="shared" ref="W171:W205" si="15">V171/U171</f>
        <v>1.6641557948068397</v>
      </c>
      <c r="X171" s="197">
        <v>9323</v>
      </c>
      <c r="Y171" s="196">
        <v>29265.03</v>
      </c>
      <c r="Z171" s="196">
        <f t="shared" ref="Z171:Z234" si="16">Y171/X171</f>
        <v>3.1390142657942719</v>
      </c>
      <c r="AA171" s="95"/>
      <c r="AB171" s="193">
        <v>0</v>
      </c>
      <c r="AC171" s="193"/>
      <c r="AD171" s="197">
        <v>2101447.9300000002</v>
      </c>
      <c r="AE171" s="197">
        <f>VLOOKUP(B171,Reference!A:B,2,0)</f>
        <v>13514.6</v>
      </c>
    </row>
    <row r="172" spans="1:31">
      <c r="A172" s="3">
        <v>1993</v>
      </c>
      <c r="B172" s="3" t="s">
        <v>443</v>
      </c>
      <c r="C172" s="191">
        <v>34213</v>
      </c>
      <c r="D172" s="192">
        <v>2822754</v>
      </c>
      <c r="E172" s="193">
        <v>249046.72</v>
      </c>
      <c r="F172" s="227">
        <f t="shared" si="12"/>
        <v>8.8228276357061222E-2</v>
      </c>
      <c r="G172" s="194">
        <v>9716</v>
      </c>
      <c r="H172" s="193">
        <v>9053.58</v>
      </c>
      <c r="I172" s="193">
        <f t="shared" si="13"/>
        <v>0.93182173734046936</v>
      </c>
      <c r="J172" s="229"/>
      <c r="K172" s="193"/>
      <c r="L172" s="195"/>
      <c r="M172" s="193"/>
      <c r="N172" s="229"/>
      <c r="O172" s="193"/>
      <c r="P172" s="3"/>
      <c r="Q172" s="196"/>
      <c r="R172" s="194">
        <v>0</v>
      </c>
      <c r="S172" s="193">
        <v>0</v>
      </c>
      <c r="T172" s="193">
        <f t="shared" si="14"/>
        <v>0</v>
      </c>
      <c r="U172" s="197">
        <v>21649</v>
      </c>
      <c r="V172" s="196">
        <v>45053.27</v>
      </c>
      <c r="W172" s="196">
        <f t="shared" si="15"/>
        <v>2.0810785717585105</v>
      </c>
      <c r="X172" s="197">
        <v>20359</v>
      </c>
      <c r="Y172" s="196">
        <v>41736.5</v>
      </c>
      <c r="Z172" s="196">
        <f t="shared" si="16"/>
        <v>2.0500270150793263</v>
      </c>
      <c r="AA172" s="95"/>
      <c r="AB172" s="193">
        <v>0</v>
      </c>
      <c r="AC172" s="193"/>
      <c r="AD172" s="197">
        <v>2101447.9300000002</v>
      </c>
      <c r="AE172" s="197">
        <f>VLOOKUP(B172,Reference!A:B,2,0)</f>
        <v>13514.6</v>
      </c>
    </row>
    <row r="173" spans="1:31">
      <c r="A173" s="3">
        <v>1993</v>
      </c>
      <c r="B173" s="3" t="s">
        <v>443</v>
      </c>
      <c r="C173" s="191">
        <v>34243</v>
      </c>
      <c r="D173" s="192">
        <v>2562061</v>
      </c>
      <c r="E173" s="193">
        <v>227832.02</v>
      </c>
      <c r="F173" s="227">
        <f t="shared" si="12"/>
        <v>8.892529100595184E-2</v>
      </c>
      <c r="G173" s="194">
        <v>14935</v>
      </c>
      <c r="H173" s="193">
        <v>7456.92</v>
      </c>
      <c r="I173" s="193">
        <f t="shared" si="13"/>
        <v>0.49929159691998659</v>
      </c>
      <c r="J173" s="229"/>
      <c r="K173" s="193"/>
      <c r="L173" s="195"/>
      <c r="M173" s="193"/>
      <c r="N173" s="229"/>
      <c r="O173" s="193"/>
      <c r="P173" s="3"/>
      <c r="Q173" s="196"/>
      <c r="R173" s="194">
        <v>0</v>
      </c>
      <c r="S173" s="193">
        <v>0</v>
      </c>
      <c r="T173" s="193">
        <f t="shared" si="14"/>
        <v>0</v>
      </c>
      <c r="U173" s="197">
        <v>18612</v>
      </c>
      <c r="V173" s="196">
        <v>30242.74</v>
      </c>
      <c r="W173" s="196">
        <f t="shared" si="15"/>
        <v>1.624905437352246</v>
      </c>
      <c r="X173" s="197">
        <v>17051</v>
      </c>
      <c r="Y173" s="196">
        <v>20640.66</v>
      </c>
      <c r="Z173" s="196">
        <f t="shared" si="16"/>
        <v>1.2105248959005337</v>
      </c>
      <c r="AA173" s="95"/>
      <c r="AB173" s="193">
        <v>0</v>
      </c>
      <c r="AC173" s="193"/>
      <c r="AD173" s="197">
        <v>2101447.9300000002</v>
      </c>
      <c r="AE173" s="197">
        <f>VLOOKUP(B173,Reference!A:B,2,0)</f>
        <v>13514.6</v>
      </c>
    </row>
    <row r="174" spans="1:31">
      <c r="A174" s="3">
        <v>1993</v>
      </c>
      <c r="B174" s="3" t="s">
        <v>443</v>
      </c>
      <c r="C174" s="191">
        <v>34274</v>
      </c>
      <c r="D174" s="192">
        <v>2542611</v>
      </c>
      <c r="E174" s="193">
        <v>218467.74</v>
      </c>
      <c r="F174" s="227">
        <f t="shared" si="12"/>
        <v>8.592259688957532E-2</v>
      </c>
      <c r="G174" s="194">
        <v>35687</v>
      </c>
      <c r="H174" s="193">
        <v>19289.59</v>
      </c>
      <c r="I174" s="193">
        <f t="shared" si="13"/>
        <v>0.54052147840950482</v>
      </c>
      <c r="J174" s="229"/>
      <c r="K174" s="193"/>
      <c r="L174" s="195"/>
      <c r="M174" s="193"/>
      <c r="N174" s="229"/>
      <c r="O174" s="193"/>
      <c r="P174" s="3"/>
      <c r="Q174" s="196"/>
      <c r="R174" s="194">
        <v>0</v>
      </c>
      <c r="S174" s="193">
        <v>0</v>
      </c>
      <c r="T174" s="193">
        <f t="shared" si="14"/>
        <v>0</v>
      </c>
      <c r="U174" s="197">
        <v>12099</v>
      </c>
      <c r="V174" s="196">
        <v>15273.83</v>
      </c>
      <c r="W174" s="196">
        <f t="shared" si="15"/>
        <v>1.262404330936441</v>
      </c>
      <c r="X174" s="197">
        <v>12099</v>
      </c>
      <c r="Y174" s="196">
        <v>14650.1</v>
      </c>
      <c r="Z174" s="196">
        <f t="shared" si="16"/>
        <v>1.2108521365402101</v>
      </c>
      <c r="AA174" s="95"/>
      <c r="AB174" s="193">
        <v>0</v>
      </c>
      <c r="AC174" s="193"/>
      <c r="AD174" s="197">
        <v>2101447.9300000002</v>
      </c>
      <c r="AE174" s="197">
        <f>VLOOKUP(B174,Reference!A:B,2,0)</f>
        <v>13514.6</v>
      </c>
    </row>
    <row r="175" spans="1:31">
      <c r="A175" s="3">
        <v>1993</v>
      </c>
      <c r="B175" s="3" t="s">
        <v>443</v>
      </c>
      <c r="C175" s="191">
        <v>34304</v>
      </c>
      <c r="D175" s="192">
        <v>2215114</v>
      </c>
      <c r="E175" s="193">
        <v>186861.77</v>
      </c>
      <c r="F175" s="227">
        <f t="shared" si="12"/>
        <v>8.4357631255095669E-2</v>
      </c>
      <c r="G175" s="194">
        <v>83419</v>
      </c>
      <c r="H175" s="193">
        <v>31887.200000000001</v>
      </c>
      <c r="I175" s="193">
        <f t="shared" si="13"/>
        <v>0.38225344346012302</v>
      </c>
      <c r="J175" s="229"/>
      <c r="K175" s="193"/>
      <c r="L175" s="195"/>
      <c r="M175" s="193"/>
      <c r="N175" s="229"/>
      <c r="O175" s="193"/>
      <c r="P175" s="3"/>
      <c r="Q175" s="196"/>
      <c r="R175" s="194">
        <v>0</v>
      </c>
      <c r="S175" s="193">
        <v>0</v>
      </c>
      <c r="T175" s="193">
        <f t="shared" si="14"/>
        <v>0</v>
      </c>
      <c r="U175" s="197">
        <v>11239</v>
      </c>
      <c r="V175" s="196">
        <v>14473.43</v>
      </c>
      <c r="W175" s="196">
        <f t="shared" si="15"/>
        <v>1.2877862799181423</v>
      </c>
      <c r="X175" s="197">
        <v>12091</v>
      </c>
      <c r="Y175" s="196">
        <v>14633.83</v>
      </c>
      <c r="Z175" s="196">
        <f t="shared" si="16"/>
        <v>1.2103076668596477</v>
      </c>
      <c r="AA175" s="95"/>
      <c r="AB175" s="193">
        <v>0</v>
      </c>
      <c r="AC175" s="193"/>
      <c r="AD175" s="197">
        <v>2101447.9300000002</v>
      </c>
      <c r="AE175" s="197">
        <f>VLOOKUP(B175,Reference!A:B,2,0)</f>
        <v>13514.6</v>
      </c>
    </row>
    <row r="176" spans="1:31">
      <c r="A176" s="3">
        <v>1994</v>
      </c>
      <c r="B176" s="3" t="s">
        <v>443</v>
      </c>
      <c r="C176" s="191">
        <v>34335</v>
      </c>
      <c r="D176" s="192">
        <v>2422989</v>
      </c>
      <c r="E176" s="193">
        <v>205703.55</v>
      </c>
      <c r="F176" s="227">
        <f t="shared" si="12"/>
        <v>8.4896609105530402E-2</v>
      </c>
      <c r="G176" s="194">
        <v>107594</v>
      </c>
      <c r="H176" s="193">
        <v>32403.37</v>
      </c>
      <c r="I176" s="193">
        <f t="shared" si="13"/>
        <v>0.30116335483391266</v>
      </c>
      <c r="J176" s="229"/>
      <c r="K176" s="193"/>
      <c r="L176" s="195"/>
      <c r="M176" s="193"/>
      <c r="N176" s="229"/>
      <c r="O176" s="193"/>
      <c r="P176" s="3"/>
      <c r="Q176" s="196"/>
      <c r="R176" s="194">
        <v>0</v>
      </c>
      <c r="S176" s="193">
        <v>0</v>
      </c>
      <c r="T176" s="193">
        <f t="shared" si="14"/>
        <v>0</v>
      </c>
      <c r="U176" s="197">
        <v>6604</v>
      </c>
      <c r="V176" s="196">
        <v>8738.98</v>
      </c>
      <c r="W176" s="196">
        <f t="shared" si="15"/>
        <v>1.3232858873410054</v>
      </c>
      <c r="X176" s="197">
        <v>12631</v>
      </c>
      <c r="Y176" s="196">
        <v>15295.23</v>
      </c>
      <c r="Z176" s="196">
        <f t="shared" si="16"/>
        <v>1.2109278758609769</v>
      </c>
      <c r="AA176" s="95"/>
      <c r="AB176" s="193">
        <v>0</v>
      </c>
      <c r="AC176" s="193"/>
      <c r="AD176" s="197">
        <v>2101447.9300000002</v>
      </c>
      <c r="AE176" s="197">
        <f>VLOOKUP(B176,Reference!A:B,2,0)</f>
        <v>13514.6</v>
      </c>
    </row>
    <row r="177" spans="1:31">
      <c r="A177" s="3">
        <v>1994</v>
      </c>
      <c r="B177" s="3" t="s">
        <v>443</v>
      </c>
      <c r="C177" s="191">
        <v>34366</v>
      </c>
      <c r="D177" s="192">
        <v>2474326</v>
      </c>
      <c r="E177" s="193">
        <v>207468.67</v>
      </c>
      <c r="F177" s="227">
        <f t="shared" si="12"/>
        <v>8.3848559163182221E-2</v>
      </c>
      <c r="G177" s="194">
        <v>107594</v>
      </c>
      <c r="H177" s="193">
        <v>32403.37</v>
      </c>
      <c r="I177" s="193">
        <f t="shared" si="13"/>
        <v>0.30116335483391266</v>
      </c>
      <c r="J177" s="229"/>
      <c r="K177" s="193"/>
      <c r="L177" s="195"/>
      <c r="M177" s="193"/>
      <c r="N177" s="229"/>
      <c r="O177" s="193"/>
      <c r="P177" s="3"/>
      <c r="Q177" s="196"/>
      <c r="R177" s="194">
        <v>0</v>
      </c>
      <c r="S177" s="193">
        <v>0</v>
      </c>
      <c r="T177" s="193">
        <f t="shared" si="14"/>
        <v>0</v>
      </c>
      <c r="U177" s="197">
        <v>6604</v>
      </c>
      <c r="V177" s="196">
        <v>8738.98</v>
      </c>
      <c r="W177" s="196">
        <f t="shared" si="15"/>
        <v>1.3232858873410054</v>
      </c>
      <c r="X177" s="197">
        <v>12631</v>
      </c>
      <c r="Y177" s="196">
        <v>15295.23</v>
      </c>
      <c r="Z177" s="196">
        <f t="shared" si="16"/>
        <v>1.2109278758609769</v>
      </c>
      <c r="AA177" s="95"/>
      <c r="AB177" s="193">
        <v>0</v>
      </c>
      <c r="AC177" s="193"/>
      <c r="AD177" s="197">
        <v>2101447.9300000002</v>
      </c>
      <c r="AE177" s="197">
        <f>VLOOKUP(B177,Reference!A:B,2,0)</f>
        <v>13514.6</v>
      </c>
    </row>
    <row r="178" spans="1:31">
      <c r="A178" s="3">
        <v>1994</v>
      </c>
      <c r="B178" s="3" t="s">
        <v>443</v>
      </c>
      <c r="C178" s="191">
        <v>34394</v>
      </c>
      <c r="D178" s="192">
        <v>2102763</v>
      </c>
      <c r="E178" s="193">
        <v>185069.2</v>
      </c>
      <c r="F178" s="227">
        <f t="shared" si="12"/>
        <v>8.8012391315616653E-2</v>
      </c>
      <c r="G178" s="194">
        <v>46241</v>
      </c>
      <c r="H178" s="193">
        <v>17794.97</v>
      </c>
      <c r="I178" s="193">
        <f t="shared" si="13"/>
        <v>0.38483099413940014</v>
      </c>
      <c r="J178" s="229"/>
      <c r="K178" s="193"/>
      <c r="L178" s="195"/>
      <c r="M178" s="193"/>
      <c r="N178" s="229"/>
      <c r="O178" s="193"/>
      <c r="P178" s="3"/>
      <c r="Q178" s="196"/>
      <c r="R178" s="194">
        <v>0</v>
      </c>
      <c r="S178" s="193">
        <v>0</v>
      </c>
      <c r="T178" s="193">
        <f t="shared" si="14"/>
        <v>0</v>
      </c>
      <c r="U178" s="197">
        <v>15020</v>
      </c>
      <c r="V178" s="196">
        <v>20222.96</v>
      </c>
      <c r="W178" s="196">
        <f t="shared" si="15"/>
        <v>1.3464021304926763</v>
      </c>
      <c r="X178" s="197">
        <v>12630</v>
      </c>
      <c r="Y178" s="196">
        <v>15293.2</v>
      </c>
      <c r="Z178" s="196">
        <f t="shared" si="16"/>
        <v>1.2108630245447347</v>
      </c>
      <c r="AA178" s="95"/>
      <c r="AB178" s="193">
        <v>0</v>
      </c>
      <c r="AC178" s="193"/>
      <c r="AD178" s="197">
        <v>2101447.9300000002</v>
      </c>
      <c r="AE178" s="197">
        <f>VLOOKUP(B178,Reference!A:B,2,0)</f>
        <v>13514.6</v>
      </c>
    </row>
    <row r="179" spans="1:31">
      <c r="A179" s="3">
        <v>1994</v>
      </c>
      <c r="B179" s="3" t="s">
        <v>443</v>
      </c>
      <c r="C179" s="191">
        <v>34425</v>
      </c>
      <c r="D179" s="192">
        <v>2371757</v>
      </c>
      <c r="E179" s="193">
        <v>198634.44</v>
      </c>
      <c r="F179" s="227">
        <f t="shared" si="12"/>
        <v>8.374991198508111E-2</v>
      </c>
      <c r="G179" s="194">
        <v>49010</v>
      </c>
      <c r="H179" s="193">
        <v>16697.27</v>
      </c>
      <c r="I179" s="193">
        <f t="shared" si="13"/>
        <v>0.34069108345235666</v>
      </c>
      <c r="J179" s="229"/>
      <c r="K179" s="193"/>
      <c r="L179" s="195"/>
      <c r="M179" s="193"/>
      <c r="N179" s="229"/>
      <c r="O179" s="193"/>
      <c r="P179" s="3"/>
      <c r="Q179" s="196"/>
      <c r="R179" s="194">
        <v>0</v>
      </c>
      <c r="S179" s="193">
        <v>0</v>
      </c>
      <c r="T179" s="193">
        <f t="shared" si="14"/>
        <v>0</v>
      </c>
      <c r="U179" s="197">
        <v>16454</v>
      </c>
      <c r="V179" s="196">
        <v>23960.79</v>
      </c>
      <c r="W179" s="196">
        <f t="shared" si="15"/>
        <v>1.4562288805153762</v>
      </c>
      <c r="X179" s="197">
        <v>12630</v>
      </c>
      <c r="Y179" s="196">
        <v>15293.2</v>
      </c>
      <c r="Z179" s="196">
        <f t="shared" si="16"/>
        <v>1.2108630245447347</v>
      </c>
      <c r="AA179" s="95"/>
      <c r="AB179" s="193">
        <v>0</v>
      </c>
      <c r="AC179" s="193"/>
      <c r="AD179" s="197">
        <v>2101447.9300000002</v>
      </c>
      <c r="AE179" s="197">
        <f>VLOOKUP(B179,Reference!A:B,2,0)</f>
        <v>13514.6</v>
      </c>
    </row>
    <row r="180" spans="1:31">
      <c r="A180" s="3">
        <v>1994</v>
      </c>
      <c r="B180" s="3" t="s">
        <v>443</v>
      </c>
      <c r="C180" s="191">
        <v>34455</v>
      </c>
      <c r="D180" s="192">
        <v>2567574</v>
      </c>
      <c r="E180" s="193">
        <v>214144.65</v>
      </c>
      <c r="F180" s="227">
        <f t="shared" si="12"/>
        <v>8.3403496841765803E-2</v>
      </c>
      <c r="G180" s="194">
        <v>46323</v>
      </c>
      <c r="H180" s="193">
        <v>18188.580000000002</v>
      </c>
      <c r="I180" s="193">
        <f t="shared" si="13"/>
        <v>0.39264684929732535</v>
      </c>
      <c r="J180" s="229"/>
      <c r="K180" s="193"/>
      <c r="L180" s="195"/>
      <c r="M180" s="193"/>
      <c r="N180" s="229"/>
      <c r="O180" s="193"/>
      <c r="P180" s="3"/>
      <c r="Q180" s="196"/>
      <c r="R180" s="194">
        <v>0</v>
      </c>
      <c r="S180" s="193">
        <v>0</v>
      </c>
      <c r="T180" s="193">
        <f t="shared" si="14"/>
        <v>0</v>
      </c>
      <c r="U180" s="197">
        <v>15527</v>
      </c>
      <c r="V180" s="196">
        <v>24908.13</v>
      </c>
      <c r="W180" s="196">
        <f t="shared" si="15"/>
        <v>1.604181747922973</v>
      </c>
      <c r="X180" s="197">
        <v>12630</v>
      </c>
      <c r="Y180" s="196">
        <v>15293.2</v>
      </c>
      <c r="Z180" s="196">
        <f t="shared" si="16"/>
        <v>1.2108630245447347</v>
      </c>
      <c r="AA180" s="95"/>
      <c r="AB180" s="193">
        <v>0</v>
      </c>
      <c r="AC180" s="193"/>
      <c r="AD180" s="197">
        <v>2101447.9300000002</v>
      </c>
      <c r="AE180" s="197">
        <f>VLOOKUP(B180,Reference!A:B,2,0)</f>
        <v>13514.6</v>
      </c>
    </row>
    <row r="181" spans="1:31">
      <c r="A181" s="3">
        <v>1994</v>
      </c>
      <c r="B181" s="3" t="s">
        <v>443</v>
      </c>
      <c r="C181" s="191">
        <v>34486</v>
      </c>
      <c r="D181" s="192">
        <v>2689814</v>
      </c>
      <c r="E181" s="193">
        <v>240968.22</v>
      </c>
      <c r="F181" s="227">
        <f t="shared" si="12"/>
        <v>8.9585458325371195E-2</v>
      </c>
      <c r="G181" s="194">
        <v>21909</v>
      </c>
      <c r="H181" s="193">
        <v>12206.57</v>
      </c>
      <c r="I181" s="193">
        <f t="shared" si="13"/>
        <v>0.55714866036788535</v>
      </c>
      <c r="J181" s="229"/>
      <c r="K181" s="193"/>
      <c r="L181" s="195"/>
      <c r="M181" s="193"/>
      <c r="N181" s="229"/>
      <c r="O181" s="193"/>
      <c r="P181" s="3"/>
      <c r="Q181" s="196"/>
      <c r="R181" s="194">
        <v>0</v>
      </c>
      <c r="S181" s="193">
        <v>0</v>
      </c>
      <c r="T181" s="193">
        <f t="shared" si="14"/>
        <v>0</v>
      </c>
      <c r="U181" s="197">
        <v>14416</v>
      </c>
      <c r="V181" s="196">
        <v>27532.95</v>
      </c>
      <c r="W181" s="196">
        <f t="shared" si="15"/>
        <v>1.9098883185349611</v>
      </c>
      <c r="X181" s="197">
        <v>12630</v>
      </c>
      <c r="Y181" s="196">
        <v>15293.2</v>
      </c>
      <c r="Z181" s="196">
        <f t="shared" si="16"/>
        <v>1.2108630245447347</v>
      </c>
      <c r="AA181" s="95"/>
      <c r="AB181" s="193">
        <v>0</v>
      </c>
      <c r="AC181" s="193"/>
      <c r="AD181" s="197">
        <v>2101447.9300000002</v>
      </c>
      <c r="AE181" s="197">
        <f>VLOOKUP(B181,Reference!A:B,2,0)</f>
        <v>13514.6</v>
      </c>
    </row>
    <row r="182" spans="1:31">
      <c r="A182" s="3">
        <v>1994</v>
      </c>
      <c r="B182" s="3" t="s">
        <v>444</v>
      </c>
      <c r="C182" s="191">
        <v>34516</v>
      </c>
      <c r="D182" s="192">
        <v>2856415</v>
      </c>
      <c r="E182" s="193">
        <v>253505.97</v>
      </c>
      <c r="F182" s="227">
        <f t="shared" si="12"/>
        <v>8.8749698485689227E-2</v>
      </c>
      <c r="G182" s="194">
        <v>15439</v>
      </c>
      <c r="H182" s="193">
        <v>10707.11</v>
      </c>
      <c r="I182" s="193">
        <f t="shared" si="13"/>
        <v>0.69351059006412341</v>
      </c>
      <c r="J182" s="229"/>
      <c r="K182" s="193"/>
      <c r="L182" s="195"/>
      <c r="M182" s="193"/>
      <c r="N182" s="229"/>
      <c r="O182" s="193"/>
      <c r="P182" s="3"/>
      <c r="Q182" s="196"/>
      <c r="R182" s="194">
        <v>0</v>
      </c>
      <c r="S182" s="193">
        <v>0</v>
      </c>
      <c r="T182" s="193">
        <f t="shared" ref="T182:T205" si="17">IF(I182=0,0,S182/I182)</f>
        <v>0</v>
      </c>
      <c r="U182" s="197">
        <v>14160</v>
      </c>
      <c r="V182" s="196">
        <v>28846</v>
      </c>
      <c r="W182" s="196">
        <f t="shared" si="15"/>
        <v>2.0371468926553673</v>
      </c>
      <c r="X182" s="197">
        <v>4952</v>
      </c>
      <c r="Y182" s="196">
        <v>10152.65</v>
      </c>
      <c r="Z182" s="196">
        <f t="shared" si="16"/>
        <v>2.0502120355411955</v>
      </c>
      <c r="AA182" s="95"/>
      <c r="AB182" s="193">
        <v>0</v>
      </c>
      <c r="AC182" s="193"/>
      <c r="AD182" s="197">
        <v>2101447.9300000002</v>
      </c>
      <c r="AE182" s="197">
        <f>VLOOKUP(B182,Reference!A:B,2,0)</f>
        <v>13898.7</v>
      </c>
    </row>
    <row r="183" spans="1:31">
      <c r="A183" s="3">
        <v>1994</v>
      </c>
      <c r="B183" s="3" t="s">
        <v>444</v>
      </c>
      <c r="C183" s="191">
        <v>34547</v>
      </c>
      <c r="D183" s="192">
        <v>3052374</v>
      </c>
      <c r="E183" s="193">
        <v>267595.52000000002</v>
      </c>
      <c r="F183" s="227">
        <f t="shared" si="12"/>
        <v>8.7667998744583725E-2</v>
      </c>
      <c r="G183" s="194">
        <v>15683</v>
      </c>
      <c r="H183" s="193">
        <v>11632.92</v>
      </c>
      <c r="I183" s="193">
        <f t="shared" si="13"/>
        <v>0.74175349104125488</v>
      </c>
      <c r="J183" s="229"/>
      <c r="K183" s="193"/>
      <c r="L183" s="195"/>
      <c r="M183" s="193"/>
      <c r="N183" s="229"/>
      <c r="O183" s="193"/>
      <c r="P183" s="3"/>
      <c r="Q183" s="196"/>
      <c r="R183" s="194">
        <v>0</v>
      </c>
      <c r="S183" s="193">
        <v>0</v>
      </c>
      <c r="T183" s="193">
        <f t="shared" si="17"/>
        <v>0</v>
      </c>
      <c r="U183" s="197">
        <v>15254</v>
      </c>
      <c r="V183" s="196">
        <v>31399.200000000001</v>
      </c>
      <c r="W183" s="196">
        <f t="shared" si="15"/>
        <v>2.0584240199291988</v>
      </c>
      <c r="X183" s="197">
        <v>5329</v>
      </c>
      <c r="Y183" s="196">
        <v>10925.72</v>
      </c>
      <c r="Z183" s="196">
        <f t="shared" si="16"/>
        <v>2.0502383186338897</v>
      </c>
      <c r="AA183" s="95"/>
      <c r="AB183" s="193">
        <v>0</v>
      </c>
      <c r="AC183" s="193"/>
      <c r="AD183" s="197">
        <v>2101447.9300000002</v>
      </c>
      <c r="AE183" s="197">
        <f>VLOOKUP(B183,Reference!A:B,2,0)</f>
        <v>13898.7</v>
      </c>
    </row>
    <row r="184" spans="1:31">
      <c r="A184" s="3">
        <v>1994</v>
      </c>
      <c r="B184" s="3" t="s">
        <v>444</v>
      </c>
      <c r="C184" s="191">
        <v>34578</v>
      </c>
      <c r="D184" s="192">
        <v>3077124</v>
      </c>
      <c r="E184" s="193">
        <v>269397.46999999997</v>
      </c>
      <c r="F184" s="227">
        <f t="shared" si="12"/>
        <v>8.7548460835507436E-2</v>
      </c>
      <c r="G184" s="194">
        <v>15882</v>
      </c>
      <c r="H184" s="193">
        <v>11512.23</v>
      </c>
      <c r="I184" s="193">
        <f t="shared" si="13"/>
        <v>0.72486021911598031</v>
      </c>
      <c r="J184" s="229"/>
      <c r="K184" s="193"/>
      <c r="L184" s="195"/>
      <c r="M184" s="193"/>
      <c r="N184" s="229"/>
      <c r="O184" s="193"/>
      <c r="P184" s="3"/>
      <c r="Q184" s="196"/>
      <c r="R184" s="194">
        <v>0</v>
      </c>
      <c r="S184" s="193">
        <v>0</v>
      </c>
      <c r="T184" s="193">
        <f t="shared" si="17"/>
        <v>0</v>
      </c>
      <c r="U184" s="197">
        <v>15648</v>
      </c>
      <c r="V184" s="196">
        <v>31306.39</v>
      </c>
      <c r="W184" s="196">
        <f t="shared" si="15"/>
        <v>2.0006639826175867</v>
      </c>
      <c r="X184" s="197">
        <v>23</v>
      </c>
      <c r="Y184" s="196">
        <v>47.15</v>
      </c>
      <c r="Z184" s="196">
        <f t="shared" si="16"/>
        <v>2.0499999999999998</v>
      </c>
      <c r="AA184" s="95"/>
      <c r="AB184" s="193">
        <v>0</v>
      </c>
      <c r="AC184" s="193"/>
      <c r="AD184" s="197">
        <v>2101447.9300000002</v>
      </c>
      <c r="AE184" s="197">
        <f>VLOOKUP(B184,Reference!A:B,2,0)</f>
        <v>13898.7</v>
      </c>
    </row>
    <row r="185" spans="1:31">
      <c r="A185" s="3">
        <v>1994</v>
      </c>
      <c r="B185" s="3" t="s">
        <v>444</v>
      </c>
      <c r="C185" s="191">
        <v>34608</v>
      </c>
      <c r="D185" s="192">
        <v>2621100</v>
      </c>
      <c r="E185" s="193">
        <v>242465.11</v>
      </c>
      <c r="F185" s="227">
        <f t="shared" si="12"/>
        <v>9.2505097096638816E-2</v>
      </c>
      <c r="G185" s="194">
        <v>26966</v>
      </c>
      <c r="H185" s="193">
        <v>14185.17</v>
      </c>
      <c r="I185" s="193">
        <f t="shared" si="13"/>
        <v>0.52603908625676776</v>
      </c>
      <c r="J185" s="229"/>
      <c r="K185" s="193"/>
      <c r="L185" s="195"/>
      <c r="M185" s="193"/>
      <c r="N185" s="229"/>
      <c r="O185" s="193"/>
      <c r="P185" s="3"/>
      <c r="Q185" s="196"/>
      <c r="R185" s="194">
        <v>0</v>
      </c>
      <c r="S185" s="193">
        <v>0</v>
      </c>
      <c r="T185" s="193">
        <f t="shared" si="17"/>
        <v>0</v>
      </c>
      <c r="U185" s="197">
        <v>14698</v>
      </c>
      <c r="V185" s="196">
        <v>25433.279999999999</v>
      </c>
      <c r="W185" s="196">
        <f t="shared" si="15"/>
        <v>1.7303905293237174</v>
      </c>
      <c r="X185" s="197">
        <v>24</v>
      </c>
      <c r="Y185" s="196">
        <v>49.2</v>
      </c>
      <c r="Z185" s="196">
        <f t="shared" si="16"/>
        <v>2.0500000000000003</v>
      </c>
      <c r="AA185" s="95"/>
      <c r="AB185" s="193">
        <v>0</v>
      </c>
      <c r="AC185" s="193"/>
      <c r="AD185" s="197">
        <v>2101447.9300000002</v>
      </c>
      <c r="AE185" s="197">
        <f>VLOOKUP(B185,Reference!A:B,2,0)</f>
        <v>13898.7</v>
      </c>
    </row>
    <row r="186" spans="1:31">
      <c r="A186" s="3">
        <v>1994</v>
      </c>
      <c r="B186" s="3" t="s">
        <v>444</v>
      </c>
      <c r="C186" s="191">
        <v>34639</v>
      </c>
      <c r="D186" s="192">
        <v>2855603</v>
      </c>
      <c r="E186" s="193">
        <v>226949.85</v>
      </c>
      <c r="F186" s="227">
        <f t="shared" si="12"/>
        <v>7.9475280702534637E-2</v>
      </c>
      <c r="G186" s="194">
        <v>72587</v>
      </c>
      <c r="H186" s="193">
        <v>26281.72</v>
      </c>
      <c r="I186" s="193">
        <f t="shared" si="13"/>
        <v>0.36207199636298515</v>
      </c>
      <c r="J186" s="229"/>
      <c r="K186" s="193"/>
      <c r="L186" s="195"/>
      <c r="M186" s="193"/>
      <c r="N186" s="229"/>
      <c r="O186" s="193"/>
      <c r="P186" s="3"/>
      <c r="Q186" s="196"/>
      <c r="R186" s="194">
        <v>0</v>
      </c>
      <c r="S186" s="193">
        <v>0</v>
      </c>
      <c r="T186" s="193">
        <f t="shared" si="17"/>
        <v>0</v>
      </c>
      <c r="U186" s="197">
        <v>5468</v>
      </c>
      <c r="V186" s="196">
        <v>7673.97</v>
      </c>
      <c r="W186" s="196">
        <f t="shared" si="15"/>
        <v>1.403432699341624</v>
      </c>
      <c r="X186" s="197">
        <v>7086</v>
      </c>
      <c r="Y186" s="196">
        <v>14526.41</v>
      </c>
      <c r="Z186" s="196">
        <f t="shared" si="16"/>
        <v>2.0500155235675979</v>
      </c>
      <c r="AA186" s="95"/>
      <c r="AB186" s="193">
        <v>0</v>
      </c>
      <c r="AC186" s="193"/>
      <c r="AD186" s="197">
        <v>2101447.9300000002</v>
      </c>
      <c r="AE186" s="197">
        <f>VLOOKUP(B186,Reference!A:B,2,0)</f>
        <v>13898.7</v>
      </c>
    </row>
    <row r="187" spans="1:31">
      <c r="A187" s="3">
        <v>1994</v>
      </c>
      <c r="B187" s="3" t="s">
        <v>444</v>
      </c>
      <c r="C187" s="191">
        <v>34669</v>
      </c>
      <c r="D187" s="192">
        <v>2176150</v>
      </c>
      <c r="E187" s="193">
        <v>186395.83</v>
      </c>
      <c r="F187" s="227">
        <f t="shared" si="12"/>
        <v>8.5653943891735404E-2</v>
      </c>
      <c r="G187" s="194">
        <v>82604</v>
      </c>
      <c r="H187" s="193">
        <v>30405.83</v>
      </c>
      <c r="I187" s="193">
        <f t="shared" si="13"/>
        <v>0.36809149677981701</v>
      </c>
      <c r="J187" s="229"/>
      <c r="K187" s="193"/>
      <c r="L187" s="195"/>
      <c r="M187" s="193"/>
      <c r="N187" s="229"/>
      <c r="O187" s="193"/>
      <c r="P187" s="3"/>
      <c r="Q187" s="196"/>
      <c r="R187" s="194">
        <v>0</v>
      </c>
      <c r="S187" s="193">
        <v>0</v>
      </c>
      <c r="T187" s="193">
        <f t="shared" si="17"/>
        <v>0</v>
      </c>
      <c r="U187" s="197">
        <v>2896</v>
      </c>
      <c r="V187" s="196">
        <v>4258.21</v>
      </c>
      <c r="W187" s="196">
        <f t="shared" si="15"/>
        <v>1.4703763812154695</v>
      </c>
      <c r="X187" s="197">
        <v>5398</v>
      </c>
      <c r="Y187" s="196">
        <v>11065.83</v>
      </c>
      <c r="Z187" s="196">
        <f t="shared" si="16"/>
        <v>2.0499870322341609</v>
      </c>
      <c r="AA187" s="95"/>
      <c r="AB187" s="193">
        <v>0</v>
      </c>
      <c r="AC187" s="193"/>
      <c r="AD187" s="197">
        <v>2101447.9300000002</v>
      </c>
      <c r="AE187" s="197">
        <f>VLOOKUP(B187,Reference!A:B,2,0)</f>
        <v>13898.7</v>
      </c>
    </row>
    <row r="188" spans="1:31">
      <c r="A188" s="3">
        <v>1995</v>
      </c>
      <c r="B188" s="3" t="s">
        <v>444</v>
      </c>
      <c r="C188" s="191">
        <v>34700</v>
      </c>
      <c r="D188" s="192">
        <v>2766404</v>
      </c>
      <c r="E188" s="193">
        <v>217950.33</v>
      </c>
      <c r="F188" s="227">
        <f t="shared" si="12"/>
        <v>7.8784707511990293E-2</v>
      </c>
      <c r="G188" s="194">
        <v>96006</v>
      </c>
      <c r="H188" s="193">
        <v>31695.75</v>
      </c>
      <c r="I188" s="193">
        <f t="shared" si="13"/>
        <v>0.33014342853571654</v>
      </c>
      <c r="J188" s="229"/>
      <c r="K188" s="193"/>
      <c r="L188" s="195"/>
      <c r="M188" s="193"/>
      <c r="N188" s="229"/>
      <c r="O188" s="193"/>
      <c r="P188" s="3"/>
      <c r="Q188" s="196"/>
      <c r="R188" s="194">
        <v>0</v>
      </c>
      <c r="S188" s="193">
        <v>0</v>
      </c>
      <c r="T188" s="193">
        <f t="shared" si="17"/>
        <v>0</v>
      </c>
      <c r="U188" s="197">
        <v>18397</v>
      </c>
      <c r="V188" s="196">
        <v>26713.75</v>
      </c>
      <c r="W188" s="196">
        <f t="shared" si="15"/>
        <v>1.4520709898352993</v>
      </c>
      <c r="X188" s="197">
        <v>5620</v>
      </c>
      <c r="Y188" s="196">
        <v>6820.41</v>
      </c>
      <c r="Z188" s="196">
        <f t="shared" si="16"/>
        <v>1.2135960854092527</v>
      </c>
      <c r="AA188" s="95"/>
      <c r="AB188" s="193">
        <v>0</v>
      </c>
      <c r="AC188" s="193"/>
      <c r="AD188" s="197">
        <v>2101447.9300000002</v>
      </c>
      <c r="AE188" s="197">
        <f>VLOOKUP(B188,Reference!A:B,2,0)</f>
        <v>13898.7</v>
      </c>
    </row>
    <row r="189" spans="1:31">
      <c r="A189" s="3">
        <v>1995</v>
      </c>
      <c r="B189" s="3" t="s">
        <v>444</v>
      </c>
      <c r="C189" s="191">
        <v>34731</v>
      </c>
      <c r="D189" s="192">
        <v>2749975</v>
      </c>
      <c r="E189" s="193">
        <v>215884.74</v>
      </c>
      <c r="F189" s="227">
        <f t="shared" si="12"/>
        <v>7.8504255493231756E-2</v>
      </c>
      <c r="G189" s="194">
        <v>41041</v>
      </c>
      <c r="H189" s="193">
        <v>15738.56</v>
      </c>
      <c r="I189" s="193">
        <f t="shared" si="13"/>
        <v>0.38348383323993079</v>
      </c>
      <c r="J189" s="229"/>
      <c r="K189" s="193"/>
      <c r="L189" s="195"/>
      <c r="M189" s="193"/>
      <c r="N189" s="229"/>
      <c r="O189" s="193"/>
      <c r="P189" s="3"/>
      <c r="Q189" s="196"/>
      <c r="R189" s="194">
        <v>0</v>
      </c>
      <c r="S189" s="193">
        <v>0</v>
      </c>
      <c r="T189" s="193">
        <f t="shared" si="17"/>
        <v>0</v>
      </c>
      <c r="U189" s="197">
        <v>10918</v>
      </c>
      <c r="V189" s="196">
        <v>16202.21</v>
      </c>
      <c r="W189" s="196">
        <f t="shared" si="15"/>
        <v>1.4839906576296025</v>
      </c>
      <c r="X189" s="197">
        <v>6452</v>
      </c>
      <c r="Y189" s="196">
        <v>13226.99</v>
      </c>
      <c r="Z189" s="196">
        <f t="shared" si="16"/>
        <v>2.0500604463732177</v>
      </c>
      <c r="AA189" s="95"/>
      <c r="AB189" s="193">
        <v>0</v>
      </c>
      <c r="AC189" s="193"/>
      <c r="AD189" s="197">
        <v>2101447.9300000002</v>
      </c>
      <c r="AE189" s="197">
        <f>VLOOKUP(B189,Reference!A:B,2,0)</f>
        <v>13898.7</v>
      </c>
    </row>
    <row r="190" spans="1:31">
      <c r="A190" s="3">
        <v>1995</v>
      </c>
      <c r="B190" s="3" t="s">
        <v>444</v>
      </c>
      <c r="C190" s="191">
        <v>34759</v>
      </c>
      <c r="D190" s="192">
        <v>2430826</v>
      </c>
      <c r="E190" s="193">
        <v>205083.37</v>
      </c>
      <c r="F190" s="227">
        <f t="shared" si="12"/>
        <v>8.4367770461563268E-2</v>
      </c>
      <c r="G190" s="194">
        <v>58138</v>
      </c>
      <c r="H190" s="193">
        <v>18474.28</v>
      </c>
      <c r="I190" s="193">
        <f t="shared" si="13"/>
        <v>0.31776600502253255</v>
      </c>
      <c r="J190" s="229"/>
      <c r="K190" s="193"/>
      <c r="L190" s="195"/>
      <c r="M190" s="193"/>
      <c r="N190" s="229"/>
      <c r="O190" s="193"/>
      <c r="P190" s="3"/>
      <c r="Q190" s="196"/>
      <c r="R190" s="194">
        <v>0</v>
      </c>
      <c r="S190" s="193">
        <v>0</v>
      </c>
      <c r="T190" s="193">
        <f t="shared" si="17"/>
        <v>0</v>
      </c>
      <c r="U190" s="197">
        <v>5279</v>
      </c>
      <c r="V190" s="196">
        <v>7862.39</v>
      </c>
      <c r="W190" s="196">
        <f t="shared" si="15"/>
        <v>1.4893710930100399</v>
      </c>
      <c r="X190" s="197">
        <v>3124</v>
      </c>
      <c r="Y190" s="196">
        <v>6403.76</v>
      </c>
      <c r="Z190" s="196">
        <f t="shared" si="16"/>
        <v>2.0498591549295777</v>
      </c>
      <c r="AA190" s="95"/>
      <c r="AB190" s="193">
        <v>0</v>
      </c>
      <c r="AC190" s="193"/>
      <c r="AD190" s="197">
        <v>2101447.9300000002</v>
      </c>
      <c r="AE190" s="197">
        <f>VLOOKUP(B190,Reference!A:B,2,0)</f>
        <v>13898.7</v>
      </c>
    </row>
    <row r="191" spans="1:31">
      <c r="A191" s="3">
        <v>1995</v>
      </c>
      <c r="B191" s="3" t="s">
        <v>444</v>
      </c>
      <c r="C191" s="191">
        <v>34790</v>
      </c>
      <c r="D191" s="192">
        <v>2610892</v>
      </c>
      <c r="E191" s="193">
        <v>219454.96</v>
      </c>
      <c r="F191" s="227">
        <f t="shared" si="12"/>
        <v>8.4053633777268461E-2</v>
      </c>
      <c r="G191" s="194">
        <v>41618</v>
      </c>
      <c r="H191" s="193">
        <v>14996.28</v>
      </c>
      <c r="I191" s="193">
        <f t="shared" si="13"/>
        <v>0.36033158729395937</v>
      </c>
      <c r="J191" s="229"/>
      <c r="K191" s="193"/>
      <c r="L191" s="195"/>
      <c r="M191" s="193"/>
      <c r="N191" s="229"/>
      <c r="O191" s="193"/>
      <c r="P191" s="3"/>
      <c r="Q191" s="196"/>
      <c r="R191" s="194">
        <v>0</v>
      </c>
      <c r="S191" s="193">
        <v>0</v>
      </c>
      <c r="T191" s="193">
        <f t="shared" si="17"/>
        <v>0</v>
      </c>
      <c r="U191" s="197">
        <v>11061</v>
      </c>
      <c r="V191" s="196">
        <v>15131.48</v>
      </c>
      <c r="W191" s="196">
        <f t="shared" si="15"/>
        <v>1.3680028930476449</v>
      </c>
      <c r="X191" s="197">
        <v>6537</v>
      </c>
      <c r="Y191" s="196">
        <v>13400.79</v>
      </c>
      <c r="Z191" s="196">
        <f t="shared" si="16"/>
        <v>2.049990821477742</v>
      </c>
      <c r="AA191" s="95"/>
      <c r="AB191" s="193">
        <v>0</v>
      </c>
      <c r="AC191" s="193"/>
      <c r="AD191" s="197">
        <v>2101447.9300000002</v>
      </c>
      <c r="AE191" s="197">
        <f>VLOOKUP(B191,Reference!A:B,2,0)</f>
        <v>13898.7</v>
      </c>
    </row>
    <row r="192" spans="1:31">
      <c r="A192" s="3">
        <v>1995</v>
      </c>
      <c r="B192" s="3" t="s">
        <v>444</v>
      </c>
      <c r="C192" s="191">
        <v>34820</v>
      </c>
      <c r="D192" s="192">
        <v>2710185</v>
      </c>
      <c r="E192" s="193">
        <v>227655.07</v>
      </c>
      <c r="F192" s="227">
        <f t="shared" si="12"/>
        <v>8.3999826580104311E-2</v>
      </c>
      <c r="G192" s="194">
        <v>41155</v>
      </c>
      <c r="H192" s="193">
        <v>15097.55</v>
      </c>
      <c r="I192" s="193">
        <f t="shared" si="13"/>
        <v>0.36684606973636252</v>
      </c>
      <c r="J192" s="229"/>
      <c r="K192" s="193"/>
      <c r="L192" s="195"/>
      <c r="M192" s="193"/>
      <c r="N192" s="229"/>
      <c r="O192" s="193"/>
      <c r="P192" s="3"/>
      <c r="Q192" s="196"/>
      <c r="R192" s="194">
        <v>0</v>
      </c>
      <c r="S192" s="193">
        <v>0</v>
      </c>
      <c r="T192" s="193">
        <f t="shared" si="17"/>
        <v>0</v>
      </c>
      <c r="U192" s="197">
        <v>11549</v>
      </c>
      <c r="V192" s="196">
        <v>17666.02</v>
      </c>
      <c r="W192" s="196">
        <f t="shared" si="15"/>
        <v>1.5296579790458049</v>
      </c>
      <c r="X192" s="197">
        <v>6826</v>
      </c>
      <c r="Y192" s="196">
        <v>13993.58</v>
      </c>
      <c r="Z192" s="196">
        <f t="shared" si="16"/>
        <v>2.0500410196308234</v>
      </c>
      <c r="AA192" s="95"/>
      <c r="AB192" s="193">
        <v>0</v>
      </c>
      <c r="AC192" s="193"/>
      <c r="AD192" s="197">
        <v>2101447.9300000002</v>
      </c>
      <c r="AE192" s="197">
        <f>VLOOKUP(B192,Reference!A:B,2,0)</f>
        <v>13898.7</v>
      </c>
    </row>
    <row r="193" spans="1:31">
      <c r="A193" s="3">
        <v>1995</v>
      </c>
      <c r="B193" s="3" t="s">
        <v>444</v>
      </c>
      <c r="C193" s="191">
        <v>34851</v>
      </c>
      <c r="D193" s="192">
        <v>3022268</v>
      </c>
      <c r="E193" s="193">
        <v>250272.44</v>
      </c>
      <c r="F193" s="227">
        <f t="shared" si="12"/>
        <v>8.2809479503472228E-2</v>
      </c>
      <c r="G193" s="194">
        <v>20995</v>
      </c>
      <c r="H193" s="193">
        <v>9707.57</v>
      </c>
      <c r="I193" s="193">
        <f t="shared" si="13"/>
        <v>0.46237532745891879</v>
      </c>
      <c r="J193" s="229"/>
      <c r="K193" s="193"/>
      <c r="L193" s="195"/>
      <c r="M193" s="193"/>
      <c r="N193" s="229"/>
      <c r="O193" s="193"/>
      <c r="P193" s="3"/>
      <c r="Q193" s="196"/>
      <c r="R193" s="194">
        <v>0</v>
      </c>
      <c r="S193" s="193">
        <v>0</v>
      </c>
      <c r="T193" s="193">
        <f t="shared" si="17"/>
        <v>0</v>
      </c>
      <c r="U193" s="197">
        <v>13475</v>
      </c>
      <c r="V193" s="196">
        <v>27104.59</v>
      </c>
      <c r="W193" s="196">
        <f t="shared" si="15"/>
        <v>2.0114723562152133</v>
      </c>
      <c r="X193" s="197">
        <v>7964</v>
      </c>
      <c r="Y193" s="196">
        <v>16326.54</v>
      </c>
      <c r="Z193" s="196">
        <f t="shared" si="16"/>
        <v>2.0500426921145154</v>
      </c>
      <c r="AA193" s="95"/>
      <c r="AB193" s="193">
        <v>0</v>
      </c>
      <c r="AC193" s="193"/>
      <c r="AD193" s="197">
        <v>2101447.9300000002</v>
      </c>
      <c r="AE193" s="197">
        <f>VLOOKUP(B193,Reference!A:B,2,0)</f>
        <v>13898.7</v>
      </c>
    </row>
    <row r="194" spans="1:31">
      <c r="A194" s="3">
        <v>1995</v>
      </c>
      <c r="B194" s="3" t="s">
        <v>445</v>
      </c>
      <c r="C194" s="191">
        <v>34881</v>
      </c>
      <c r="D194" s="192">
        <v>3402562</v>
      </c>
      <c r="E194" s="193">
        <v>277917.34999999998</v>
      </c>
      <c r="F194" s="227">
        <f t="shared" si="12"/>
        <v>8.167884964329819E-2</v>
      </c>
      <c r="G194" s="194">
        <v>15556</v>
      </c>
      <c r="H194" s="193">
        <v>9515.83</v>
      </c>
      <c r="I194" s="193">
        <f t="shared" si="13"/>
        <v>0.61171445101568522</v>
      </c>
      <c r="J194" s="229"/>
      <c r="K194" s="193"/>
      <c r="L194" s="195"/>
      <c r="M194" s="193"/>
      <c r="N194" s="229"/>
      <c r="O194" s="193"/>
      <c r="P194" s="3"/>
      <c r="Q194" s="196"/>
      <c r="R194" s="194">
        <v>0</v>
      </c>
      <c r="S194" s="193">
        <v>0</v>
      </c>
      <c r="T194" s="193">
        <f t="shared" si="17"/>
        <v>0</v>
      </c>
      <c r="U194" s="197">
        <v>15872</v>
      </c>
      <c r="V194" s="196">
        <v>32438.17</v>
      </c>
      <c r="W194" s="196">
        <f t="shared" si="15"/>
        <v>2.0437355090725804</v>
      </c>
      <c r="X194" s="197">
        <v>9380</v>
      </c>
      <c r="Y194" s="196">
        <v>19229.21</v>
      </c>
      <c r="Z194" s="196">
        <f t="shared" si="16"/>
        <v>2.0500223880597015</v>
      </c>
      <c r="AA194" s="95"/>
      <c r="AB194" s="193">
        <v>0</v>
      </c>
      <c r="AC194" s="193"/>
      <c r="AD194" s="197">
        <v>2101447.9300000002</v>
      </c>
      <c r="AE194" s="197">
        <f>VLOOKUP(B194,Reference!A:B,2,0)</f>
        <v>13908.8</v>
      </c>
    </row>
    <row r="195" spans="1:31">
      <c r="A195" s="3">
        <v>1995</v>
      </c>
      <c r="B195" s="3" t="s">
        <v>445</v>
      </c>
      <c r="C195" s="191">
        <v>34912</v>
      </c>
      <c r="D195" s="192">
        <v>3520914</v>
      </c>
      <c r="E195" s="193">
        <v>282727.03000000003</v>
      </c>
      <c r="F195" s="227">
        <f t="shared" si="12"/>
        <v>8.0299328526626898E-2</v>
      </c>
      <c r="G195" s="194">
        <v>15767</v>
      </c>
      <c r="H195" s="193">
        <v>7065.7</v>
      </c>
      <c r="I195" s="193">
        <f t="shared" si="13"/>
        <v>0.44813217479545886</v>
      </c>
      <c r="J195" s="229"/>
      <c r="K195" s="193"/>
      <c r="L195" s="195"/>
      <c r="M195" s="193"/>
      <c r="N195" s="229"/>
      <c r="O195" s="193"/>
      <c r="P195" s="3"/>
      <c r="Q195" s="196"/>
      <c r="R195" s="194">
        <v>0</v>
      </c>
      <c r="S195" s="193">
        <v>0</v>
      </c>
      <c r="T195" s="193">
        <f t="shared" si="17"/>
        <v>0</v>
      </c>
      <c r="U195" s="197">
        <v>15311</v>
      </c>
      <c r="V195" s="196">
        <v>28883.22</v>
      </c>
      <c r="W195" s="196">
        <f t="shared" si="15"/>
        <v>1.8864358957612175</v>
      </c>
      <c r="X195" s="197">
        <v>9051</v>
      </c>
      <c r="Y195" s="196">
        <v>18554.86</v>
      </c>
      <c r="Z195" s="196">
        <f t="shared" si="16"/>
        <v>2.0500342503590763</v>
      </c>
      <c r="AA195" s="95"/>
      <c r="AB195" s="193">
        <v>0</v>
      </c>
      <c r="AC195" s="193"/>
      <c r="AD195" s="197">
        <v>2101447.9300000002</v>
      </c>
      <c r="AE195" s="197">
        <f>VLOOKUP(B195,Reference!A:B,2,0)</f>
        <v>13908.8</v>
      </c>
    </row>
    <row r="196" spans="1:31">
      <c r="A196" s="3">
        <v>1995</v>
      </c>
      <c r="B196" s="3" t="s">
        <v>445</v>
      </c>
      <c r="C196" s="191">
        <v>34943</v>
      </c>
      <c r="D196" s="192">
        <v>3565501</v>
      </c>
      <c r="E196" s="193">
        <v>284254.64</v>
      </c>
      <c r="F196" s="227">
        <f t="shared" si="12"/>
        <v>7.972361808340539E-2</v>
      </c>
      <c r="G196" s="194">
        <v>11422</v>
      </c>
      <c r="H196" s="193">
        <v>5213.67</v>
      </c>
      <c r="I196" s="193">
        <f t="shared" si="13"/>
        <v>0.45645858868849587</v>
      </c>
      <c r="J196" s="229"/>
      <c r="K196" s="193"/>
      <c r="L196" s="195"/>
      <c r="M196" s="193"/>
      <c r="N196" s="229"/>
      <c r="O196" s="193"/>
      <c r="P196" s="3"/>
      <c r="Q196" s="196"/>
      <c r="R196" s="194">
        <v>0</v>
      </c>
      <c r="S196" s="193">
        <v>0</v>
      </c>
      <c r="T196" s="193">
        <f t="shared" si="17"/>
        <v>0</v>
      </c>
      <c r="U196" s="197">
        <v>17344</v>
      </c>
      <c r="V196" s="196">
        <v>35374.68</v>
      </c>
      <c r="W196" s="196">
        <f t="shared" si="15"/>
        <v>2.0395917896678966</v>
      </c>
      <c r="X196" s="197">
        <v>15265</v>
      </c>
      <c r="Y196" s="196">
        <v>31293.98</v>
      </c>
      <c r="Z196" s="196">
        <f t="shared" si="16"/>
        <v>2.0500478218146085</v>
      </c>
      <c r="AA196" s="95"/>
      <c r="AB196" s="193">
        <v>0</v>
      </c>
      <c r="AC196" s="193"/>
      <c r="AD196" s="197">
        <v>2101447.9300000002</v>
      </c>
      <c r="AE196" s="197">
        <f>VLOOKUP(B196,Reference!A:B,2,0)</f>
        <v>13908.8</v>
      </c>
    </row>
    <row r="197" spans="1:31">
      <c r="A197" s="3">
        <v>1995</v>
      </c>
      <c r="B197" s="3" t="s">
        <v>445</v>
      </c>
      <c r="C197" s="191">
        <v>34973</v>
      </c>
      <c r="D197" s="192">
        <v>3005921</v>
      </c>
      <c r="E197" s="193">
        <v>253632.17</v>
      </c>
      <c r="F197" s="227">
        <f t="shared" si="12"/>
        <v>8.4377523560998452E-2</v>
      </c>
      <c r="G197" s="194">
        <v>15126</v>
      </c>
      <c r="H197" s="193">
        <v>5752.16</v>
      </c>
      <c r="I197" s="193">
        <f t="shared" si="13"/>
        <v>0.38028295649874388</v>
      </c>
      <c r="J197" s="229"/>
      <c r="K197" s="193"/>
      <c r="L197" s="195"/>
      <c r="M197" s="193"/>
      <c r="N197" s="229"/>
      <c r="O197" s="193"/>
      <c r="P197" s="3"/>
      <c r="Q197" s="196"/>
      <c r="R197" s="194">
        <v>0</v>
      </c>
      <c r="S197" s="193">
        <v>0</v>
      </c>
      <c r="T197" s="193">
        <f t="shared" si="17"/>
        <v>0</v>
      </c>
      <c r="U197" s="197">
        <v>27</v>
      </c>
      <c r="V197" s="196">
        <v>48.76</v>
      </c>
      <c r="W197" s="196">
        <f t="shared" si="15"/>
        <v>1.8059259259259259</v>
      </c>
      <c r="X197" s="197">
        <v>7076</v>
      </c>
      <c r="Y197" s="196">
        <v>14506.56</v>
      </c>
      <c r="Z197" s="196">
        <f t="shared" si="16"/>
        <v>2.0501074053137365</v>
      </c>
      <c r="AA197" s="95"/>
      <c r="AB197" s="193">
        <v>0</v>
      </c>
      <c r="AC197" s="193"/>
      <c r="AD197" s="197">
        <v>2101447.9300000002</v>
      </c>
      <c r="AE197" s="197">
        <f>VLOOKUP(B197,Reference!A:B,2,0)</f>
        <v>13908.8</v>
      </c>
    </row>
    <row r="198" spans="1:31">
      <c r="A198" s="3">
        <v>1995</v>
      </c>
      <c r="B198" s="3" t="s">
        <v>445</v>
      </c>
      <c r="C198" s="191">
        <v>35004</v>
      </c>
      <c r="D198" s="192">
        <v>3042890</v>
      </c>
      <c r="E198" s="193">
        <v>242634.72</v>
      </c>
      <c r="F198" s="227">
        <f t="shared" si="12"/>
        <v>7.9738248835810696E-2</v>
      </c>
      <c r="G198" s="194">
        <v>33133</v>
      </c>
      <c r="H198" s="193">
        <v>10752.03</v>
      </c>
      <c r="I198" s="193">
        <f t="shared" si="13"/>
        <v>0.32451121238644254</v>
      </c>
      <c r="J198" s="229"/>
      <c r="K198" s="193"/>
      <c r="L198" s="195"/>
      <c r="M198" s="193"/>
      <c r="N198" s="229"/>
      <c r="O198" s="193"/>
      <c r="P198" s="3"/>
      <c r="Q198" s="196"/>
      <c r="R198" s="194">
        <v>0</v>
      </c>
      <c r="S198" s="193">
        <v>0</v>
      </c>
      <c r="T198" s="193">
        <f t="shared" si="17"/>
        <v>0</v>
      </c>
      <c r="U198" s="197">
        <v>6969</v>
      </c>
      <c r="V198" s="196">
        <v>22975.74</v>
      </c>
      <c r="W198" s="196">
        <f t="shared" si="15"/>
        <v>3.2968489022815328</v>
      </c>
      <c r="X198" s="197">
        <v>4129</v>
      </c>
      <c r="Y198" s="196">
        <v>8463.8799999999992</v>
      </c>
      <c r="Z198" s="196">
        <f t="shared" si="16"/>
        <v>2.0498619520465002</v>
      </c>
      <c r="AA198" s="95"/>
      <c r="AB198" s="193">
        <v>0</v>
      </c>
      <c r="AC198" s="193"/>
      <c r="AD198" s="197">
        <v>2101447.9300000002</v>
      </c>
      <c r="AE198" s="197">
        <f>VLOOKUP(B198,Reference!A:B,2,0)</f>
        <v>13908.8</v>
      </c>
    </row>
    <row r="199" spans="1:31">
      <c r="A199" s="3">
        <v>1995</v>
      </c>
      <c r="B199" s="3" t="s">
        <v>445</v>
      </c>
      <c r="C199" s="191">
        <v>35034</v>
      </c>
      <c r="D199" s="192">
        <v>2517084</v>
      </c>
      <c r="E199" s="193">
        <v>208913.01</v>
      </c>
      <c r="F199" s="227">
        <f t="shared" si="12"/>
        <v>8.2998028671271998E-2</v>
      </c>
      <c r="G199" s="194">
        <v>59139</v>
      </c>
      <c r="H199" s="193">
        <v>17860</v>
      </c>
      <c r="I199" s="193">
        <f t="shared" si="13"/>
        <v>0.30200037200493751</v>
      </c>
      <c r="J199" s="229"/>
      <c r="K199" s="193"/>
      <c r="L199" s="195"/>
      <c r="M199" s="193"/>
      <c r="N199" s="229"/>
      <c r="O199" s="193"/>
      <c r="P199" s="3"/>
      <c r="Q199" s="196"/>
      <c r="R199" s="194">
        <v>0</v>
      </c>
      <c r="S199" s="193">
        <v>0</v>
      </c>
      <c r="T199" s="193">
        <f t="shared" si="17"/>
        <v>0</v>
      </c>
      <c r="U199" s="197">
        <v>5835</v>
      </c>
      <c r="V199" s="196">
        <v>6524.12</v>
      </c>
      <c r="W199" s="196">
        <f t="shared" si="15"/>
        <v>1.1181011139674379</v>
      </c>
      <c r="X199" s="197">
        <v>3455</v>
      </c>
      <c r="Y199" s="196">
        <v>7082.16</v>
      </c>
      <c r="Z199" s="196">
        <f t="shared" si="16"/>
        <v>2.0498292329956582</v>
      </c>
      <c r="AA199" s="95"/>
      <c r="AB199" s="193">
        <v>0</v>
      </c>
      <c r="AC199" s="193"/>
      <c r="AD199" s="197">
        <v>2101447.9300000002</v>
      </c>
      <c r="AE199" s="197">
        <f>VLOOKUP(B199,Reference!A:B,2,0)</f>
        <v>13908.8</v>
      </c>
    </row>
    <row r="200" spans="1:31">
      <c r="A200" s="3">
        <v>1996</v>
      </c>
      <c r="B200" s="3" t="s">
        <v>445</v>
      </c>
      <c r="C200" s="191">
        <v>35065</v>
      </c>
      <c r="D200" s="192">
        <v>2793193</v>
      </c>
      <c r="E200" s="193">
        <v>228862.14</v>
      </c>
      <c r="F200" s="227">
        <f t="shared" si="12"/>
        <v>8.1935670037838415E-2</v>
      </c>
      <c r="G200" s="194">
        <v>80784</v>
      </c>
      <c r="H200" s="193">
        <v>25788.39</v>
      </c>
      <c r="I200" s="193">
        <f t="shared" si="13"/>
        <v>0.31922645573380865</v>
      </c>
      <c r="J200" s="229"/>
      <c r="K200" s="193"/>
      <c r="L200" s="195"/>
      <c r="M200" s="193"/>
      <c r="N200" s="229"/>
      <c r="O200" s="193"/>
      <c r="P200" s="3"/>
      <c r="Q200" s="196"/>
      <c r="R200" s="194">
        <v>0</v>
      </c>
      <c r="S200" s="193">
        <v>0</v>
      </c>
      <c r="T200" s="193">
        <f t="shared" si="17"/>
        <v>0</v>
      </c>
      <c r="U200" s="197">
        <v>10914</v>
      </c>
      <c r="V200" s="196">
        <v>11840.43</v>
      </c>
      <c r="W200" s="196">
        <f t="shared" si="15"/>
        <v>1.0848845519516217</v>
      </c>
      <c r="X200" s="197">
        <v>6457</v>
      </c>
      <c r="Y200" s="196">
        <v>13236.66</v>
      </c>
      <c r="Z200" s="196">
        <f t="shared" si="16"/>
        <v>2.0499705745702337</v>
      </c>
      <c r="AA200" s="95"/>
      <c r="AB200" s="193">
        <v>0</v>
      </c>
      <c r="AC200" s="193"/>
      <c r="AD200" s="197">
        <v>2101447.9300000002</v>
      </c>
      <c r="AE200" s="197">
        <f>VLOOKUP(B200,Reference!A:B,2,0)</f>
        <v>13908.8</v>
      </c>
    </row>
    <row r="201" spans="1:31">
      <c r="A201" s="3">
        <v>1996</v>
      </c>
      <c r="B201" s="3" t="s">
        <v>445</v>
      </c>
      <c r="C201" s="191">
        <v>35096</v>
      </c>
      <c r="D201" s="192">
        <v>2767731</v>
      </c>
      <c r="E201" s="193">
        <v>224467.46</v>
      </c>
      <c r="F201" s="227">
        <f t="shared" si="12"/>
        <v>8.1101617173056195E-2</v>
      </c>
      <c r="G201" s="194">
        <v>67641</v>
      </c>
      <c r="H201" s="193">
        <v>20431.53</v>
      </c>
      <c r="I201" s="193">
        <f t="shared" si="13"/>
        <v>0.30205836696678051</v>
      </c>
      <c r="J201" s="229"/>
      <c r="K201" s="193"/>
      <c r="L201" s="195"/>
      <c r="M201" s="193"/>
      <c r="N201" s="229"/>
      <c r="O201" s="193"/>
      <c r="P201" s="3"/>
      <c r="Q201" s="196"/>
      <c r="R201" s="194">
        <v>0</v>
      </c>
      <c r="S201" s="193">
        <v>0</v>
      </c>
      <c r="T201" s="193">
        <f t="shared" si="17"/>
        <v>0</v>
      </c>
      <c r="U201" s="197">
        <v>9256</v>
      </c>
      <c r="V201" s="196">
        <v>10119.82</v>
      </c>
      <c r="W201" s="196">
        <f t="shared" si="15"/>
        <v>1.0933254105445116</v>
      </c>
      <c r="X201" s="197">
        <v>5479</v>
      </c>
      <c r="Y201" s="196">
        <v>11233.26</v>
      </c>
      <c r="Z201" s="196">
        <f t="shared" si="16"/>
        <v>2.0502390947253151</v>
      </c>
      <c r="AA201" s="95"/>
      <c r="AB201" s="193">
        <v>0</v>
      </c>
      <c r="AC201" s="193"/>
      <c r="AD201" s="197">
        <v>2101447.9300000002</v>
      </c>
      <c r="AE201" s="197">
        <f>VLOOKUP(B201,Reference!A:B,2,0)</f>
        <v>13908.8</v>
      </c>
    </row>
    <row r="202" spans="1:31">
      <c r="A202" s="3">
        <v>1996</v>
      </c>
      <c r="B202" s="3" t="s">
        <v>445</v>
      </c>
      <c r="C202" s="191">
        <v>35125</v>
      </c>
      <c r="D202" s="192">
        <v>2588953</v>
      </c>
      <c r="E202" s="193">
        <v>214554.67</v>
      </c>
      <c r="F202" s="227">
        <f t="shared" si="12"/>
        <v>8.2873142154376703E-2</v>
      </c>
      <c r="G202" s="194">
        <v>74203</v>
      </c>
      <c r="H202" s="193">
        <v>21846.86</v>
      </c>
      <c r="I202" s="193">
        <f t="shared" si="13"/>
        <v>0.29442017169117152</v>
      </c>
      <c r="J202" s="229"/>
      <c r="K202" s="193"/>
      <c r="L202" s="195"/>
      <c r="M202" s="193"/>
      <c r="N202" s="229"/>
      <c r="O202" s="193"/>
      <c r="P202" s="3"/>
      <c r="Q202" s="196"/>
      <c r="R202" s="194">
        <v>0</v>
      </c>
      <c r="S202" s="193">
        <v>0</v>
      </c>
      <c r="T202" s="193">
        <f t="shared" si="17"/>
        <v>0</v>
      </c>
      <c r="U202" s="197">
        <v>9624</v>
      </c>
      <c r="V202" s="196">
        <v>10753.38</v>
      </c>
      <c r="W202" s="196">
        <f t="shared" si="15"/>
        <v>1.1173503740648378</v>
      </c>
      <c r="X202" s="197">
        <v>5695</v>
      </c>
      <c r="Y202" s="196">
        <v>11675.26</v>
      </c>
      <c r="Z202" s="196">
        <f t="shared" si="16"/>
        <v>2.0500895522388061</v>
      </c>
      <c r="AA202" s="95"/>
      <c r="AB202" s="193">
        <v>0</v>
      </c>
      <c r="AC202" s="193"/>
      <c r="AD202" s="197">
        <v>2101447.9300000002</v>
      </c>
      <c r="AE202" s="197">
        <f>VLOOKUP(B202,Reference!A:B,2,0)</f>
        <v>13908.8</v>
      </c>
    </row>
    <row r="203" spans="1:31">
      <c r="A203" s="3">
        <v>1996</v>
      </c>
      <c r="B203" s="3" t="s">
        <v>445</v>
      </c>
      <c r="C203" s="191">
        <v>35156</v>
      </c>
      <c r="D203" s="192">
        <v>1893093</v>
      </c>
      <c r="E203" s="193">
        <v>153627.4</v>
      </c>
      <c r="F203" s="227">
        <f t="shared" si="12"/>
        <v>8.1151533495713093E-2</v>
      </c>
      <c r="G203" s="194">
        <v>39110</v>
      </c>
      <c r="H203" s="193">
        <v>12068.05</v>
      </c>
      <c r="I203" s="193">
        <f t="shared" si="13"/>
        <v>0.30856686269496292</v>
      </c>
      <c r="J203" s="229"/>
      <c r="K203" s="193"/>
      <c r="L203" s="195"/>
      <c r="M203" s="193"/>
      <c r="N203" s="229"/>
      <c r="O203" s="193"/>
      <c r="P203" s="3"/>
      <c r="Q203" s="196"/>
      <c r="R203" s="194">
        <v>0</v>
      </c>
      <c r="S203" s="193">
        <v>0</v>
      </c>
      <c r="T203" s="193">
        <f t="shared" si="17"/>
        <v>0</v>
      </c>
      <c r="U203" s="197">
        <v>13640</v>
      </c>
      <c r="V203" s="196">
        <v>15706.92</v>
      </c>
      <c r="W203" s="196">
        <f t="shared" si="15"/>
        <v>1.151533724340176</v>
      </c>
      <c r="X203" s="197">
        <v>8066</v>
      </c>
      <c r="Y203" s="196">
        <v>16535.37</v>
      </c>
      <c r="Z203" s="196">
        <f t="shared" si="16"/>
        <v>2.0500086784031737</v>
      </c>
      <c r="AA203" s="95"/>
      <c r="AB203" s="193">
        <v>0</v>
      </c>
      <c r="AC203" s="193"/>
      <c r="AD203" s="197">
        <v>2101447.9300000002</v>
      </c>
      <c r="AE203" s="197">
        <f>VLOOKUP(B203,Reference!A:B,2,0)</f>
        <v>13908.8</v>
      </c>
    </row>
    <row r="204" spans="1:31">
      <c r="A204" s="3">
        <v>1996</v>
      </c>
      <c r="B204" s="3" t="s">
        <v>445</v>
      </c>
      <c r="C204" s="191">
        <v>35186</v>
      </c>
      <c r="D204" s="192">
        <v>3197195</v>
      </c>
      <c r="E204" s="193">
        <v>252616.85</v>
      </c>
      <c r="F204" s="227">
        <f t="shared" si="12"/>
        <v>7.9012024602815908E-2</v>
      </c>
      <c r="G204" s="194">
        <v>20392</v>
      </c>
      <c r="H204" s="193">
        <v>8170.59</v>
      </c>
      <c r="I204" s="193">
        <f t="shared" si="13"/>
        <v>0.4006762455865045</v>
      </c>
      <c r="J204" s="229"/>
      <c r="K204" s="193"/>
      <c r="L204" s="195"/>
      <c r="M204" s="193"/>
      <c r="N204" s="229"/>
      <c r="O204" s="193"/>
      <c r="P204" s="3"/>
      <c r="Q204" s="196"/>
      <c r="R204" s="194">
        <v>0</v>
      </c>
      <c r="S204" s="193">
        <v>0</v>
      </c>
      <c r="T204" s="193">
        <f t="shared" si="17"/>
        <v>0</v>
      </c>
      <c r="U204" s="197">
        <v>16498</v>
      </c>
      <c r="V204" s="196">
        <v>24136.880000000001</v>
      </c>
      <c r="W204" s="196">
        <f t="shared" si="15"/>
        <v>1.463018547702752</v>
      </c>
      <c r="X204" s="197">
        <v>9754</v>
      </c>
      <c r="Y204" s="196">
        <v>19996.5</v>
      </c>
      <c r="Z204" s="196">
        <f t="shared" si="16"/>
        <v>2.0500820176337911</v>
      </c>
      <c r="AA204" s="95"/>
      <c r="AB204" s="193">
        <v>0</v>
      </c>
      <c r="AC204" s="193"/>
      <c r="AD204" s="197">
        <v>2101447.9300000002</v>
      </c>
      <c r="AE204" s="197">
        <f>VLOOKUP(B204,Reference!A:B,2,0)</f>
        <v>13908.8</v>
      </c>
    </row>
    <row r="205" spans="1:31">
      <c r="A205" s="3">
        <v>1996</v>
      </c>
      <c r="B205" s="3" t="s">
        <v>445</v>
      </c>
      <c r="C205" s="191">
        <v>35217</v>
      </c>
      <c r="D205" s="192">
        <v>3120599</v>
      </c>
      <c r="E205" s="193">
        <v>257520.23</v>
      </c>
      <c r="F205" s="227">
        <f t="shared" si="12"/>
        <v>8.2522691957537642E-2</v>
      </c>
      <c r="G205" s="194">
        <v>15296</v>
      </c>
      <c r="H205" s="193">
        <v>6676.43</v>
      </c>
      <c r="I205" s="193">
        <f t="shared" si="13"/>
        <v>0.43648208682008371</v>
      </c>
      <c r="J205" s="229"/>
      <c r="K205" s="193"/>
      <c r="L205" s="195"/>
      <c r="M205" s="193"/>
      <c r="N205" s="229"/>
      <c r="O205" s="193"/>
      <c r="P205" s="3"/>
      <c r="Q205" s="196"/>
      <c r="R205" s="194">
        <v>0</v>
      </c>
      <c r="S205" s="193">
        <v>0</v>
      </c>
      <c r="T205" s="193">
        <f t="shared" si="17"/>
        <v>0</v>
      </c>
      <c r="U205" s="197">
        <v>18678</v>
      </c>
      <c r="V205" s="196">
        <v>42984.94</v>
      </c>
      <c r="W205" s="196">
        <f t="shared" si="15"/>
        <v>2.3013673840882323</v>
      </c>
      <c r="X205" s="197">
        <v>11025</v>
      </c>
      <c r="Y205" s="196">
        <v>22602.35</v>
      </c>
      <c r="Z205" s="196">
        <f t="shared" si="16"/>
        <v>2.0500997732426303</v>
      </c>
      <c r="AA205" s="95"/>
      <c r="AB205" s="193">
        <v>0</v>
      </c>
      <c r="AC205" s="193"/>
      <c r="AD205" s="197">
        <v>2101447.9300000002</v>
      </c>
      <c r="AE205" s="197">
        <f>VLOOKUP(B205,Reference!A:B,2,0)</f>
        <v>13908.8</v>
      </c>
    </row>
    <row r="206" spans="1:31">
      <c r="A206" s="3">
        <v>1996</v>
      </c>
      <c r="B206" s="3" t="s">
        <v>446</v>
      </c>
      <c r="C206" s="191">
        <v>35247</v>
      </c>
      <c r="D206" s="192">
        <v>3577155</v>
      </c>
      <c r="E206" s="193">
        <v>285620.3</v>
      </c>
      <c r="F206" s="227">
        <f t="shared" si="12"/>
        <v>7.9845659469606436E-2</v>
      </c>
      <c r="G206" s="194">
        <v>13870</v>
      </c>
      <c r="H206" s="193">
        <v>6538.02</v>
      </c>
      <c r="I206" s="193">
        <f t="shared" si="13"/>
        <v>0.47137851478010095</v>
      </c>
      <c r="J206" s="229"/>
      <c r="K206" s="193"/>
      <c r="L206" s="195"/>
      <c r="M206" s="193"/>
      <c r="N206" s="229"/>
      <c r="O206" s="193"/>
      <c r="P206" s="3"/>
      <c r="Q206" s="196"/>
      <c r="R206" s="194"/>
      <c r="S206" s="193"/>
      <c r="T206" s="193"/>
      <c r="U206" s="197">
        <v>19673</v>
      </c>
      <c r="V206" s="196">
        <v>45896.79</v>
      </c>
      <c r="W206" s="196">
        <f t="shared" ref="W206:W241" si="18">IF(U206=0,0,V206/U206)</f>
        <v>2.3329837848828343</v>
      </c>
      <c r="X206" s="197">
        <v>11641</v>
      </c>
      <c r="Y206" s="196">
        <v>23865.42</v>
      </c>
      <c r="Z206" s="196">
        <f t="shared" si="16"/>
        <v>2.0501176874838931</v>
      </c>
      <c r="AA206" s="95"/>
      <c r="AB206" s="193">
        <v>0</v>
      </c>
      <c r="AC206" s="193"/>
      <c r="AD206" s="197">
        <v>2101447.9300000002</v>
      </c>
      <c r="AE206" s="197">
        <f>VLOOKUP(B206,Reference!A:B,2,0)</f>
        <v>14034.5</v>
      </c>
    </row>
    <row r="207" spans="1:31">
      <c r="A207" s="3">
        <v>1996</v>
      </c>
      <c r="B207" s="3" t="s">
        <v>446</v>
      </c>
      <c r="C207" s="191">
        <v>35278</v>
      </c>
      <c r="D207" s="192">
        <v>3618826</v>
      </c>
      <c r="E207" s="193">
        <v>289001.78999999998</v>
      </c>
      <c r="F207" s="227">
        <f t="shared" si="12"/>
        <v>7.9860648177060733E-2</v>
      </c>
      <c r="G207" s="194">
        <v>12351</v>
      </c>
      <c r="H207" s="193">
        <v>5964.7</v>
      </c>
      <c r="I207" s="193">
        <f t="shared" si="13"/>
        <v>0.48293255606833452</v>
      </c>
      <c r="J207" s="229"/>
      <c r="K207" s="193"/>
      <c r="L207" s="195"/>
      <c r="M207" s="193"/>
      <c r="N207" s="229"/>
      <c r="O207" s="193"/>
      <c r="P207" s="3"/>
      <c r="Q207" s="196"/>
      <c r="R207" s="194"/>
      <c r="S207" s="193"/>
      <c r="T207" s="193"/>
      <c r="U207" s="197">
        <v>22694</v>
      </c>
      <c r="V207" s="196">
        <v>53581.87</v>
      </c>
      <c r="W207" s="196">
        <f t="shared" si="18"/>
        <v>2.3610588701859525</v>
      </c>
      <c r="X207" s="197">
        <v>13439</v>
      </c>
      <c r="Y207" s="196">
        <v>51245.86</v>
      </c>
      <c r="Z207" s="196">
        <f t="shared" si="16"/>
        <v>3.813219733611132</v>
      </c>
      <c r="AA207" s="95"/>
      <c r="AB207" s="193">
        <v>0</v>
      </c>
      <c r="AC207" s="193"/>
      <c r="AD207" s="197">
        <v>2101447.9300000002</v>
      </c>
      <c r="AE207" s="197">
        <f>VLOOKUP(B207,Reference!A:B,2,0)</f>
        <v>14034.5</v>
      </c>
    </row>
    <row r="208" spans="1:31">
      <c r="A208" s="3">
        <v>1996</v>
      </c>
      <c r="B208" s="3" t="s">
        <v>446</v>
      </c>
      <c r="C208" s="191">
        <v>35309</v>
      </c>
      <c r="D208" s="192">
        <v>3053565</v>
      </c>
      <c r="E208" s="193">
        <v>253222.17</v>
      </c>
      <c r="F208" s="227">
        <f t="shared" si="12"/>
        <v>8.29267331790874E-2</v>
      </c>
      <c r="G208" s="194">
        <v>14466</v>
      </c>
      <c r="H208" s="193">
        <v>6530.98</v>
      </c>
      <c r="I208" s="193">
        <f t="shared" si="13"/>
        <v>0.45147103553159129</v>
      </c>
      <c r="J208" s="229"/>
      <c r="K208" s="193"/>
      <c r="L208" s="195"/>
      <c r="M208" s="193"/>
      <c r="N208" s="229"/>
      <c r="O208" s="193"/>
      <c r="P208" s="3"/>
      <c r="Q208" s="196"/>
      <c r="R208" s="194"/>
      <c r="S208" s="193"/>
      <c r="T208" s="193"/>
      <c r="U208" s="197">
        <v>15793</v>
      </c>
      <c r="V208" s="196">
        <v>35257.42</v>
      </c>
      <c r="W208" s="196">
        <f t="shared" si="18"/>
        <v>2.2324713480655984</v>
      </c>
      <c r="X208" s="197">
        <v>9342</v>
      </c>
      <c r="Y208" s="196">
        <v>19152.97</v>
      </c>
      <c r="Z208" s="196">
        <f t="shared" si="16"/>
        <v>2.0502001712695357</v>
      </c>
      <c r="AA208" s="95"/>
      <c r="AB208" s="193">
        <v>0</v>
      </c>
      <c r="AC208" s="193"/>
      <c r="AD208" s="197">
        <v>2101447.9300000002</v>
      </c>
      <c r="AE208" s="197">
        <f>VLOOKUP(B208,Reference!A:B,2,0)</f>
        <v>14034.5</v>
      </c>
    </row>
    <row r="209" spans="1:31">
      <c r="A209" s="3">
        <v>1996</v>
      </c>
      <c r="B209" s="3" t="s">
        <v>446</v>
      </c>
      <c r="C209" s="191">
        <v>35339</v>
      </c>
      <c r="D209" s="192">
        <v>3063749</v>
      </c>
      <c r="E209" s="193">
        <v>262871.21999999997</v>
      </c>
      <c r="F209" s="227">
        <f t="shared" si="12"/>
        <v>8.580050780922327E-2</v>
      </c>
      <c r="G209" s="194">
        <v>31433</v>
      </c>
      <c r="H209" s="193">
        <v>11271.64</v>
      </c>
      <c r="I209" s="193">
        <f t="shared" si="13"/>
        <v>0.35859256195717876</v>
      </c>
      <c r="J209" s="229"/>
      <c r="K209" s="193"/>
      <c r="L209" s="195"/>
      <c r="M209" s="193"/>
      <c r="N209" s="229"/>
      <c r="O209" s="193"/>
      <c r="P209" s="3"/>
      <c r="Q209" s="196"/>
      <c r="R209" s="194"/>
      <c r="S209" s="193"/>
      <c r="T209" s="193"/>
      <c r="U209" s="197">
        <v>14951</v>
      </c>
      <c r="V209" s="196">
        <v>28233.52</v>
      </c>
      <c r="W209" s="196">
        <f t="shared" si="18"/>
        <v>1.8884034512741623</v>
      </c>
      <c r="X209" s="197">
        <v>8850</v>
      </c>
      <c r="Y209" s="196">
        <v>18141.8</v>
      </c>
      <c r="Z209" s="196">
        <f t="shared" si="16"/>
        <v>2.0499209039548023</v>
      </c>
      <c r="AA209" s="95"/>
      <c r="AB209" s="193">
        <v>0</v>
      </c>
      <c r="AC209" s="193"/>
      <c r="AD209" s="197">
        <v>2101447.9300000002</v>
      </c>
      <c r="AE209" s="197">
        <f>VLOOKUP(B209,Reference!A:B,2,0)</f>
        <v>14034.5</v>
      </c>
    </row>
    <row r="210" spans="1:31">
      <c r="A210" s="3">
        <v>1996</v>
      </c>
      <c r="B210" s="3" t="s">
        <v>446</v>
      </c>
      <c r="C210" s="191">
        <v>35370</v>
      </c>
      <c r="D210" s="192">
        <v>2588250</v>
      </c>
      <c r="E210" s="193">
        <v>217633.53</v>
      </c>
      <c r="F210" s="227">
        <f t="shared" si="12"/>
        <v>8.4085204288611992E-2</v>
      </c>
      <c r="G210" s="194">
        <v>43102</v>
      </c>
      <c r="H210" s="193">
        <v>17977.93</v>
      </c>
      <c r="I210" s="193">
        <f t="shared" si="13"/>
        <v>0.41710199062688508</v>
      </c>
      <c r="J210" s="229"/>
      <c r="K210" s="193"/>
      <c r="L210" s="195"/>
      <c r="M210" s="193"/>
      <c r="N210" s="229"/>
      <c r="O210" s="193"/>
      <c r="P210" s="3"/>
      <c r="Q210" s="196"/>
      <c r="R210" s="194"/>
      <c r="S210" s="193"/>
      <c r="T210" s="193"/>
      <c r="U210" s="197">
        <v>13748</v>
      </c>
      <c r="V210" s="196">
        <v>15131.61</v>
      </c>
      <c r="W210" s="196">
        <f t="shared" si="18"/>
        <v>1.1006408204829794</v>
      </c>
      <c r="X210" s="197">
        <v>8135</v>
      </c>
      <c r="Y210" s="196">
        <v>16676.919999999998</v>
      </c>
      <c r="Z210" s="196">
        <f t="shared" si="16"/>
        <v>2.0500208973570988</v>
      </c>
      <c r="AA210" s="95"/>
      <c r="AB210" s="193">
        <v>0</v>
      </c>
      <c r="AC210" s="193"/>
      <c r="AD210" s="197">
        <v>2400664.9300000002</v>
      </c>
      <c r="AE210" s="197">
        <f>VLOOKUP(B210,Reference!A:B,2,0)</f>
        <v>14034.5</v>
      </c>
    </row>
    <row r="211" spans="1:31">
      <c r="A211" s="3">
        <v>1996</v>
      </c>
      <c r="B211" s="3" t="s">
        <v>446</v>
      </c>
      <c r="C211" s="191">
        <v>35400</v>
      </c>
      <c r="D211" s="192">
        <v>2392070</v>
      </c>
      <c r="E211" s="193">
        <v>197319.5</v>
      </c>
      <c r="F211" s="227">
        <f t="shared" si="12"/>
        <v>8.2489015789671702E-2</v>
      </c>
      <c r="G211" s="194">
        <v>75640</v>
      </c>
      <c r="H211" s="193">
        <v>37095.550000000003</v>
      </c>
      <c r="I211" s="193">
        <f t="shared" si="13"/>
        <v>0.4904223955579059</v>
      </c>
      <c r="J211" s="229"/>
      <c r="K211" s="193"/>
      <c r="L211" s="195"/>
      <c r="M211" s="193"/>
      <c r="N211" s="229"/>
      <c r="O211" s="193"/>
      <c r="P211" s="3"/>
      <c r="Q211" s="196"/>
      <c r="R211" s="194"/>
      <c r="S211" s="193"/>
      <c r="T211" s="193"/>
      <c r="U211" s="197">
        <v>8582</v>
      </c>
      <c r="V211" s="196">
        <v>9759.9</v>
      </c>
      <c r="W211" s="196">
        <f t="shared" si="18"/>
        <v>1.1372523887205779</v>
      </c>
      <c r="X211" s="197">
        <v>5080</v>
      </c>
      <c r="Y211" s="196">
        <v>10414.9</v>
      </c>
      <c r="Z211" s="196">
        <f t="shared" si="16"/>
        <v>2.0501771653543308</v>
      </c>
      <c r="AA211" s="95"/>
      <c r="AB211" s="193">
        <v>0</v>
      </c>
      <c r="AC211" s="193"/>
      <c r="AD211" s="197">
        <v>2400664.9300000002</v>
      </c>
      <c r="AE211" s="197">
        <f>VLOOKUP(B211,Reference!A:B,2,0)</f>
        <v>14034.5</v>
      </c>
    </row>
    <row r="212" spans="1:31">
      <c r="A212" s="3">
        <v>1997</v>
      </c>
      <c r="B212" s="3" t="s">
        <v>446</v>
      </c>
      <c r="C212" s="191">
        <v>35431</v>
      </c>
      <c r="D212" s="192">
        <v>2611831</v>
      </c>
      <c r="E212" s="193">
        <v>206546.25</v>
      </c>
      <c r="F212" s="227">
        <f t="shared" si="12"/>
        <v>7.9081016344472524E-2</v>
      </c>
      <c r="G212" s="194">
        <v>99194</v>
      </c>
      <c r="H212" s="193">
        <v>56633.43</v>
      </c>
      <c r="I212" s="193">
        <f t="shared" si="13"/>
        <v>0.57093604451882174</v>
      </c>
      <c r="J212" s="229"/>
      <c r="K212" s="193"/>
      <c r="L212" s="195"/>
      <c r="M212" s="193"/>
      <c r="N212" s="229"/>
      <c r="O212" s="193"/>
      <c r="P212" s="3"/>
      <c r="Q212" s="196"/>
      <c r="R212" s="194"/>
      <c r="S212" s="193"/>
      <c r="T212" s="193"/>
      <c r="U212" s="197">
        <v>9973</v>
      </c>
      <c r="V212" s="196">
        <v>11533.02</v>
      </c>
      <c r="W212" s="196">
        <f t="shared" si="18"/>
        <v>1.1564243457334804</v>
      </c>
      <c r="X212" s="197">
        <v>5906</v>
      </c>
      <c r="Y212" s="196">
        <v>12107.49</v>
      </c>
      <c r="Z212" s="196">
        <f t="shared" si="16"/>
        <v>2.0500321706738909</v>
      </c>
      <c r="AA212" s="95"/>
      <c r="AB212" s="193">
        <v>0</v>
      </c>
      <c r="AC212" s="193"/>
      <c r="AD212" s="197">
        <v>2400664.9300000002</v>
      </c>
      <c r="AE212" s="197">
        <f>VLOOKUP(B212,Reference!A:B,2,0)</f>
        <v>14034.5</v>
      </c>
    </row>
    <row r="213" spans="1:31">
      <c r="A213" s="3">
        <v>1997</v>
      </c>
      <c r="B213" s="3" t="s">
        <v>446</v>
      </c>
      <c r="C213" s="191">
        <v>35462</v>
      </c>
      <c r="D213" s="192">
        <v>2451570</v>
      </c>
      <c r="E213" s="193">
        <v>199326.07</v>
      </c>
      <c r="F213" s="227">
        <f t="shared" si="12"/>
        <v>8.1305477714281052E-2</v>
      </c>
      <c r="G213" s="194">
        <v>60190</v>
      </c>
      <c r="H213" s="193">
        <v>26937.4</v>
      </c>
      <c r="I213" s="193">
        <f t="shared" si="13"/>
        <v>0.44753945838179104</v>
      </c>
      <c r="J213" s="229"/>
      <c r="K213" s="193"/>
      <c r="L213" s="195"/>
      <c r="M213" s="193"/>
      <c r="N213" s="229"/>
      <c r="O213" s="193"/>
      <c r="P213" s="3"/>
      <c r="Q213" s="196"/>
      <c r="R213" s="194"/>
      <c r="S213" s="193"/>
      <c r="T213" s="193"/>
      <c r="U213" s="197">
        <v>12196</v>
      </c>
      <c r="V213" s="196">
        <v>13990.55</v>
      </c>
      <c r="W213" s="196">
        <f t="shared" si="18"/>
        <v>1.1471425057395868</v>
      </c>
      <c r="X213" s="197">
        <v>7219</v>
      </c>
      <c r="Y213" s="196">
        <v>14799.69</v>
      </c>
      <c r="Z213" s="196">
        <f t="shared" si="16"/>
        <v>2.0501025072724754</v>
      </c>
      <c r="AA213" s="95"/>
      <c r="AB213" s="193">
        <v>0</v>
      </c>
      <c r="AC213" s="193"/>
      <c r="AD213" s="197">
        <v>2400664.9300000002</v>
      </c>
      <c r="AE213" s="197">
        <f>VLOOKUP(B213,Reference!A:B,2,0)</f>
        <v>14034.5</v>
      </c>
    </row>
    <row r="214" spans="1:31">
      <c r="A214" s="3">
        <v>1997</v>
      </c>
      <c r="B214" s="3" t="s">
        <v>446</v>
      </c>
      <c r="C214" s="191">
        <v>35490</v>
      </c>
      <c r="D214" s="192">
        <v>2628529</v>
      </c>
      <c r="E214" s="193">
        <v>213938.38</v>
      </c>
      <c r="F214" s="227">
        <f t="shared" si="12"/>
        <v>8.1390914842484147E-2</v>
      </c>
      <c r="G214" s="194">
        <v>35899</v>
      </c>
      <c r="H214" s="193">
        <v>13838.91</v>
      </c>
      <c r="I214" s="193">
        <f t="shared" si="13"/>
        <v>0.38549569625894869</v>
      </c>
      <c r="J214" s="229"/>
      <c r="K214" s="193"/>
      <c r="L214" s="195"/>
      <c r="M214" s="193"/>
      <c r="N214" s="229"/>
      <c r="O214" s="193"/>
      <c r="P214" s="3"/>
      <c r="Q214" s="196"/>
      <c r="R214" s="194"/>
      <c r="S214" s="193"/>
      <c r="T214" s="193"/>
      <c r="U214" s="197">
        <v>8674</v>
      </c>
      <c r="V214" s="196">
        <v>10106.799999999999</v>
      </c>
      <c r="W214" s="196">
        <f t="shared" si="18"/>
        <v>1.1651833064330182</v>
      </c>
      <c r="X214" s="197">
        <v>5140</v>
      </c>
      <c r="Y214" s="196">
        <v>10537.1</v>
      </c>
      <c r="Z214" s="196">
        <f t="shared" si="16"/>
        <v>2.0500194552529183</v>
      </c>
      <c r="AA214" s="95"/>
      <c r="AB214" s="193">
        <v>0</v>
      </c>
      <c r="AC214" s="193"/>
      <c r="AD214" s="197">
        <v>2400664.9300000002</v>
      </c>
      <c r="AE214" s="197">
        <f>VLOOKUP(B214,Reference!A:B,2,0)</f>
        <v>14034.5</v>
      </c>
    </row>
    <row r="215" spans="1:31">
      <c r="A215" s="3">
        <v>1997</v>
      </c>
      <c r="B215" s="3" t="s">
        <v>446</v>
      </c>
      <c r="C215" s="191">
        <v>35521</v>
      </c>
      <c r="D215" s="192">
        <v>2709463</v>
      </c>
      <c r="E215" s="193">
        <v>230432.31</v>
      </c>
      <c r="F215" s="227">
        <f t="shared" si="12"/>
        <v>8.504722522507227E-2</v>
      </c>
      <c r="G215" s="194">
        <v>35786</v>
      </c>
      <c r="H215" s="193">
        <v>13608.64</v>
      </c>
      <c r="I215" s="193">
        <f t="shared" si="13"/>
        <v>0.38027832113116861</v>
      </c>
      <c r="J215" s="229"/>
      <c r="K215" s="193"/>
      <c r="L215" s="195"/>
      <c r="M215" s="193"/>
      <c r="N215" s="229"/>
      <c r="O215" s="193"/>
      <c r="P215" s="3"/>
      <c r="Q215" s="196"/>
      <c r="R215" s="194"/>
      <c r="S215" s="193"/>
      <c r="T215" s="193"/>
      <c r="U215" s="197">
        <v>16488</v>
      </c>
      <c r="V215" s="196">
        <v>18786.61</v>
      </c>
      <c r="W215" s="196">
        <f t="shared" si="18"/>
        <v>1.1394110868510432</v>
      </c>
      <c r="X215" s="197">
        <v>9754</v>
      </c>
      <c r="Y215" s="196">
        <v>19996.16</v>
      </c>
      <c r="Z215" s="196">
        <f t="shared" si="16"/>
        <v>2.0500471601394299</v>
      </c>
      <c r="AA215" s="95"/>
      <c r="AB215" s="193">
        <v>0</v>
      </c>
      <c r="AC215" s="193"/>
      <c r="AD215" s="197">
        <v>2400664.9300000002</v>
      </c>
      <c r="AE215" s="197">
        <f>VLOOKUP(B215,Reference!A:B,2,0)</f>
        <v>14034.5</v>
      </c>
    </row>
    <row r="216" spans="1:31">
      <c r="A216" s="3">
        <v>1997</v>
      </c>
      <c r="B216" s="3" t="s">
        <v>446</v>
      </c>
      <c r="C216" s="191">
        <v>35551</v>
      </c>
      <c r="D216" s="192">
        <v>3354280</v>
      </c>
      <c r="E216" s="193">
        <v>277038.84999999998</v>
      </c>
      <c r="F216" s="227">
        <f t="shared" si="12"/>
        <v>8.259264283244093E-2</v>
      </c>
      <c r="G216" s="194">
        <v>17415</v>
      </c>
      <c r="H216" s="193">
        <v>8414.41</v>
      </c>
      <c r="I216" s="193">
        <f t="shared" si="13"/>
        <v>0.48317025552684467</v>
      </c>
      <c r="J216" s="229"/>
      <c r="K216" s="193"/>
      <c r="L216" s="195"/>
      <c r="M216" s="193"/>
      <c r="N216" s="229"/>
      <c r="O216" s="193"/>
      <c r="P216" s="3"/>
      <c r="Q216" s="196"/>
      <c r="R216" s="194"/>
      <c r="S216" s="193"/>
      <c r="T216" s="193"/>
      <c r="U216" s="197">
        <v>10163</v>
      </c>
      <c r="V216" s="196">
        <v>15115.59</v>
      </c>
      <c r="W216" s="196">
        <f t="shared" si="18"/>
        <v>1.4873157532224737</v>
      </c>
      <c r="X216" s="197">
        <v>6021</v>
      </c>
      <c r="Y216" s="196">
        <v>12343.17</v>
      </c>
      <c r="Z216" s="196">
        <f t="shared" si="16"/>
        <v>2.0500199302441455</v>
      </c>
      <c r="AA216" s="95"/>
      <c r="AB216" s="193">
        <v>0</v>
      </c>
      <c r="AC216" s="193"/>
      <c r="AD216" s="197">
        <v>2400664.9300000002</v>
      </c>
      <c r="AE216" s="197">
        <f>VLOOKUP(B216,Reference!A:B,2,0)</f>
        <v>14034.5</v>
      </c>
    </row>
    <row r="217" spans="1:31">
      <c r="A217" s="3">
        <v>1997</v>
      </c>
      <c r="B217" s="3" t="s">
        <v>446</v>
      </c>
      <c r="C217" s="191">
        <v>35582</v>
      </c>
      <c r="D217" s="192">
        <v>2976882</v>
      </c>
      <c r="E217" s="193">
        <v>260943.33</v>
      </c>
      <c r="F217" s="227">
        <f t="shared" si="12"/>
        <v>8.7656591695606342E-2</v>
      </c>
      <c r="G217" s="194">
        <v>18164</v>
      </c>
      <c r="H217" s="193">
        <v>8108.98</v>
      </c>
      <c r="I217" s="193">
        <f t="shared" si="13"/>
        <v>0.44643140277471921</v>
      </c>
      <c r="J217" s="229"/>
      <c r="K217" s="193"/>
      <c r="L217" s="195"/>
      <c r="M217" s="193"/>
      <c r="N217" s="229"/>
      <c r="O217" s="193"/>
      <c r="P217" s="3"/>
      <c r="Q217" s="196"/>
      <c r="R217" s="194"/>
      <c r="S217" s="193"/>
      <c r="T217" s="193"/>
      <c r="U217" s="197">
        <v>15101</v>
      </c>
      <c r="V217" s="196">
        <v>35138.050000000003</v>
      </c>
      <c r="W217" s="196">
        <f t="shared" si="18"/>
        <v>2.3268690815177804</v>
      </c>
      <c r="X217" s="197">
        <v>9101</v>
      </c>
      <c r="Y217" s="196">
        <v>18391.36</v>
      </c>
      <c r="Z217" s="196">
        <f t="shared" si="16"/>
        <v>2.0208065047796948</v>
      </c>
      <c r="AA217" s="95"/>
      <c r="AB217" s="193">
        <v>0</v>
      </c>
      <c r="AC217" s="193"/>
      <c r="AD217" s="197">
        <v>2425607.54</v>
      </c>
      <c r="AE217" s="197">
        <f>VLOOKUP(B217,Reference!A:B,2,0)</f>
        <v>14034.5</v>
      </c>
    </row>
    <row r="218" spans="1:31">
      <c r="A218" s="3">
        <v>1997</v>
      </c>
      <c r="B218" s="3" t="s">
        <v>447</v>
      </c>
      <c r="C218" s="191">
        <v>35612</v>
      </c>
      <c r="D218" s="192">
        <v>3131545</v>
      </c>
      <c r="E218" s="193">
        <v>277440.37</v>
      </c>
      <c r="F218" s="227">
        <f t="shared" si="12"/>
        <v>8.8595364269074842E-2</v>
      </c>
      <c r="G218" s="194">
        <v>15645</v>
      </c>
      <c r="H218" s="193">
        <v>7090.35</v>
      </c>
      <c r="I218" s="193">
        <f t="shared" si="13"/>
        <v>0.45320230105465009</v>
      </c>
      <c r="J218" s="229"/>
      <c r="K218" s="193"/>
      <c r="L218" s="195"/>
      <c r="M218" s="193"/>
      <c r="N218" s="229"/>
      <c r="O218" s="193"/>
      <c r="P218" s="3"/>
      <c r="Q218" s="196"/>
      <c r="R218" s="194"/>
      <c r="S218" s="193"/>
      <c r="T218" s="193"/>
      <c r="U218" s="197">
        <v>6923</v>
      </c>
      <c r="V218" s="196">
        <v>14332.21</v>
      </c>
      <c r="W218" s="196">
        <f t="shared" si="18"/>
        <v>2.0702311136790406</v>
      </c>
      <c r="X218" s="197">
        <v>3691</v>
      </c>
      <c r="Y218" s="196">
        <v>8411.7099999999991</v>
      </c>
      <c r="Z218" s="196">
        <f t="shared" si="16"/>
        <v>2.2789785965862905</v>
      </c>
      <c r="AA218" s="95"/>
      <c r="AB218" s="193">
        <v>0</v>
      </c>
      <c r="AC218" s="193"/>
      <c r="AD218" s="197">
        <v>2425607.54</v>
      </c>
      <c r="AE218" s="197">
        <f>VLOOKUP(B218,Reference!A:B,2,0)</f>
        <v>14448</v>
      </c>
    </row>
    <row r="219" spans="1:31">
      <c r="A219" s="3">
        <v>1997</v>
      </c>
      <c r="B219" s="3" t="s">
        <v>447</v>
      </c>
      <c r="C219" s="191">
        <v>35643</v>
      </c>
      <c r="D219" s="192">
        <v>3237315</v>
      </c>
      <c r="E219" s="193">
        <v>281064.87</v>
      </c>
      <c r="F219" s="227">
        <f t="shared" si="12"/>
        <v>8.6820365024719556E-2</v>
      </c>
      <c r="G219" s="194">
        <v>12230</v>
      </c>
      <c r="H219" s="193">
        <v>6194.09</v>
      </c>
      <c r="I219" s="193">
        <f t="shared" si="13"/>
        <v>0.50646688470973023</v>
      </c>
      <c r="J219" s="229"/>
      <c r="K219" s="193"/>
      <c r="L219" s="195"/>
      <c r="M219" s="193"/>
      <c r="N219" s="229"/>
      <c r="O219" s="193"/>
      <c r="P219" s="3"/>
      <c r="Q219" s="196"/>
      <c r="R219" s="194"/>
      <c r="S219" s="193"/>
      <c r="T219" s="193"/>
      <c r="U219" s="197">
        <v>11787</v>
      </c>
      <c r="V219" s="196">
        <v>22330.53</v>
      </c>
      <c r="W219" s="196">
        <f t="shared" si="18"/>
        <v>1.8945049630949351</v>
      </c>
      <c r="X219" s="197">
        <v>6368</v>
      </c>
      <c r="Y219" s="196">
        <v>14512.55</v>
      </c>
      <c r="Z219" s="196">
        <f t="shared" si="16"/>
        <v>2.2789808417085426</v>
      </c>
      <c r="AA219" s="95"/>
      <c r="AB219" s="193">
        <v>0</v>
      </c>
      <c r="AC219" s="193"/>
      <c r="AD219" s="197">
        <v>2425607.54</v>
      </c>
      <c r="AE219" s="197">
        <f>VLOOKUP(B219,Reference!A:B,2,0)</f>
        <v>14448</v>
      </c>
    </row>
    <row r="220" spans="1:31">
      <c r="A220" s="3">
        <v>1997</v>
      </c>
      <c r="B220" s="3" t="s">
        <v>447</v>
      </c>
      <c r="C220" s="191">
        <v>35674</v>
      </c>
      <c r="D220" s="192">
        <v>3094811</v>
      </c>
      <c r="E220" s="193">
        <v>273579.24</v>
      </c>
      <c r="F220" s="227">
        <f t="shared" si="12"/>
        <v>8.839933682541519E-2</v>
      </c>
      <c r="G220" s="194">
        <v>11905</v>
      </c>
      <c r="H220" s="193">
        <v>6703.11</v>
      </c>
      <c r="I220" s="193">
        <f t="shared" si="13"/>
        <v>0.56304997900041998</v>
      </c>
      <c r="J220" s="229"/>
      <c r="K220" s="193"/>
      <c r="L220" s="195"/>
      <c r="M220" s="193"/>
      <c r="N220" s="229"/>
      <c r="O220" s="193"/>
      <c r="P220" s="3"/>
      <c r="Q220" s="196"/>
      <c r="R220" s="194"/>
      <c r="S220" s="193"/>
      <c r="T220" s="193"/>
      <c r="U220" s="197">
        <v>10861</v>
      </c>
      <c r="V220" s="196">
        <v>19549.740000000002</v>
      </c>
      <c r="W220" s="196">
        <f t="shared" si="18"/>
        <v>1.7999944756468098</v>
      </c>
      <c r="X220" s="197">
        <v>5898</v>
      </c>
      <c r="Y220" s="196">
        <v>13441.42</v>
      </c>
      <c r="Z220" s="196">
        <f t="shared" si="16"/>
        <v>2.2789793150220414</v>
      </c>
      <c r="AA220" s="95"/>
      <c r="AB220" s="193">
        <v>0</v>
      </c>
      <c r="AC220" s="193"/>
      <c r="AD220" s="197">
        <v>2425607.54</v>
      </c>
      <c r="AE220" s="197">
        <f>VLOOKUP(B220,Reference!A:B,2,0)</f>
        <v>14448</v>
      </c>
    </row>
    <row r="221" spans="1:31">
      <c r="A221" s="3">
        <v>1997</v>
      </c>
      <c r="B221" s="3" t="s">
        <v>447</v>
      </c>
      <c r="C221" s="191">
        <v>35704</v>
      </c>
      <c r="D221" s="192">
        <v>2965501</v>
      </c>
      <c r="E221" s="193">
        <v>248064.83</v>
      </c>
      <c r="F221" s="227">
        <f t="shared" si="12"/>
        <v>8.3650226386704968E-2</v>
      </c>
      <c r="G221" s="194">
        <v>27366</v>
      </c>
      <c r="H221" s="193">
        <v>13435.17</v>
      </c>
      <c r="I221" s="193">
        <f t="shared" si="13"/>
        <v>0.49094387195790395</v>
      </c>
      <c r="J221" s="229"/>
      <c r="K221" s="193"/>
      <c r="L221" s="195"/>
      <c r="M221" s="193"/>
      <c r="N221" s="229"/>
      <c r="O221" s="193"/>
      <c r="P221" s="3"/>
      <c r="Q221" s="196"/>
      <c r="R221" s="194"/>
      <c r="S221" s="193"/>
      <c r="T221" s="193"/>
      <c r="U221" s="197">
        <v>18424</v>
      </c>
      <c r="V221" s="196">
        <v>36296.01</v>
      </c>
      <c r="W221" s="196">
        <f t="shared" si="18"/>
        <v>1.9700396222318717</v>
      </c>
      <c r="X221" s="197">
        <v>18424</v>
      </c>
      <c r="Y221" s="196">
        <v>22589.25</v>
      </c>
      <c r="Z221" s="196">
        <f t="shared" si="16"/>
        <v>1.2260773990447242</v>
      </c>
      <c r="AA221" s="95"/>
      <c r="AB221" s="193">
        <v>0</v>
      </c>
      <c r="AC221" s="193"/>
      <c r="AD221" s="197">
        <v>2425607.54</v>
      </c>
      <c r="AE221" s="197">
        <f>VLOOKUP(B221,Reference!A:B,2,0)</f>
        <v>14448</v>
      </c>
    </row>
    <row r="222" spans="1:31">
      <c r="A222" s="3">
        <v>1997</v>
      </c>
      <c r="B222" s="3" t="s">
        <v>447</v>
      </c>
      <c r="C222" s="191">
        <v>35735</v>
      </c>
      <c r="D222" s="192">
        <v>2496353</v>
      </c>
      <c r="E222" s="193">
        <v>212535.18</v>
      </c>
      <c r="F222" s="227">
        <f t="shared" si="12"/>
        <v>8.5138271710771665E-2</v>
      </c>
      <c r="G222" s="194">
        <v>47070</v>
      </c>
      <c r="H222" s="193">
        <v>19741.509999999998</v>
      </c>
      <c r="I222" s="193">
        <f t="shared" si="13"/>
        <v>0.41940747822392177</v>
      </c>
      <c r="J222" s="229"/>
      <c r="K222" s="193"/>
      <c r="L222" s="195"/>
      <c r="M222" s="193"/>
      <c r="N222" s="229"/>
      <c r="O222" s="193"/>
      <c r="P222" s="3"/>
      <c r="Q222" s="196"/>
      <c r="R222" s="194"/>
      <c r="S222" s="193"/>
      <c r="T222" s="193"/>
      <c r="U222" s="197">
        <v>11929</v>
      </c>
      <c r="V222" s="196">
        <v>14049.64</v>
      </c>
      <c r="W222" s="196">
        <f t="shared" si="18"/>
        <v>1.1777718165814401</v>
      </c>
      <c r="X222" s="197">
        <v>11929</v>
      </c>
      <c r="Y222" s="196">
        <v>14523.94</v>
      </c>
      <c r="Z222" s="196">
        <f t="shared" si="16"/>
        <v>1.2175320647162378</v>
      </c>
      <c r="AA222" s="95"/>
      <c r="AB222" s="193">
        <v>0</v>
      </c>
      <c r="AC222" s="193"/>
      <c r="AD222" s="197">
        <v>2425607.54</v>
      </c>
      <c r="AE222" s="197">
        <f>VLOOKUP(B222,Reference!A:B,2,0)</f>
        <v>14448</v>
      </c>
    </row>
    <row r="223" spans="1:31">
      <c r="A223" s="3">
        <v>1997</v>
      </c>
      <c r="B223" s="3" t="s">
        <v>447</v>
      </c>
      <c r="C223" s="191">
        <v>35765</v>
      </c>
      <c r="D223" s="192">
        <v>2334035</v>
      </c>
      <c r="E223" s="193">
        <v>196425.44</v>
      </c>
      <c r="F223" s="227">
        <f t="shared" si="12"/>
        <v>8.4157024209148529E-2</v>
      </c>
      <c r="G223" s="194">
        <v>75829</v>
      </c>
      <c r="H223" s="193">
        <v>27667.35</v>
      </c>
      <c r="I223" s="193">
        <f t="shared" si="13"/>
        <v>0.36486502525419034</v>
      </c>
      <c r="J223" s="229"/>
      <c r="K223" s="193"/>
      <c r="L223" s="195"/>
      <c r="M223" s="193"/>
      <c r="N223" s="229"/>
      <c r="O223" s="193"/>
      <c r="P223" s="3"/>
      <c r="Q223" s="196"/>
      <c r="R223" s="194"/>
      <c r="S223" s="193"/>
      <c r="T223" s="193"/>
      <c r="U223" s="197">
        <v>9347</v>
      </c>
      <c r="V223" s="196">
        <v>11376.62</v>
      </c>
      <c r="W223" s="196">
        <f t="shared" si="18"/>
        <v>1.217141328768589</v>
      </c>
      <c r="X223" s="197">
        <v>9347</v>
      </c>
      <c r="Y223" s="196">
        <v>11440.47</v>
      </c>
      <c r="Z223" s="196">
        <f t="shared" si="16"/>
        <v>1.2239723975607146</v>
      </c>
      <c r="AA223" s="95"/>
      <c r="AB223" s="193">
        <v>0</v>
      </c>
      <c r="AC223" s="193"/>
      <c r="AD223" s="197">
        <v>2425607.54</v>
      </c>
      <c r="AE223" s="197">
        <f>VLOOKUP(B223,Reference!A:B,2,0)</f>
        <v>14448</v>
      </c>
    </row>
    <row r="224" spans="1:31">
      <c r="A224" s="3">
        <v>1998</v>
      </c>
      <c r="B224" s="3" t="s">
        <v>447</v>
      </c>
      <c r="C224" s="191">
        <v>35796</v>
      </c>
      <c r="D224" s="192">
        <v>2440349</v>
      </c>
      <c r="E224" s="193">
        <v>202001.22</v>
      </c>
      <c r="F224" s="227">
        <f t="shared" si="12"/>
        <v>8.2775545628924391E-2</v>
      </c>
      <c r="G224" s="194">
        <v>91413</v>
      </c>
      <c r="H224" s="193">
        <v>31394.38</v>
      </c>
      <c r="I224" s="193">
        <f t="shared" si="13"/>
        <v>0.34343452244210343</v>
      </c>
      <c r="J224" s="229"/>
      <c r="K224" s="193"/>
      <c r="L224" s="195"/>
      <c r="M224" s="193"/>
      <c r="N224" s="229"/>
      <c r="O224" s="193"/>
      <c r="P224" s="3"/>
      <c r="Q224" s="196"/>
      <c r="R224" s="194"/>
      <c r="S224" s="193"/>
      <c r="T224" s="193"/>
      <c r="U224" s="197">
        <v>8720</v>
      </c>
      <c r="V224" s="196">
        <v>11068.66</v>
      </c>
      <c r="W224" s="196">
        <f t="shared" si="18"/>
        <v>1.269341743119266</v>
      </c>
      <c r="X224" s="197">
        <v>8720</v>
      </c>
      <c r="Y224" s="196">
        <v>10667.91</v>
      </c>
      <c r="Z224" s="196">
        <f t="shared" si="16"/>
        <v>1.2233841743119267</v>
      </c>
      <c r="AA224" s="95"/>
      <c r="AB224" s="193">
        <v>0</v>
      </c>
      <c r="AC224" s="193"/>
      <c r="AD224" s="197">
        <v>2425607.54</v>
      </c>
      <c r="AE224" s="197">
        <f>VLOOKUP(B224,Reference!A:B,2,0)</f>
        <v>14448</v>
      </c>
    </row>
    <row r="225" spans="1:31">
      <c r="A225" s="3">
        <v>1998</v>
      </c>
      <c r="B225" s="3" t="s">
        <v>447</v>
      </c>
      <c r="C225" s="191">
        <v>35827</v>
      </c>
      <c r="D225" s="192">
        <v>2164060</v>
      </c>
      <c r="E225" s="193">
        <v>185945.31</v>
      </c>
      <c r="F225" s="227">
        <f t="shared" si="12"/>
        <v>8.5924285833109987E-2</v>
      </c>
      <c r="G225" s="194">
        <v>75886</v>
      </c>
      <c r="H225" s="193">
        <v>26103.7</v>
      </c>
      <c r="I225" s="193">
        <f t="shared" si="13"/>
        <v>0.3439857154152281</v>
      </c>
      <c r="J225" s="229"/>
      <c r="K225" s="193"/>
      <c r="L225" s="195"/>
      <c r="M225" s="193"/>
      <c r="N225" s="229"/>
      <c r="O225" s="193"/>
      <c r="P225" s="3"/>
      <c r="Q225" s="196"/>
      <c r="R225" s="194"/>
      <c r="S225" s="193"/>
      <c r="T225" s="193"/>
      <c r="U225" s="197">
        <v>7735</v>
      </c>
      <c r="V225" s="196">
        <v>9875.7199999999993</v>
      </c>
      <c r="W225" s="196">
        <f t="shared" si="18"/>
        <v>1.2767575953458306</v>
      </c>
      <c r="X225" s="197">
        <v>7735</v>
      </c>
      <c r="Y225" s="196">
        <v>9473.73</v>
      </c>
      <c r="Z225" s="196">
        <f t="shared" si="16"/>
        <v>1.224787330316742</v>
      </c>
      <c r="AA225" s="95"/>
      <c r="AB225" s="193">
        <v>0</v>
      </c>
      <c r="AC225" s="193"/>
      <c r="AD225" s="197">
        <v>2425607.54</v>
      </c>
      <c r="AE225" s="197">
        <f>VLOOKUP(B225,Reference!A:B,2,0)</f>
        <v>14448</v>
      </c>
    </row>
    <row r="226" spans="1:31">
      <c r="A226" s="3">
        <v>1998</v>
      </c>
      <c r="B226" s="3" t="s">
        <v>447</v>
      </c>
      <c r="C226" s="191">
        <v>35855</v>
      </c>
      <c r="D226" s="192">
        <v>2367144</v>
      </c>
      <c r="E226" s="193">
        <v>195545.36</v>
      </c>
      <c r="F226" s="227">
        <f t="shared" si="12"/>
        <v>8.260813875285998E-2</v>
      </c>
      <c r="G226" s="194">
        <v>59364</v>
      </c>
      <c r="H226" s="193">
        <v>21365.72</v>
      </c>
      <c r="I226" s="193">
        <f t="shared" si="13"/>
        <v>0.35991038339734521</v>
      </c>
      <c r="J226" s="229"/>
      <c r="K226" s="193"/>
      <c r="L226" s="195"/>
      <c r="M226" s="193"/>
      <c r="N226" s="229"/>
      <c r="O226" s="193"/>
      <c r="P226" s="3"/>
      <c r="Q226" s="196"/>
      <c r="R226" s="194"/>
      <c r="S226" s="193"/>
      <c r="T226" s="193"/>
      <c r="U226" s="197">
        <v>7397</v>
      </c>
      <c r="V226" s="196">
        <v>9570.36</v>
      </c>
      <c r="W226" s="196">
        <f t="shared" si="18"/>
        <v>1.2938164120589428</v>
      </c>
      <c r="X226" s="197">
        <v>7397</v>
      </c>
      <c r="Y226" s="196">
        <v>9054.39</v>
      </c>
      <c r="Z226" s="196">
        <f t="shared" si="16"/>
        <v>1.2240624577531432</v>
      </c>
      <c r="AA226" s="95"/>
      <c r="AB226" s="193">
        <v>0</v>
      </c>
      <c r="AC226" s="193"/>
      <c r="AD226" s="197">
        <v>2425607.54</v>
      </c>
      <c r="AE226" s="197">
        <f>VLOOKUP(B226,Reference!A:B,2,0)</f>
        <v>14448</v>
      </c>
    </row>
    <row r="227" spans="1:31">
      <c r="A227" s="3">
        <v>1998</v>
      </c>
      <c r="B227" s="3" t="s">
        <v>447</v>
      </c>
      <c r="C227" s="191">
        <v>35886</v>
      </c>
      <c r="D227" s="192">
        <v>2385318</v>
      </c>
      <c r="E227" s="193">
        <v>202028.13</v>
      </c>
      <c r="F227" s="227">
        <f t="shared" si="12"/>
        <v>8.4696518451627831E-2</v>
      </c>
      <c r="G227" s="194">
        <v>59051</v>
      </c>
      <c r="H227" s="193">
        <v>21535.14</v>
      </c>
      <c r="I227" s="193">
        <f t="shared" si="13"/>
        <v>0.36468713484953685</v>
      </c>
      <c r="J227" s="229"/>
      <c r="K227" s="193"/>
      <c r="L227" s="195"/>
      <c r="M227" s="193"/>
      <c r="N227" s="229"/>
      <c r="O227" s="193"/>
      <c r="P227" s="3"/>
      <c r="Q227" s="196"/>
      <c r="R227" s="194"/>
      <c r="S227" s="193"/>
      <c r="T227" s="193"/>
      <c r="U227" s="197">
        <v>11366</v>
      </c>
      <c r="V227" s="196">
        <v>14735.82</v>
      </c>
      <c r="W227" s="196">
        <f t="shared" si="18"/>
        <v>1.2964824916417386</v>
      </c>
      <c r="X227" s="197">
        <v>11366</v>
      </c>
      <c r="Y227" s="196">
        <v>13897.22</v>
      </c>
      <c r="Z227" s="196">
        <f t="shared" si="16"/>
        <v>1.2227010381840577</v>
      </c>
      <c r="AA227" s="95"/>
      <c r="AB227" s="193">
        <v>0</v>
      </c>
      <c r="AC227" s="193"/>
      <c r="AD227" s="197">
        <v>2425607.54</v>
      </c>
      <c r="AE227" s="197">
        <f>VLOOKUP(B227,Reference!A:B,2,0)</f>
        <v>14448</v>
      </c>
    </row>
    <row r="228" spans="1:31">
      <c r="A228" s="3">
        <v>1998</v>
      </c>
      <c r="B228" s="3" t="s">
        <v>447</v>
      </c>
      <c r="C228" s="191">
        <v>35916</v>
      </c>
      <c r="D228" s="192">
        <v>2406925</v>
      </c>
      <c r="E228" s="193">
        <v>200572.67</v>
      </c>
      <c r="F228" s="227">
        <f t="shared" si="12"/>
        <v>8.3331499735139244E-2</v>
      </c>
      <c r="G228" s="194">
        <v>42159</v>
      </c>
      <c r="H228" s="193">
        <v>15190.69</v>
      </c>
      <c r="I228" s="193">
        <f t="shared" si="13"/>
        <v>0.36031903033753176</v>
      </c>
      <c r="J228" s="229"/>
      <c r="K228" s="193"/>
      <c r="L228" s="195"/>
      <c r="M228" s="193"/>
      <c r="N228" s="229"/>
      <c r="O228" s="193"/>
      <c r="P228" s="3"/>
      <c r="Q228" s="196"/>
      <c r="R228" s="194"/>
      <c r="S228" s="193"/>
      <c r="T228" s="193"/>
      <c r="U228" s="197">
        <v>12858</v>
      </c>
      <c r="V228" s="196">
        <v>19707.41</v>
      </c>
      <c r="W228" s="196">
        <f t="shared" si="18"/>
        <v>1.532696375797169</v>
      </c>
      <c r="X228" s="197">
        <v>12858</v>
      </c>
      <c r="Y228" s="196">
        <v>15718.13</v>
      </c>
      <c r="Z228" s="196">
        <f t="shared" si="16"/>
        <v>1.2224397262404727</v>
      </c>
      <c r="AA228" s="95"/>
      <c r="AB228" s="193">
        <v>0</v>
      </c>
      <c r="AC228" s="193"/>
      <c r="AD228" s="197">
        <v>2425607.54</v>
      </c>
      <c r="AE228" s="197">
        <f>VLOOKUP(B228,Reference!A:B,2,0)</f>
        <v>14448</v>
      </c>
    </row>
    <row r="229" spans="1:31">
      <c r="A229" s="3">
        <v>1998</v>
      </c>
      <c r="B229" s="3" t="s">
        <v>447</v>
      </c>
      <c r="C229" s="191">
        <v>35947</v>
      </c>
      <c r="D229" s="192">
        <v>2296178</v>
      </c>
      <c r="E229" s="193">
        <v>193100.73</v>
      </c>
      <c r="F229" s="227">
        <f t="shared" si="12"/>
        <v>8.4096585717657782E-2</v>
      </c>
      <c r="G229" s="194">
        <v>26967</v>
      </c>
      <c r="H229" s="193">
        <v>10580.14</v>
      </c>
      <c r="I229" s="193">
        <f t="shared" si="13"/>
        <v>0.39233655949864649</v>
      </c>
      <c r="J229" s="229"/>
      <c r="K229" s="193"/>
      <c r="L229" s="195"/>
      <c r="M229" s="193"/>
      <c r="N229" s="229"/>
      <c r="O229" s="193"/>
      <c r="P229" s="3"/>
      <c r="Q229" s="196"/>
      <c r="R229" s="194"/>
      <c r="S229" s="193"/>
      <c r="T229" s="193"/>
      <c r="U229" s="197">
        <v>14755</v>
      </c>
      <c r="V229" s="196">
        <v>31169.87</v>
      </c>
      <c r="W229" s="196">
        <f t="shared" si="18"/>
        <v>2.1124954252795662</v>
      </c>
      <c r="X229" s="197">
        <v>7918</v>
      </c>
      <c r="Y229" s="196">
        <v>18044.96</v>
      </c>
      <c r="Z229" s="196">
        <f t="shared" si="16"/>
        <v>2.2789795402879514</v>
      </c>
      <c r="AA229" s="95"/>
      <c r="AB229" s="193">
        <v>0</v>
      </c>
      <c r="AC229" s="193"/>
      <c r="AD229" s="197">
        <v>2425607.54</v>
      </c>
      <c r="AE229" s="197">
        <f>VLOOKUP(B229,Reference!A:B,2,0)</f>
        <v>14448</v>
      </c>
    </row>
    <row r="230" spans="1:31">
      <c r="A230" s="3">
        <v>1998</v>
      </c>
      <c r="B230" s="3" t="s">
        <v>448</v>
      </c>
      <c r="C230" s="191">
        <v>35977</v>
      </c>
      <c r="D230" s="192">
        <v>2821599</v>
      </c>
      <c r="E230" s="193">
        <v>225564</v>
      </c>
      <c r="F230" s="227">
        <f t="shared" si="12"/>
        <v>7.9941905281367048E-2</v>
      </c>
      <c r="G230" s="194">
        <v>13559</v>
      </c>
      <c r="H230" s="193">
        <v>6229.01</v>
      </c>
      <c r="I230" s="193">
        <f t="shared" si="13"/>
        <v>0.45940039825945866</v>
      </c>
      <c r="J230" s="229"/>
      <c r="K230" s="193"/>
      <c r="L230" s="195"/>
      <c r="M230" s="193"/>
      <c r="N230" s="229"/>
      <c r="O230" s="193"/>
      <c r="P230" s="3"/>
      <c r="Q230" s="196"/>
      <c r="R230" s="194"/>
      <c r="S230" s="193"/>
      <c r="T230" s="193"/>
      <c r="U230" s="197">
        <v>18603</v>
      </c>
      <c r="V230" s="196">
        <v>41430.800000000003</v>
      </c>
      <c r="W230" s="196">
        <f t="shared" si="18"/>
        <v>2.2271031554050422</v>
      </c>
      <c r="X230" s="197">
        <v>9985</v>
      </c>
      <c r="Y230" s="196">
        <v>22755.61</v>
      </c>
      <c r="Z230" s="196">
        <f t="shared" si="16"/>
        <v>2.2789794692038057</v>
      </c>
      <c r="AA230" s="95"/>
      <c r="AB230" s="193">
        <v>0</v>
      </c>
      <c r="AC230" s="193"/>
      <c r="AD230" s="197">
        <v>2425607.54</v>
      </c>
      <c r="AE230" s="197">
        <f>VLOOKUP(B230,Reference!A:B,2,0)</f>
        <v>14847.7</v>
      </c>
    </row>
    <row r="231" spans="1:31">
      <c r="A231" s="3">
        <v>1998</v>
      </c>
      <c r="B231" s="3" t="s">
        <v>448</v>
      </c>
      <c r="C231" s="191">
        <v>36008</v>
      </c>
      <c r="D231" s="192">
        <v>2982984</v>
      </c>
      <c r="E231" s="193">
        <v>234063.8</v>
      </c>
      <c r="F231" s="227">
        <f t="shared" si="12"/>
        <v>7.8466327677252035E-2</v>
      </c>
      <c r="G231" s="194">
        <v>9434</v>
      </c>
      <c r="H231" s="193">
        <v>4700.78</v>
      </c>
      <c r="I231" s="193">
        <f t="shared" si="13"/>
        <v>0.49828068687725247</v>
      </c>
      <c r="J231" s="229"/>
      <c r="K231" s="193"/>
      <c r="L231" s="195"/>
      <c r="M231" s="193"/>
      <c r="N231" s="229"/>
      <c r="O231" s="193"/>
      <c r="P231" s="3"/>
      <c r="Q231" s="196"/>
      <c r="R231" s="194"/>
      <c r="S231" s="193"/>
      <c r="T231" s="193"/>
      <c r="U231" s="197">
        <v>17310</v>
      </c>
      <c r="V231" s="196">
        <v>38023.339999999997</v>
      </c>
      <c r="W231" s="196">
        <f t="shared" si="18"/>
        <v>2.1966112073945694</v>
      </c>
      <c r="X231" s="197">
        <v>9299</v>
      </c>
      <c r="Y231" s="196">
        <v>21192.23</v>
      </c>
      <c r="Z231" s="196">
        <f t="shared" si="16"/>
        <v>2.2789794601570059</v>
      </c>
      <c r="AA231" s="95"/>
      <c r="AB231" s="193">
        <v>0</v>
      </c>
      <c r="AC231" s="193"/>
      <c r="AD231" s="197">
        <v>2425607.54</v>
      </c>
      <c r="AE231" s="197">
        <f>VLOOKUP(B231,Reference!A:B,2,0)</f>
        <v>14847.7</v>
      </c>
    </row>
    <row r="232" spans="1:31">
      <c r="A232" s="3">
        <v>1998</v>
      </c>
      <c r="B232" s="3" t="s">
        <v>448</v>
      </c>
      <c r="C232" s="191">
        <v>36039</v>
      </c>
      <c r="D232" s="192">
        <v>2711603</v>
      </c>
      <c r="E232" s="193">
        <v>212414.87</v>
      </c>
      <c r="F232" s="227">
        <f t="shared" si="12"/>
        <v>7.8335534368416018E-2</v>
      </c>
      <c r="G232" s="194">
        <v>14440</v>
      </c>
      <c r="H232" s="193">
        <v>6365.73</v>
      </c>
      <c r="I232" s="193">
        <f t="shared" si="13"/>
        <v>0.44084002770083097</v>
      </c>
      <c r="J232" s="229"/>
      <c r="K232" s="193"/>
      <c r="L232" s="195"/>
      <c r="M232" s="193"/>
      <c r="N232" s="229"/>
      <c r="O232" s="193"/>
      <c r="P232" s="3"/>
      <c r="Q232" s="196"/>
      <c r="R232" s="194"/>
      <c r="S232" s="193"/>
      <c r="T232" s="193"/>
      <c r="U232" s="197">
        <v>14294</v>
      </c>
      <c r="V232" s="196">
        <v>29497.5</v>
      </c>
      <c r="W232" s="196">
        <f t="shared" si="18"/>
        <v>2.0636280957044915</v>
      </c>
      <c r="X232" s="197">
        <v>7686</v>
      </c>
      <c r="Y232" s="196">
        <v>17516.25</v>
      </c>
      <c r="Z232" s="196">
        <f t="shared" si="16"/>
        <v>2.2789812646370025</v>
      </c>
      <c r="AA232" s="95"/>
      <c r="AB232" s="193">
        <v>0</v>
      </c>
      <c r="AC232" s="193"/>
      <c r="AD232" s="197">
        <v>2425607.54</v>
      </c>
      <c r="AE232" s="197">
        <f>VLOOKUP(B232,Reference!A:B,2,0)</f>
        <v>14847.7</v>
      </c>
    </row>
    <row r="233" spans="1:31">
      <c r="A233" s="3">
        <v>1998</v>
      </c>
      <c r="B233" s="3" t="s">
        <v>448</v>
      </c>
      <c r="C233" s="191">
        <v>36069</v>
      </c>
      <c r="D233" s="192">
        <v>2712013</v>
      </c>
      <c r="E233" s="193">
        <v>215033.76</v>
      </c>
      <c r="F233" s="227">
        <f t="shared" si="12"/>
        <v>7.9289354438935214E-2</v>
      </c>
      <c r="G233" s="194">
        <v>22142</v>
      </c>
      <c r="H233" s="193">
        <v>9321.02</v>
      </c>
      <c r="I233" s="193">
        <f t="shared" si="13"/>
        <v>0.42096558576461024</v>
      </c>
      <c r="J233" s="229"/>
      <c r="K233" s="193"/>
      <c r="L233" s="195"/>
      <c r="M233" s="193"/>
      <c r="N233" s="229"/>
      <c r="O233" s="193"/>
      <c r="P233" s="3"/>
      <c r="Q233" s="196"/>
      <c r="R233" s="194"/>
      <c r="S233" s="193"/>
      <c r="T233" s="193"/>
      <c r="U233" s="197">
        <v>12015</v>
      </c>
      <c r="V233" s="196">
        <v>20016.95</v>
      </c>
      <c r="W233" s="196">
        <f t="shared" si="18"/>
        <v>1.6659966708281315</v>
      </c>
      <c r="X233" s="197">
        <v>12015</v>
      </c>
      <c r="Y233" s="196">
        <v>14825.9</v>
      </c>
      <c r="Z233" s="196">
        <f t="shared" si="16"/>
        <v>1.2339492301290054</v>
      </c>
      <c r="AA233" s="95"/>
      <c r="AB233" s="193">
        <v>0</v>
      </c>
      <c r="AC233" s="193"/>
      <c r="AD233" s="197">
        <v>2425607.54</v>
      </c>
      <c r="AE233" s="197">
        <f>VLOOKUP(B233,Reference!A:B,2,0)</f>
        <v>14847.7</v>
      </c>
    </row>
    <row r="234" spans="1:31">
      <c r="A234" s="3">
        <v>1998</v>
      </c>
      <c r="B234" s="3" t="s">
        <v>448</v>
      </c>
      <c r="C234" s="191">
        <v>36100</v>
      </c>
      <c r="D234" s="192">
        <v>2309834</v>
      </c>
      <c r="E234" s="193">
        <v>183513.47</v>
      </c>
      <c r="F234" s="227">
        <f t="shared" ref="F234:F297" si="19">IF(D234=0,0,E234/D234)</f>
        <v>7.9448769911604045E-2</v>
      </c>
      <c r="G234" s="194">
        <v>52056</v>
      </c>
      <c r="H234" s="193">
        <v>20066.310000000001</v>
      </c>
      <c r="I234" s="193">
        <f t="shared" ref="I234:I297" si="20">IF(G234=0,0,H234/G234)</f>
        <v>0.38547544951590595</v>
      </c>
      <c r="J234" s="229"/>
      <c r="K234" s="193"/>
      <c r="L234" s="195"/>
      <c r="M234" s="193"/>
      <c r="N234" s="229"/>
      <c r="O234" s="193"/>
      <c r="P234" s="3"/>
      <c r="Q234" s="196"/>
      <c r="R234" s="194"/>
      <c r="S234" s="193"/>
      <c r="T234" s="193"/>
      <c r="U234" s="197">
        <v>11472</v>
      </c>
      <c r="V234" s="196">
        <v>14904.9</v>
      </c>
      <c r="W234" s="196">
        <f t="shared" si="18"/>
        <v>1.2992416317991631</v>
      </c>
      <c r="X234" s="197">
        <v>11472</v>
      </c>
      <c r="Y234" s="196">
        <v>14146.72</v>
      </c>
      <c r="Z234" s="196">
        <f t="shared" si="16"/>
        <v>1.2331520223152022</v>
      </c>
      <c r="AA234" s="95"/>
      <c r="AB234" s="193">
        <v>0</v>
      </c>
      <c r="AC234" s="193"/>
      <c r="AD234" s="197">
        <v>2425607.54</v>
      </c>
      <c r="AE234" s="197">
        <f>VLOOKUP(B234,Reference!A:B,2,0)</f>
        <v>14847.7</v>
      </c>
    </row>
    <row r="235" spans="1:31">
      <c r="A235" s="3">
        <v>1998</v>
      </c>
      <c r="B235" s="3" t="s">
        <v>448</v>
      </c>
      <c r="C235" s="191">
        <v>36130</v>
      </c>
      <c r="D235" s="192">
        <v>2279202</v>
      </c>
      <c r="E235" s="193">
        <v>184171.31</v>
      </c>
      <c r="F235" s="227">
        <f t="shared" si="19"/>
        <v>8.0805172161133587E-2</v>
      </c>
      <c r="G235" s="194">
        <v>79415</v>
      </c>
      <c r="H235" s="193">
        <v>29007.33</v>
      </c>
      <c r="I235" s="193">
        <f t="shared" si="20"/>
        <v>0.36526260781968145</v>
      </c>
      <c r="J235" s="229"/>
      <c r="K235" s="193"/>
      <c r="L235" s="195"/>
      <c r="M235" s="193"/>
      <c r="N235" s="229"/>
      <c r="O235" s="193"/>
      <c r="P235" s="3"/>
      <c r="Q235" s="196"/>
      <c r="R235" s="194"/>
      <c r="S235" s="193"/>
      <c r="T235" s="193"/>
      <c r="U235" s="197">
        <v>15049</v>
      </c>
      <c r="V235" s="196">
        <v>17610</v>
      </c>
      <c r="W235" s="196">
        <f t="shared" si="18"/>
        <v>1.1701774204266064</v>
      </c>
      <c r="X235" s="197">
        <v>15049</v>
      </c>
      <c r="Y235" s="196">
        <v>18658.02</v>
      </c>
      <c r="Z235" s="196">
        <f t="shared" ref="Z235:Z298" si="21">Y235/X235</f>
        <v>1.2398179281015349</v>
      </c>
      <c r="AA235" s="95"/>
      <c r="AB235" s="193">
        <v>0</v>
      </c>
      <c r="AC235" s="193"/>
      <c r="AD235" s="197">
        <v>2425607.54</v>
      </c>
      <c r="AE235" s="197">
        <f>VLOOKUP(B235,Reference!A:B,2,0)</f>
        <v>14847.7</v>
      </c>
    </row>
    <row r="236" spans="1:31">
      <c r="A236" s="3">
        <v>1999</v>
      </c>
      <c r="B236" s="3" t="s">
        <v>448</v>
      </c>
      <c r="C236" s="191">
        <v>36161</v>
      </c>
      <c r="D236" s="192">
        <v>2407394</v>
      </c>
      <c r="E236" s="193">
        <v>189480.88</v>
      </c>
      <c r="F236" s="227">
        <f t="shared" si="19"/>
        <v>7.8707880803890018E-2</v>
      </c>
      <c r="G236" s="194">
        <v>83191</v>
      </c>
      <c r="H236" s="193">
        <v>29096.14</v>
      </c>
      <c r="I236" s="193">
        <f t="shared" si="20"/>
        <v>0.34975105480160112</v>
      </c>
      <c r="J236" s="229"/>
      <c r="K236" s="193"/>
      <c r="L236" s="195"/>
      <c r="M236" s="193"/>
      <c r="N236" s="229"/>
      <c r="O236" s="193"/>
      <c r="P236" s="3"/>
      <c r="Q236" s="196"/>
      <c r="R236" s="194"/>
      <c r="S236" s="193"/>
      <c r="T236" s="193"/>
      <c r="U236" s="197">
        <v>8902</v>
      </c>
      <c r="V236" s="196">
        <v>10515.5</v>
      </c>
      <c r="W236" s="196">
        <f t="shared" si="18"/>
        <v>1.1812514041788362</v>
      </c>
      <c r="X236" s="197">
        <v>8902</v>
      </c>
      <c r="Y236" s="196">
        <v>11050.78</v>
      </c>
      <c r="Z236" s="196">
        <f t="shared" si="21"/>
        <v>1.2413817119748372</v>
      </c>
      <c r="AA236" s="95"/>
      <c r="AB236" s="193">
        <v>0</v>
      </c>
      <c r="AC236" s="193"/>
      <c r="AD236" s="197">
        <v>2425607.54</v>
      </c>
      <c r="AE236" s="197">
        <f>VLOOKUP(B236,Reference!A:B,2,0)</f>
        <v>14847.7</v>
      </c>
    </row>
    <row r="237" spans="1:31">
      <c r="A237" s="3">
        <v>1999</v>
      </c>
      <c r="B237" s="3" t="s">
        <v>448</v>
      </c>
      <c r="C237" s="191">
        <v>36192</v>
      </c>
      <c r="D237" s="192">
        <v>2237231</v>
      </c>
      <c r="E237" s="193">
        <v>182433.15</v>
      </c>
      <c r="F237" s="227">
        <f t="shared" si="19"/>
        <v>8.1544172237913742E-2</v>
      </c>
      <c r="G237" s="194">
        <v>81128</v>
      </c>
      <c r="H237" s="193">
        <v>27507.86</v>
      </c>
      <c r="I237" s="193">
        <f t="shared" si="20"/>
        <v>0.33906739966472738</v>
      </c>
      <c r="J237" s="229"/>
      <c r="K237" s="193"/>
      <c r="L237" s="195"/>
      <c r="M237" s="193"/>
      <c r="N237" s="229"/>
      <c r="O237" s="193"/>
      <c r="P237" s="3"/>
      <c r="Q237" s="196"/>
      <c r="R237" s="194"/>
      <c r="S237" s="193"/>
      <c r="T237" s="193"/>
      <c r="U237" s="197">
        <v>11507</v>
      </c>
      <c r="V237" s="196">
        <v>13444.03</v>
      </c>
      <c r="W237" s="196">
        <f t="shared" si="18"/>
        <v>1.1683349265664378</v>
      </c>
      <c r="X237" s="197">
        <v>11507</v>
      </c>
      <c r="Y237" s="196">
        <v>14266.41</v>
      </c>
      <c r="Z237" s="196">
        <f t="shared" si="21"/>
        <v>1.2398027287737898</v>
      </c>
      <c r="AA237" s="95"/>
      <c r="AB237" s="193">
        <v>0</v>
      </c>
      <c r="AC237" s="193"/>
      <c r="AD237" s="197">
        <v>2425607.54</v>
      </c>
      <c r="AE237" s="197">
        <f>VLOOKUP(B237,Reference!A:B,2,0)</f>
        <v>14847.7</v>
      </c>
    </row>
    <row r="238" spans="1:31">
      <c r="A238" s="3">
        <v>1999</v>
      </c>
      <c r="B238" s="3" t="s">
        <v>448</v>
      </c>
      <c r="C238" s="191">
        <v>36220</v>
      </c>
      <c r="D238" s="192">
        <v>2499955</v>
      </c>
      <c r="E238" s="193">
        <v>195610.57</v>
      </c>
      <c r="F238" s="227">
        <f t="shared" si="19"/>
        <v>7.8245636421455586E-2</v>
      </c>
      <c r="G238" s="194">
        <v>96777</v>
      </c>
      <c r="H238" s="193">
        <v>30002.13</v>
      </c>
      <c r="I238" s="193">
        <f t="shared" si="20"/>
        <v>0.31001301962243094</v>
      </c>
      <c r="J238" s="229"/>
      <c r="K238" s="193"/>
      <c r="L238" s="195"/>
      <c r="M238" s="193"/>
      <c r="N238" s="229"/>
      <c r="O238" s="193"/>
      <c r="P238" s="3"/>
      <c r="Q238" s="196"/>
      <c r="R238" s="194"/>
      <c r="S238" s="193"/>
      <c r="T238" s="193"/>
      <c r="U238" s="197">
        <v>10225</v>
      </c>
      <c r="V238" s="196">
        <v>12370.93</v>
      </c>
      <c r="W238" s="196">
        <f t="shared" si="18"/>
        <v>1.2098709046454768</v>
      </c>
      <c r="X238" s="197">
        <v>10225</v>
      </c>
      <c r="Y238" s="196">
        <v>12636.95</v>
      </c>
      <c r="Z238" s="196">
        <f t="shared" si="21"/>
        <v>1.2358875305623473</v>
      </c>
      <c r="AA238" s="95"/>
      <c r="AB238" s="193">
        <v>0</v>
      </c>
      <c r="AC238" s="193"/>
      <c r="AD238" s="197">
        <v>2425607.54</v>
      </c>
      <c r="AE238" s="197">
        <f>VLOOKUP(B238,Reference!A:B,2,0)</f>
        <v>14847.7</v>
      </c>
    </row>
    <row r="239" spans="1:31">
      <c r="A239" s="3">
        <v>1999</v>
      </c>
      <c r="B239" s="3" t="s">
        <v>448</v>
      </c>
      <c r="C239" s="191">
        <v>36251</v>
      </c>
      <c r="D239" s="192">
        <v>2498953</v>
      </c>
      <c r="E239" s="193">
        <v>210922.56</v>
      </c>
      <c r="F239" s="227">
        <f t="shared" si="19"/>
        <v>8.4404372551224446E-2</v>
      </c>
      <c r="G239" s="194">
        <v>77885</v>
      </c>
      <c r="H239" s="193">
        <v>23928.55</v>
      </c>
      <c r="I239" s="193">
        <f t="shared" si="20"/>
        <v>0.30722924825062592</v>
      </c>
      <c r="J239" s="229"/>
      <c r="K239" s="193"/>
      <c r="L239" s="195"/>
      <c r="M239" s="193"/>
      <c r="N239" s="229"/>
      <c r="O239" s="193"/>
      <c r="P239" s="3"/>
      <c r="Q239" s="196"/>
      <c r="R239" s="194"/>
      <c r="S239" s="193"/>
      <c r="T239" s="193"/>
      <c r="U239" s="197">
        <v>13438</v>
      </c>
      <c r="V239" s="196">
        <v>24629.9</v>
      </c>
      <c r="W239" s="196">
        <f t="shared" si="18"/>
        <v>1.8328545914570622</v>
      </c>
      <c r="X239" s="197">
        <v>13438</v>
      </c>
      <c r="Y239" s="196">
        <v>16575.02</v>
      </c>
      <c r="Z239" s="196">
        <f t="shared" si="21"/>
        <v>1.2334439648757256</v>
      </c>
      <c r="AA239" s="95"/>
      <c r="AB239" s="193">
        <v>0</v>
      </c>
      <c r="AC239" s="193"/>
      <c r="AD239" s="197">
        <v>2425607.54</v>
      </c>
      <c r="AE239" s="197">
        <f>VLOOKUP(B239,Reference!A:B,2,0)</f>
        <v>14847.7</v>
      </c>
    </row>
    <row r="240" spans="1:31">
      <c r="A240" s="3">
        <v>1999</v>
      </c>
      <c r="B240" s="3" t="s">
        <v>448</v>
      </c>
      <c r="C240" s="191">
        <v>36281</v>
      </c>
      <c r="D240" s="192">
        <v>2657172</v>
      </c>
      <c r="E240" s="193">
        <v>206016.01</v>
      </c>
      <c r="F240" s="227">
        <f t="shared" si="19"/>
        <v>7.7532056637658386E-2</v>
      </c>
      <c r="G240" s="194">
        <v>47665</v>
      </c>
      <c r="H240" s="193">
        <v>16364.54</v>
      </c>
      <c r="I240" s="193">
        <f t="shared" si="20"/>
        <v>0.34332403230882202</v>
      </c>
      <c r="J240" s="229"/>
      <c r="K240" s="193"/>
      <c r="L240" s="195"/>
      <c r="M240" s="193"/>
      <c r="N240" s="229"/>
      <c r="O240" s="193"/>
      <c r="P240" s="3"/>
      <c r="Q240" s="196"/>
      <c r="R240" s="194"/>
      <c r="S240" s="193"/>
      <c r="T240" s="193"/>
      <c r="U240" s="197">
        <v>13927</v>
      </c>
      <c r="V240" s="196">
        <v>20076.11</v>
      </c>
      <c r="W240" s="196">
        <f t="shared" si="18"/>
        <v>1.4415243771092123</v>
      </c>
      <c r="X240" s="197">
        <v>13927</v>
      </c>
      <c r="Y240" s="196">
        <v>17204.02</v>
      </c>
      <c r="Z240" s="196">
        <f t="shared" si="21"/>
        <v>1.2352997774107848</v>
      </c>
      <c r="AA240" s="95"/>
      <c r="AB240" s="193">
        <v>0</v>
      </c>
      <c r="AC240" s="193"/>
      <c r="AD240" s="197">
        <v>2425607.54</v>
      </c>
      <c r="AE240" s="197">
        <f>VLOOKUP(B240,Reference!A:B,2,0)</f>
        <v>14847.7</v>
      </c>
    </row>
    <row r="241" spans="1:31">
      <c r="A241" s="3">
        <v>1999</v>
      </c>
      <c r="B241" s="3" t="s">
        <v>448</v>
      </c>
      <c r="C241" s="191">
        <v>36312</v>
      </c>
      <c r="D241" s="192">
        <v>2618581</v>
      </c>
      <c r="E241" s="193">
        <v>206833.75</v>
      </c>
      <c r="F241" s="227">
        <f t="shared" si="19"/>
        <v>7.8986958967471307E-2</v>
      </c>
      <c r="G241" s="194">
        <v>30106</v>
      </c>
      <c r="H241" s="193">
        <v>11018.23</v>
      </c>
      <c r="I241" s="193">
        <f t="shared" si="20"/>
        <v>0.36598119976084498</v>
      </c>
      <c r="J241" s="229"/>
      <c r="K241" s="193"/>
      <c r="L241" s="195"/>
      <c r="M241" s="193"/>
      <c r="N241" s="229"/>
      <c r="O241" s="193"/>
      <c r="P241" s="3"/>
      <c r="Q241" s="196"/>
      <c r="R241" s="194"/>
      <c r="S241" s="193"/>
      <c r="T241" s="193"/>
      <c r="U241" s="197">
        <v>16918</v>
      </c>
      <c r="V241" s="196">
        <v>30015.66</v>
      </c>
      <c r="W241" s="196">
        <f t="shared" si="18"/>
        <v>1.7741848918311858</v>
      </c>
      <c r="X241" s="197">
        <v>16918</v>
      </c>
      <c r="Y241" s="196">
        <v>20873.169999999998</v>
      </c>
      <c r="Z241" s="196">
        <f t="shared" si="21"/>
        <v>1.233784726326989</v>
      </c>
      <c r="AA241" s="95"/>
      <c r="AB241" s="193">
        <v>0</v>
      </c>
      <c r="AC241" s="193"/>
      <c r="AD241" s="197">
        <v>2425607.54</v>
      </c>
      <c r="AE241" s="197">
        <f>VLOOKUP(B241,Reference!A:B,2,0)</f>
        <v>14847.7</v>
      </c>
    </row>
    <row r="242" spans="1:31">
      <c r="A242" s="3">
        <v>1999</v>
      </c>
      <c r="B242" s="3" t="s">
        <v>449</v>
      </c>
      <c r="C242" s="191">
        <v>36342</v>
      </c>
      <c r="D242" s="192">
        <v>2925422</v>
      </c>
      <c r="E242" s="193">
        <v>228769.94</v>
      </c>
      <c r="F242" s="227">
        <f t="shared" si="19"/>
        <v>7.8200663015455543E-2</v>
      </c>
      <c r="G242" s="194">
        <v>16472</v>
      </c>
      <c r="H242" s="193">
        <v>7231.39</v>
      </c>
      <c r="I242" s="193">
        <f t="shared" si="20"/>
        <v>0.43901104905293836</v>
      </c>
      <c r="J242" s="229"/>
      <c r="K242" s="193"/>
      <c r="L242" s="195"/>
      <c r="M242" s="193"/>
      <c r="N242" s="229"/>
      <c r="O242" s="193"/>
      <c r="P242" s="3"/>
      <c r="Q242" s="196"/>
      <c r="R242" s="194"/>
      <c r="S242" s="193"/>
      <c r="T242" s="193"/>
      <c r="U242" s="197">
        <v>9613</v>
      </c>
      <c r="V242" s="196">
        <v>16861.2</v>
      </c>
      <c r="W242" s="196">
        <f>IF(U242=0,0,V242/U242)</f>
        <v>1.7539997919484034</v>
      </c>
      <c r="X242" s="197">
        <v>5275</v>
      </c>
      <c r="Y242" s="196">
        <v>12022.61</v>
      </c>
      <c r="Z242" s="196">
        <f t="shared" si="21"/>
        <v>2.2791677725118484</v>
      </c>
      <c r="AA242" s="95"/>
      <c r="AB242" s="193">
        <v>0</v>
      </c>
      <c r="AC242" s="193"/>
      <c r="AD242" s="197">
        <v>2425607.54</v>
      </c>
      <c r="AE242" s="197">
        <f>VLOOKUP(B242,Reference!A:B,2,0)</f>
        <v>15042.2</v>
      </c>
    </row>
    <row r="243" spans="1:31">
      <c r="A243" s="3">
        <v>1999</v>
      </c>
      <c r="B243" s="3" t="s">
        <v>449</v>
      </c>
      <c r="C243" s="191">
        <v>36373</v>
      </c>
      <c r="D243" s="192">
        <v>2996647</v>
      </c>
      <c r="E243" s="193">
        <v>227054.61</v>
      </c>
      <c r="F243" s="227">
        <f t="shared" si="19"/>
        <v>7.5769555106090236E-2</v>
      </c>
      <c r="G243" s="194">
        <v>14398</v>
      </c>
      <c r="H243" s="193">
        <v>6748.69</v>
      </c>
      <c r="I243" s="193">
        <f t="shared" si="20"/>
        <v>0.46872412835115984</v>
      </c>
      <c r="J243" s="229"/>
      <c r="K243" s="193"/>
      <c r="L243" s="195"/>
      <c r="M243" s="193"/>
      <c r="N243" s="229"/>
      <c r="O243" s="193"/>
      <c r="P243" s="3"/>
      <c r="Q243" s="196"/>
      <c r="R243" s="194"/>
      <c r="S243" s="193"/>
      <c r="T243" s="193"/>
      <c r="U243" s="197">
        <v>22524</v>
      </c>
      <c r="V243" s="196">
        <v>39507.1</v>
      </c>
      <c r="W243" s="196">
        <f t="shared" ref="W243:W253" si="22">IF(U243=0,0,V243/U243)</f>
        <v>1.75400017758835</v>
      </c>
      <c r="X243" s="197">
        <v>12117</v>
      </c>
      <c r="Y243" s="196">
        <v>27614.400000000001</v>
      </c>
      <c r="Z243" s="196">
        <f t="shared" si="21"/>
        <v>2.2789799455310722</v>
      </c>
      <c r="AA243" s="95"/>
      <c r="AB243" s="193">
        <v>0</v>
      </c>
      <c r="AC243" s="193"/>
      <c r="AD243" s="197">
        <v>2425607.54</v>
      </c>
      <c r="AE243" s="197">
        <f>VLOOKUP(B243,Reference!A:B,2,0)</f>
        <v>15042.2</v>
      </c>
    </row>
    <row r="244" spans="1:31">
      <c r="A244" s="3">
        <v>1999</v>
      </c>
      <c r="B244" s="3" t="s">
        <v>449</v>
      </c>
      <c r="C244" s="191">
        <v>36404</v>
      </c>
      <c r="D244" s="192">
        <v>2767167</v>
      </c>
      <c r="E244" s="193">
        <v>229212.99</v>
      </c>
      <c r="F244" s="227">
        <f t="shared" si="19"/>
        <v>8.283308885947252E-2</v>
      </c>
      <c r="G244" s="194">
        <v>15450</v>
      </c>
      <c r="H244" s="193">
        <v>7192.55</v>
      </c>
      <c r="I244" s="193">
        <f t="shared" si="20"/>
        <v>0.46553721682847898</v>
      </c>
      <c r="J244" s="229"/>
      <c r="K244" s="193"/>
      <c r="L244" s="195"/>
      <c r="M244" s="193"/>
      <c r="N244" s="229"/>
      <c r="O244" s="193"/>
      <c r="P244" s="3"/>
      <c r="Q244" s="196"/>
      <c r="R244" s="194"/>
      <c r="S244" s="193"/>
      <c r="T244" s="193"/>
      <c r="U244" s="197">
        <v>13961</v>
      </c>
      <c r="V244" s="196">
        <v>24599.45</v>
      </c>
      <c r="W244" s="196">
        <f t="shared" si="22"/>
        <v>1.762012033521954</v>
      </c>
      <c r="X244" s="197">
        <v>7566</v>
      </c>
      <c r="Y244" s="196">
        <v>17242.759999999998</v>
      </c>
      <c r="Z244" s="196">
        <f t="shared" si="21"/>
        <v>2.2789796457837692</v>
      </c>
      <c r="AA244" s="95"/>
      <c r="AB244" s="193">
        <v>0</v>
      </c>
      <c r="AC244" s="193"/>
      <c r="AD244" s="197">
        <v>2425607.54</v>
      </c>
      <c r="AE244" s="197">
        <f>VLOOKUP(B244,Reference!A:B,2,0)</f>
        <v>15042.2</v>
      </c>
    </row>
    <row r="245" spans="1:31">
      <c r="A245" s="3">
        <v>1999</v>
      </c>
      <c r="B245" s="3" t="s">
        <v>449</v>
      </c>
      <c r="C245" s="191">
        <v>36434</v>
      </c>
      <c r="D245" s="192">
        <v>3038351</v>
      </c>
      <c r="E245" s="193">
        <v>233465.19</v>
      </c>
      <c r="F245" s="227">
        <f t="shared" si="19"/>
        <v>7.6839440209508378E-2</v>
      </c>
      <c r="G245" s="194">
        <v>21528</v>
      </c>
      <c r="H245" s="193">
        <v>9508.75</v>
      </c>
      <c r="I245" s="193">
        <f t="shared" si="20"/>
        <v>0.44169221479004089</v>
      </c>
      <c r="J245" s="229"/>
      <c r="K245" s="193"/>
      <c r="L245" s="195"/>
      <c r="M245" s="193"/>
      <c r="N245" s="229"/>
      <c r="O245" s="193"/>
      <c r="P245" s="3"/>
      <c r="Q245" s="196"/>
      <c r="R245" s="194"/>
      <c r="S245" s="193"/>
      <c r="T245" s="193"/>
      <c r="U245" s="197">
        <v>18306</v>
      </c>
      <c r="V245" s="196">
        <v>29379.09</v>
      </c>
      <c r="W245" s="196">
        <f t="shared" si="22"/>
        <v>1.6048885611274992</v>
      </c>
      <c r="X245" s="197">
        <v>18306</v>
      </c>
      <c r="Y245" s="196">
        <v>22552.79</v>
      </c>
      <c r="Z245" s="196">
        <f t="shared" si="21"/>
        <v>1.2319889653665466</v>
      </c>
      <c r="AA245" s="95"/>
      <c r="AB245" s="193">
        <v>0</v>
      </c>
      <c r="AC245" s="193"/>
      <c r="AD245" s="197">
        <v>2425607.54</v>
      </c>
      <c r="AE245" s="197">
        <f>VLOOKUP(B245,Reference!A:B,2,0)</f>
        <v>15042.2</v>
      </c>
    </row>
    <row r="246" spans="1:31">
      <c r="A246" s="3">
        <v>1999</v>
      </c>
      <c r="B246" s="3" t="s">
        <v>449</v>
      </c>
      <c r="C246" s="191">
        <v>36465</v>
      </c>
      <c r="D246" s="192">
        <v>2764592</v>
      </c>
      <c r="E246" s="193">
        <v>217715.22</v>
      </c>
      <c r="F246" s="227">
        <f t="shared" si="19"/>
        <v>7.875130218129836E-2</v>
      </c>
      <c r="G246" s="194">
        <v>57043</v>
      </c>
      <c r="H246" s="193">
        <v>22687.88</v>
      </c>
      <c r="I246" s="193">
        <f t="shared" si="20"/>
        <v>0.39773293830969619</v>
      </c>
      <c r="J246" s="229"/>
      <c r="K246" s="193"/>
      <c r="L246" s="195"/>
      <c r="M246" s="193"/>
      <c r="N246" s="229"/>
      <c r="O246" s="193"/>
      <c r="P246" s="3"/>
      <c r="Q246" s="196"/>
      <c r="R246" s="194"/>
      <c r="S246" s="193"/>
      <c r="T246" s="193"/>
      <c r="U246" s="197">
        <v>12744</v>
      </c>
      <c r="V246" s="196">
        <v>14792.61</v>
      </c>
      <c r="W246" s="196">
        <f t="shared" si="22"/>
        <v>1.1607509416195858</v>
      </c>
      <c r="X246" s="197">
        <v>12744</v>
      </c>
      <c r="Y246" s="196">
        <v>15697.62</v>
      </c>
      <c r="Z246" s="196">
        <f t="shared" si="21"/>
        <v>1.2317655367231639</v>
      </c>
      <c r="AA246" s="95"/>
      <c r="AB246" s="193">
        <v>0</v>
      </c>
      <c r="AC246" s="193"/>
      <c r="AD246" s="197">
        <v>2425607.54</v>
      </c>
      <c r="AE246" s="197">
        <f>VLOOKUP(B246,Reference!A:B,2,0)</f>
        <v>15042.2</v>
      </c>
    </row>
    <row r="247" spans="1:31">
      <c r="A247" s="3">
        <v>1999</v>
      </c>
      <c r="B247" s="3" t="s">
        <v>449</v>
      </c>
      <c r="C247" s="191">
        <v>36495</v>
      </c>
      <c r="D247" s="192">
        <v>2567358</v>
      </c>
      <c r="E247" s="193">
        <v>202711.1</v>
      </c>
      <c r="F247" s="227">
        <f t="shared" si="19"/>
        <v>7.8957083507637041E-2</v>
      </c>
      <c r="G247" s="194">
        <v>91006</v>
      </c>
      <c r="H247" s="193">
        <v>32838.31</v>
      </c>
      <c r="I247" s="193">
        <f t="shared" si="20"/>
        <v>0.36083675801595494</v>
      </c>
      <c r="J247" s="229"/>
      <c r="K247" s="193"/>
      <c r="L247" s="195"/>
      <c r="M247" s="193"/>
      <c r="N247" s="229"/>
      <c r="O247" s="193"/>
      <c r="P247" s="3"/>
      <c r="Q247" s="196"/>
      <c r="R247" s="194"/>
      <c r="S247" s="193"/>
      <c r="T247" s="193"/>
      <c r="U247" s="197">
        <v>11450</v>
      </c>
      <c r="V247" s="196">
        <v>13435.51</v>
      </c>
      <c r="W247" s="196">
        <f t="shared" si="22"/>
        <v>1.1734069868995634</v>
      </c>
      <c r="X247" s="197">
        <v>11450</v>
      </c>
      <c r="Y247" s="196">
        <v>14120.55</v>
      </c>
      <c r="Z247" s="196">
        <f t="shared" si="21"/>
        <v>1.2332358078602619</v>
      </c>
      <c r="AA247" s="95"/>
      <c r="AB247" s="193">
        <v>0</v>
      </c>
      <c r="AC247" s="193"/>
      <c r="AD247" s="197">
        <v>2425607.54</v>
      </c>
      <c r="AE247" s="197">
        <f>VLOOKUP(B247,Reference!A:B,2,0)</f>
        <v>15042.2</v>
      </c>
    </row>
    <row r="248" spans="1:31">
      <c r="A248" s="3">
        <v>2000</v>
      </c>
      <c r="B248" s="3" t="s">
        <v>449</v>
      </c>
      <c r="C248" s="191">
        <v>36526</v>
      </c>
      <c r="D248" s="192">
        <v>2750806</v>
      </c>
      <c r="E248" s="193">
        <v>213323.11</v>
      </c>
      <c r="F248" s="227">
        <f t="shared" si="19"/>
        <v>7.754931100193907E-2</v>
      </c>
      <c r="G248" s="194">
        <v>99793</v>
      </c>
      <c r="H248" s="193">
        <v>36527.440000000002</v>
      </c>
      <c r="I248" s="193">
        <f t="shared" si="20"/>
        <v>0.36603208641888713</v>
      </c>
      <c r="J248" s="229"/>
      <c r="K248" s="193"/>
      <c r="L248" s="195"/>
      <c r="M248" s="193"/>
      <c r="N248" s="229"/>
      <c r="O248" s="193"/>
      <c r="P248" s="3"/>
      <c r="Q248" s="196"/>
      <c r="R248" s="194"/>
      <c r="S248" s="193"/>
      <c r="T248" s="193"/>
      <c r="U248" s="197">
        <v>11571</v>
      </c>
      <c r="V248" s="196">
        <v>13745.09</v>
      </c>
      <c r="W248" s="196">
        <f t="shared" si="22"/>
        <v>1.1878912799239478</v>
      </c>
      <c r="X248" s="197">
        <v>11571</v>
      </c>
      <c r="Y248" s="196">
        <v>14289.21</v>
      </c>
      <c r="Z248" s="196">
        <f t="shared" si="21"/>
        <v>1.2349157376199118</v>
      </c>
      <c r="AA248" s="95"/>
      <c r="AB248" s="193">
        <v>0</v>
      </c>
      <c r="AC248" s="193"/>
      <c r="AD248" s="197">
        <v>2425607.54</v>
      </c>
      <c r="AE248" s="197">
        <f>VLOOKUP(B248,Reference!A:B,2,0)</f>
        <v>15042.2</v>
      </c>
    </row>
    <row r="249" spans="1:31">
      <c r="A249" s="3">
        <v>2000</v>
      </c>
      <c r="B249" s="3" t="s">
        <v>449</v>
      </c>
      <c r="C249" s="191">
        <v>36557</v>
      </c>
      <c r="D249" s="192">
        <v>2604639</v>
      </c>
      <c r="E249" s="193">
        <v>209798.48</v>
      </c>
      <c r="F249" s="227">
        <f t="shared" si="19"/>
        <v>8.0548006844710543E-2</v>
      </c>
      <c r="G249" s="194">
        <v>94528</v>
      </c>
      <c r="H249" s="193">
        <v>35761.5</v>
      </c>
      <c r="I249" s="193">
        <f t="shared" si="20"/>
        <v>0.37831647765741366</v>
      </c>
      <c r="J249" s="229"/>
      <c r="K249" s="193"/>
      <c r="L249" s="195"/>
      <c r="M249" s="193"/>
      <c r="N249" s="229"/>
      <c r="O249" s="193"/>
      <c r="P249" s="3"/>
      <c r="Q249" s="196"/>
      <c r="R249" s="194"/>
      <c r="S249" s="193"/>
      <c r="T249" s="193"/>
      <c r="U249" s="197">
        <v>7963</v>
      </c>
      <c r="V249" s="196">
        <v>9617.5300000000007</v>
      </c>
      <c r="W249" s="196">
        <f t="shared" si="22"/>
        <v>1.207777219640839</v>
      </c>
      <c r="X249" s="197">
        <v>7963</v>
      </c>
      <c r="Y249" s="196">
        <v>9852.0300000000007</v>
      </c>
      <c r="Z249" s="196">
        <f t="shared" si="21"/>
        <v>1.2372259198794424</v>
      </c>
      <c r="AA249" s="95"/>
      <c r="AB249" s="193">
        <v>0</v>
      </c>
      <c r="AC249" s="193"/>
      <c r="AD249" s="197">
        <v>2425607.54</v>
      </c>
      <c r="AE249" s="197">
        <f>VLOOKUP(B249,Reference!A:B,2,0)</f>
        <v>15042.2</v>
      </c>
    </row>
    <row r="250" spans="1:31">
      <c r="A250" s="3">
        <v>2000</v>
      </c>
      <c r="B250" s="3" t="s">
        <v>449</v>
      </c>
      <c r="C250" s="191">
        <v>36586</v>
      </c>
      <c r="D250" s="192">
        <v>2735223</v>
      </c>
      <c r="E250" s="193">
        <v>214428.3</v>
      </c>
      <c r="F250" s="227">
        <f t="shared" si="19"/>
        <v>7.8395180210169335E-2</v>
      </c>
      <c r="G250" s="194">
        <v>83530</v>
      </c>
      <c r="H250" s="193">
        <v>32093.41</v>
      </c>
      <c r="I250" s="193">
        <f t="shared" si="20"/>
        <v>0.38421417454806656</v>
      </c>
      <c r="J250" s="229"/>
      <c r="K250" s="193"/>
      <c r="L250" s="195"/>
      <c r="M250" s="193"/>
      <c r="N250" s="229"/>
      <c r="O250" s="193"/>
      <c r="P250" s="3"/>
      <c r="Q250" s="196"/>
      <c r="R250" s="194"/>
      <c r="S250" s="193"/>
      <c r="T250" s="193"/>
      <c r="U250" s="197">
        <v>10866</v>
      </c>
      <c r="V250" s="196">
        <v>13105.97</v>
      </c>
      <c r="W250" s="196">
        <f t="shared" si="22"/>
        <v>1.206144855512608</v>
      </c>
      <c r="X250" s="197">
        <v>10866</v>
      </c>
      <c r="Y250" s="196">
        <v>13395.85</v>
      </c>
      <c r="Z250" s="196">
        <f t="shared" si="21"/>
        <v>1.232822565801583</v>
      </c>
      <c r="AA250" s="95"/>
      <c r="AB250" s="193">
        <v>0</v>
      </c>
      <c r="AC250" s="193"/>
      <c r="AD250" s="197">
        <v>2425607.54</v>
      </c>
      <c r="AE250" s="197">
        <f>VLOOKUP(B250,Reference!A:B,2,0)</f>
        <v>15042.2</v>
      </c>
    </row>
    <row r="251" spans="1:31">
      <c r="A251" s="3">
        <v>2000</v>
      </c>
      <c r="B251" s="3" t="s">
        <v>449</v>
      </c>
      <c r="C251" s="191">
        <v>36617</v>
      </c>
      <c r="D251" s="192">
        <v>2766201</v>
      </c>
      <c r="E251" s="193">
        <v>214188.26</v>
      </c>
      <c r="F251" s="227">
        <f t="shared" si="19"/>
        <v>7.743047594878319E-2</v>
      </c>
      <c r="G251" s="194">
        <v>59244</v>
      </c>
      <c r="H251" s="193">
        <v>23657.07</v>
      </c>
      <c r="I251" s="193">
        <f t="shared" si="20"/>
        <v>0.39931588008912294</v>
      </c>
      <c r="J251" s="229"/>
      <c r="K251" s="193"/>
      <c r="L251" s="195"/>
      <c r="M251" s="193"/>
      <c r="N251" s="229"/>
      <c r="O251" s="193"/>
      <c r="P251" s="3"/>
      <c r="Q251" s="196"/>
      <c r="R251" s="194"/>
      <c r="S251" s="193"/>
      <c r="T251" s="193"/>
      <c r="U251" s="197">
        <v>11239</v>
      </c>
      <c r="V251" s="196">
        <v>13884.52</v>
      </c>
      <c r="W251" s="196">
        <f t="shared" si="22"/>
        <v>1.2353874899902126</v>
      </c>
      <c r="X251" s="197">
        <v>11239</v>
      </c>
      <c r="Y251" s="196">
        <v>13872.15</v>
      </c>
      <c r="Z251" s="196">
        <f t="shared" si="21"/>
        <v>1.234286858261411</v>
      </c>
      <c r="AA251" s="95"/>
      <c r="AB251" s="193">
        <v>0</v>
      </c>
      <c r="AC251" s="193"/>
      <c r="AD251" s="197">
        <v>2425607.54</v>
      </c>
      <c r="AE251" s="197">
        <f>VLOOKUP(B251,Reference!A:B,2,0)</f>
        <v>15042.2</v>
      </c>
    </row>
    <row r="252" spans="1:31">
      <c r="A252" s="3">
        <v>2000</v>
      </c>
      <c r="B252" s="3" t="s">
        <v>449</v>
      </c>
      <c r="C252" s="191">
        <v>36647</v>
      </c>
      <c r="D252" s="192">
        <v>2967334</v>
      </c>
      <c r="E252" s="193">
        <v>233964.95</v>
      </c>
      <c r="F252" s="227">
        <f t="shared" si="19"/>
        <v>7.8846853775139572E-2</v>
      </c>
      <c r="G252" s="194">
        <v>31056</v>
      </c>
      <c r="H252" s="193">
        <v>13479.88</v>
      </c>
      <c r="I252" s="193">
        <f t="shared" si="20"/>
        <v>0.43405074703760943</v>
      </c>
      <c r="J252" s="229"/>
      <c r="K252" s="193"/>
      <c r="L252" s="195"/>
      <c r="M252" s="193"/>
      <c r="N252" s="229"/>
      <c r="O252" s="193"/>
      <c r="P252" s="3"/>
      <c r="Q252" s="196"/>
      <c r="R252" s="194"/>
      <c r="S252" s="193"/>
      <c r="T252" s="193"/>
      <c r="U252" s="197">
        <v>15100</v>
      </c>
      <c r="V252" s="196">
        <v>21836.31</v>
      </c>
      <c r="W252" s="196">
        <f t="shared" si="22"/>
        <v>1.4461132450331127</v>
      </c>
      <c r="X252" s="197">
        <v>15100</v>
      </c>
      <c r="Y252" s="196">
        <v>18630.66</v>
      </c>
      <c r="Z252" s="196">
        <f t="shared" si="21"/>
        <v>1.2338185430463575</v>
      </c>
      <c r="AA252" s="95"/>
      <c r="AB252" s="193">
        <v>0</v>
      </c>
      <c r="AC252" s="193"/>
      <c r="AD252" s="197">
        <v>2425607.54</v>
      </c>
      <c r="AE252" s="197">
        <f>VLOOKUP(B252,Reference!A:B,2,0)</f>
        <v>15042.2</v>
      </c>
    </row>
    <row r="253" spans="1:31">
      <c r="A253" s="3">
        <v>2000</v>
      </c>
      <c r="B253" s="3" t="s">
        <v>449</v>
      </c>
      <c r="C253" s="191">
        <v>36678</v>
      </c>
      <c r="D253" s="192">
        <v>2937045</v>
      </c>
      <c r="E253" s="193">
        <v>230484.38</v>
      </c>
      <c r="F253" s="227">
        <f t="shared" si="19"/>
        <v>7.8474922924231666E-2</v>
      </c>
      <c r="G253" s="194">
        <v>15660</v>
      </c>
      <c r="H253" s="193">
        <v>8175.9</v>
      </c>
      <c r="I253" s="193">
        <f t="shared" si="20"/>
        <v>0.52208812260536397</v>
      </c>
      <c r="J253" s="229"/>
      <c r="K253" s="193"/>
      <c r="L253" s="195"/>
      <c r="M253" s="193"/>
      <c r="N253" s="229"/>
      <c r="O253" s="193"/>
      <c r="P253" s="3"/>
      <c r="Q253" s="196"/>
      <c r="R253" s="194"/>
      <c r="S253" s="193"/>
      <c r="T253" s="193"/>
      <c r="U253" s="197">
        <v>17212</v>
      </c>
      <c r="V253" s="196">
        <v>36882.82</v>
      </c>
      <c r="W253" s="196">
        <f t="shared" si="22"/>
        <v>2.1428549848942597</v>
      </c>
      <c r="X253" s="197">
        <v>9339</v>
      </c>
      <c r="Y253" s="196">
        <v>21274.28</v>
      </c>
      <c r="Z253" s="196">
        <f t="shared" si="21"/>
        <v>2.2780040689581322</v>
      </c>
      <c r="AA253" s="95"/>
      <c r="AB253" s="193">
        <v>0</v>
      </c>
      <c r="AC253" s="193"/>
      <c r="AD253" s="197">
        <v>2425607.54</v>
      </c>
      <c r="AE253" s="197">
        <f>VLOOKUP(B253,Reference!A:B,2,0)</f>
        <v>15042.2</v>
      </c>
    </row>
    <row r="254" spans="1:31">
      <c r="A254" s="3">
        <v>2000</v>
      </c>
      <c r="B254" s="3" t="s">
        <v>450</v>
      </c>
      <c r="C254" s="191">
        <v>36708</v>
      </c>
      <c r="D254" s="192">
        <v>3063061</v>
      </c>
      <c r="E254" s="193">
        <v>238657.72</v>
      </c>
      <c r="F254" s="227">
        <f t="shared" si="19"/>
        <v>7.7914778713189192E-2</v>
      </c>
      <c r="G254" s="194">
        <v>14504</v>
      </c>
      <c r="H254" s="193">
        <v>9267.83</v>
      </c>
      <c r="I254" s="193">
        <f t="shared" si="20"/>
        <v>0.63898441809156092</v>
      </c>
      <c r="J254" s="229"/>
      <c r="K254" s="193"/>
      <c r="L254" s="195"/>
      <c r="M254" s="193"/>
      <c r="N254" s="229"/>
      <c r="O254" s="193"/>
      <c r="P254" s="3"/>
      <c r="Q254" s="196"/>
      <c r="R254" s="194"/>
      <c r="S254" s="193"/>
      <c r="T254" s="193"/>
      <c r="U254" s="197">
        <v>15843</v>
      </c>
      <c r="V254" s="196">
        <v>35043.96</v>
      </c>
      <c r="W254" s="196">
        <f>IF(U254=0,0,V254/U254)</f>
        <v>2.2119522817648174</v>
      </c>
      <c r="X254" s="197">
        <v>8592</v>
      </c>
      <c r="Y254" s="196">
        <v>19580.990000000002</v>
      </c>
      <c r="Z254" s="196">
        <f t="shared" si="21"/>
        <v>2.2789792830540039</v>
      </c>
      <c r="AA254" s="95"/>
      <c r="AB254" s="193">
        <v>0</v>
      </c>
      <c r="AC254" s="193"/>
      <c r="AD254" s="197">
        <v>2425607.54</v>
      </c>
      <c r="AE254" s="197">
        <f>VLOOKUP(B254,Reference!A:B,2,0)</f>
        <v>15229.8</v>
      </c>
    </row>
    <row r="255" spans="1:31">
      <c r="A255" s="3">
        <v>2000</v>
      </c>
      <c r="B255" s="3" t="s">
        <v>450</v>
      </c>
      <c r="C255" s="191">
        <v>36739</v>
      </c>
      <c r="D255" s="192">
        <v>3340798</v>
      </c>
      <c r="E255" s="193">
        <v>264770.23</v>
      </c>
      <c r="F255" s="227">
        <f t="shared" si="19"/>
        <v>7.9253588513882006E-2</v>
      </c>
      <c r="G255" s="194">
        <v>12506</v>
      </c>
      <c r="H255" s="193">
        <v>8205.76</v>
      </c>
      <c r="I255" s="193">
        <f t="shared" si="20"/>
        <v>0.65614584999200387</v>
      </c>
      <c r="J255" s="229"/>
      <c r="K255" s="193"/>
      <c r="L255" s="195"/>
      <c r="M255" s="193"/>
      <c r="N255" s="229"/>
      <c r="O255" s="193"/>
      <c r="P255" s="3"/>
      <c r="Q255" s="196"/>
      <c r="R255" s="194"/>
      <c r="S255" s="193"/>
      <c r="T255" s="193"/>
      <c r="U255" s="197">
        <v>16116</v>
      </c>
      <c r="V255" s="196">
        <v>35444.519999999997</v>
      </c>
      <c r="W255" s="196">
        <f t="shared" ref="W255:W265" si="23">IF(U255=0,0,V255/U255)</f>
        <v>2.1993373045420697</v>
      </c>
      <c r="X255" s="197">
        <v>8752</v>
      </c>
      <c r="Y255" s="196">
        <v>19945.64</v>
      </c>
      <c r="Z255" s="196">
        <f t="shared" si="21"/>
        <v>2.2789808043875683</v>
      </c>
      <c r="AA255" s="95"/>
      <c r="AB255" s="193">
        <v>0</v>
      </c>
      <c r="AC255" s="193"/>
      <c r="AD255" s="197">
        <v>2425607.54</v>
      </c>
      <c r="AE255" s="197">
        <f>VLOOKUP(B255,Reference!A:B,2,0)</f>
        <v>15229.8</v>
      </c>
    </row>
    <row r="256" spans="1:31">
      <c r="A256" s="3">
        <v>2000</v>
      </c>
      <c r="B256" s="3" t="s">
        <v>450</v>
      </c>
      <c r="C256" s="191">
        <v>36770</v>
      </c>
      <c r="D256" s="192">
        <v>2962210</v>
      </c>
      <c r="E256" s="193">
        <v>236982.39999999999</v>
      </c>
      <c r="F256" s="227">
        <f t="shared" si="19"/>
        <v>8.0001890480418336E-2</v>
      </c>
      <c r="G256" s="194">
        <v>12711</v>
      </c>
      <c r="H256" s="193">
        <v>10005.24</v>
      </c>
      <c r="I256" s="193">
        <f t="shared" si="20"/>
        <v>0.7871324050035402</v>
      </c>
      <c r="J256" s="229"/>
      <c r="K256" s="193"/>
      <c r="L256" s="195"/>
      <c r="M256" s="193"/>
      <c r="N256" s="229"/>
      <c r="O256" s="193"/>
      <c r="P256" s="3"/>
      <c r="Q256" s="196"/>
      <c r="R256" s="194"/>
      <c r="S256" s="193"/>
      <c r="T256" s="193"/>
      <c r="U256" s="197">
        <v>15446</v>
      </c>
      <c r="V256" s="196">
        <v>33892.980000000003</v>
      </c>
      <c r="W256" s="196">
        <f t="shared" si="23"/>
        <v>2.1942884889291729</v>
      </c>
      <c r="X256" s="197">
        <v>8389</v>
      </c>
      <c r="Y256" s="196">
        <v>19118.37</v>
      </c>
      <c r="Z256" s="196">
        <f t="shared" si="21"/>
        <v>2.278980808201216</v>
      </c>
      <c r="AA256" s="95"/>
      <c r="AB256" s="193">
        <v>0</v>
      </c>
      <c r="AC256" s="193"/>
      <c r="AD256" s="197">
        <v>2425607.54</v>
      </c>
      <c r="AE256" s="197">
        <f>VLOOKUP(B256,Reference!A:B,2,0)</f>
        <v>15229.8</v>
      </c>
    </row>
    <row r="257" spans="1:31">
      <c r="A257" s="3">
        <v>2000</v>
      </c>
      <c r="B257" s="3" t="s">
        <v>450</v>
      </c>
      <c r="C257" s="191">
        <v>36800</v>
      </c>
      <c r="D257" s="192">
        <v>2914303</v>
      </c>
      <c r="E257" s="193">
        <v>234779.64</v>
      </c>
      <c r="F257" s="227">
        <f t="shared" si="19"/>
        <v>8.056116333819785E-2</v>
      </c>
      <c r="G257" s="194">
        <v>36975</v>
      </c>
      <c r="H257" s="193">
        <v>25546.16</v>
      </c>
      <c r="I257" s="193">
        <f t="shared" si="20"/>
        <v>0.69090358350236647</v>
      </c>
      <c r="J257" s="229"/>
      <c r="K257" s="193"/>
      <c r="L257" s="195"/>
      <c r="M257" s="193"/>
      <c r="N257" s="229"/>
      <c r="O257" s="193"/>
      <c r="P257" s="3"/>
      <c r="Q257" s="196"/>
      <c r="R257" s="194"/>
      <c r="S257" s="193"/>
      <c r="T257" s="193"/>
      <c r="U257" s="197">
        <v>13398</v>
      </c>
      <c r="V257" s="196">
        <v>26731.51</v>
      </c>
      <c r="W257" s="196">
        <f t="shared" si="23"/>
        <v>1.9951865950141812</v>
      </c>
      <c r="X257" s="197">
        <v>13398</v>
      </c>
      <c r="Y257" s="196">
        <v>16650.23</v>
      </c>
      <c r="Z257" s="196">
        <f t="shared" si="21"/>
        <v>1.242739961188237</v>
      </c>
      <c r="AA257" s="95"/>
      <c r="AB257" s="193">
        <v>0</v>
      </c>
      <c r="AC257" s="193"/>
      <c r="AD257" s="197">
        <v>2425607.54</v>
      </c>
      <c r="AE257" s="197">
        <f>VLOOKUP(B257,Reference!A:B,2,0)</f>
        <v>15229.8</v>
      </c>
    </row>
    <row r="258" spans="1:31">
      <c r="A258" s="3">
        <v>2000</v>
      </c>
      <c r="B258" s="3" t="s">
        <v>450</v>
      </c>
      <c r="C258" s="191">
        <v>36831</v>
      </c>
      <c r="D258" s="192">
        <v>2697818</v>
      </c>
      <c r="E258" s="193">
        <v>212254.75</v>
      </c>
      <c r="F258" s="227">
        <f t="shared" si="19"/>
        <v>7.8676452599841795E-2</v>
      </c>
      <c r="G258" s="194">
        <v>74812</v>
      </c>
      <c r="H258" s="193">
        <v>47656.36</v>
      </c>
      <c r="I258" s="193">
        <f t="shared" si="20"/>
        <v>0.63701491739293159</v>
      </c>
      <c r="J258" s="229"/>
      <c r="K258" s="193"/>
      <c r="L258" s="195"/>
      <c r="M258" s="193"/>
      <c r="N258" s="229"/>
      <c r="O258" s="193"/>
      <c r="P258" s="3"/>
      <c r="Q258" s="196"/>
      <c r="R258" s="194"/>
      <c r="S258" s="193"/>
      <c r="T258" s="193"/>
      <c r="U258" s="197">
        <v>13420</v>
      </c>
      <c r="V258" s="196">
        <v>19152.27</v>
      </c>
      <c r="W258" s="196">
        <f t="shared" si="23"/>
        <v>1.4271438152011924</v>
      </c>
      <c r="X258" s="197">
        <v>13420</v>
      </c>
      <c r="Y258" s="196">
        <v>16657.060000000001</v>
      </c>
      <c r="Z258" s="196">
        <f t="shared" si="21"/>
        <v>1.2412116244411326</v>
      </c>
      <c r="AA258" s="95"/>
      <c r="AB258" s="193">
        <v>0</v>
      </c>
      <c r="AC258" s="193"/>
      <c r="AD258" s="197">
        <v>2425607.54</v>
      </c>
      <c r="AE258" s="197">
        <f>VLOOKUP(B258,Reference!A:B,2,0)</f>
        <v>15229.8</v>
      </c>
    </row>
    <row r="259" spans="1:31">
      <c r="A259" s="3">
        <v>2000</v>
      </c>
      <c r="B259" s="3" t="s">
        <v>450</v>
      </c>
      <c r="C259" s="191">
        <v>36861</v>
      </c>
      <c r="D259" s="192">
        <v>2607153</v>
      </c>
      <c r="E259" s="193">
        <v>204689.22</v>
      </c>
      <c r="F259" s="227">
        <f t="shared" si="19"/>
        <v>7.8510628260021559E-2</v>
      </c>
      <c r="G259" s="194">
        <v>71953</v>
      </c>
      <c r="H259" s="193">
        <v>101160.41</v>
      </c>
      <c r="I259" s="193">
        <f t="shared" si="20"/>
        <v>1.4059234500298807</v>
      </c>
      <c r="J259" s="229"/>
      <c r="K259" s="193"/>
      <c r="L259" s="195"/>
      <c r="M259" s="193"/>
      <c r="N259" s="229"/>
      <c r="O259" s="193"/>
      <c r="P259" s="3"/>
      <c r="Q259" s="196"/>
      <c r="R259" s="194"/>
      <c r="S259" s="193"/>
      <c r="T259" s="193"/>
      <c r="U259" s="197">
        <v>11382</v>
      </c>
      <c r="V259" s="196">
        <v>16467.03</v>
      </c>
      <c r="W259" s="196">
        <f t="shared" si="23"/>
        <v>1.4467606747496045</v>
      </c>
      <c r="X259" s="197">
        <v>11382</v>
      </c>
      <c r="Y259" s="196">
        <v>14118.28</v>
      </c>
      <c r="Z259" s="196">
        <f t="shared" si="21"/>
        <v>1.240404146898612</v>
      </c>
      <c r="AA259" s="95"/>
      <c r="AB259" s="193">
        <v>0</v>
      </c>
      <c r="AC259" s="193"/>
      <c r="AD259" s="197">
        <v>2425607.54</v>
      </c>
      <c r="AE259" s="197">
        <f>VLOOKUP(B259,Reference!A:B,2,0)</f>
        <v>15229.8</v>
      </c>
    </row>
    <row r="260" spans="1:31">
      <c r="A260" s="3">
        <v>2001</v>
      </c>
      <c r="B260" s="3" t="s">
        <v>450</v>
      </c>
      <c r="C260" s="191">
        <v>36892</v>
      </c>
      <c r="D260" s="192">
        <v>2774624</v>
      </c>
      <c r="E260" s="193">
        <v>215956.98</v>
      </c>
      <c r="F260" s="227">
        <f t="shared" si="19"/>
        <v>7.7832881139931032E-2</v>
      </c>
      <c r="G260" s="194">
        <v>97367</v>
      </c>
      <c r="H260" s="193">
        <v>161991.57</v>
      </c>
      <c r="I260" s="193">
        <f t="shared" si="20"/>
        <v>1.6637214867460228</v>
      </c>
      <c r="J260" s="229"/>
      <c r="K260" s="193"/>
      <c r="L260" s="195"/>
      <c r="M260" s="193"/>
      <c r="N260" s="229"/>
      <c r="O260" s="193"/>
      <c r="P260" s="3"/>
      <c r="Q260" s="196"/>
      <c r="R260" s="194"/>
      <c r="S260" s="193"/>
      <c r="T260" s="193"/>
      <c r="U260" s="197">
        <v>9558</v>
      </c>
      <c r="V260" s="196">
        <v>14154.78</v>
      </c>
      <c r="W260" s="196">
        <f t="shared" si="23"/>
        <v>1.4809353421217828</v>
      </c>
      <c r="X260" s="197">
        <v>9558</v>
      </c>
      <c r="Y260" s="196">
        <v>11894</v>
      </c>
      <c r="Z260" s="196">
        <f t="shared" si="21"/>
        <v>1.2444025946850805</v>
      </c>
      <c r="AA260" s="95"/>
      <c r="AB260" s="193">
        <v>0</v>
      </c>
      <c r="AC260" s="193"/>
      <c r="AD260" s="197">
        <v>2425607.54</v>
      </c>
      <c r="AE260" s="197">
        <f>VLOOKUP(B260,Reference!A:B,2,0)</f>
        <v>15229.8</v>
      </c>
    </row>
    <row r="261" spans="1:31">
      <c r="A261" s="3">
        <v>2001</v>
      </c>
      <c r="B261" s="3" t="s">
        <v>450</v>
      </c>
      <c r="C261" s="191">
        <v>36923</v>
      </c>
      <c r="D261" s="192">
        <v>2509121</v>
      </c>
      <c r="E261" s="193">
        <v>202258.86</v>
      </c>
      <c r="F261" s="227">
        <f t="shared" si="19"/>
        <v>8.0609448488135879E-2</v>
      </c>
      <c r="G261" s="194">
        <v>97661</v>
      </c>
      <c r="H261" s="193">
        <v>127752.08</v>
      </c>
      <c r="I261" s="193">
        <f t="shared" si="20"/>
        <v>1.3081176723564165</v>
      </c>
      <c r="J261" s="229"/>
      <c r="K261" s="193"/>
      <c r="L261" s="195"/>
      <c r="M261" s="193"/>
      <c r="N261" s="229"/>
      <c r="O261" s="193"/>
      <c r="P261" s="3"/>
      <c r="Q261" s="196"/>
      <c r="R261" s="194"/>
      <c r="S261" s="193"/>
      <c r="T261" s="193"/>
      <c r="U261" s="197">
        <v>7248</v>
      </c>
      <c r="V261" s="196">
        <v>10856.55</v>
      </c>
      <c r="W261" s="196">
        <f t="shared" si="23"/>
        <v>1.4978683774834436</v>
      </c>
      <c r="X261" s="197">
        <v>7248</v>
      </c>
      <c r="Y261" s="196">
        <v>9061.23</v>
      </c>
      <c r="Z261" s="196">
        <f t="shared" si="21"/>
        <v>1.2501697019867548</v>
      </c>
      <c r="AA261" s="95"/>
      <c r="AB261" s="193">
        <v>0</v>
      </c>
      <c r="AC261" s="193"/>
      <c r="AD261" s="197">
        <v>2425607.54</v>
      </c>
      <c r="AE261" s="197">
        <f>VLOOKUP(B261,Reference!A:B,2,0)</f>
        <v>15229.8</v>
      </c>
    </row>
    <row r="262" spans="1:31">
      <c r="A262" s="3">
        <v>2001</v>
      </c>
      <c r="B262" s="3" t="s">
        <v>450</v>
      </c>
      <c r="C262" s="191">
        <v>36951</v>
      </c>
      <c r="D262" s="192">
        <v>2768010</v>
      </c>
      <c r="E262" s="193">
        <v>212333.65</v>
      </c>
      <c r="F262" s="227">
        <f t="shared" si="19"/>
        <v>7.6709856539535617E-2</v>
      </c>
      <c r="G262" s="194">
        <v>71908</v>
      </c>
      <c r="H262" s="193">
        <v>95303.76</v>
      </c>
      <c r="I262" s="193">
        <f t="shared" si="20"/>
        <v>1.3253568448573176</v>
      </c>
      <c r="J262" s="229"/>
      <c r="K262" s="193"/>
      <c r="L262" s="195"/>
      <c r="M262" s="193"/>
      <c r="N262" s="229"/>
      <c r="O262" s="193"/>
      <c r="P262" s="3"/>
      <c r="Q262" s="196"/>
      <c r="R262" s="194"/>
      <c r="S262" s="193"/>
      <c r="T262" s="193"/>
      <c r="U262" s="197">
        <v>9050</v>
      </c>
      <c r="V262" s="196">
        <v>13937.69</v>
      </c>
      <c r="W262" s="196">
        <f t="shared" si="23"/>
        <v>1.5400762430939228</v>
      </c>
      <c r="X262" s="197">
        <v>9050</v>
      </c>
      <c r="Y262" s="196">
        <v>11278.66</v>
      </c>
      <c r="Z262" s="196">
        <f t="shared" si="21"/>
        <v>1.246260773480663</v>
      </c>
      <c r="AA262" s="95"/>
      <c r="AB262" s="193">
        <v>0</v>
      </c>
      <c r="AC262" s="193"/>
      <c r="AD262" s="197">
        <v>2425607.54</v>
      </c>
      <c r="AE262" s="197">
        <f>VLOOKUP(B262,Reference!A:B,2,0)</f>
        <v>15229.8</v>
      </c>
    </row>
    <row r="263" spans="1:31">
      <c r="A263" s="3">
        <v>2001</v>
      </c>
      <c r="B263" s="3" t="s">
        <v>450</v>
      </c>
      <c r="C263" s="191">
        <v>36982</v>
      </c>
      <c r="D263" s="192">
        <v>2672680</v>
      </c>
      <c r="E263" s="193">
        <v>214044</v>
      </c>
      <c r="F263" s="227">
        <f t="shared" si="19"/>
        <v>8.0085906281335592E-2</v>
      </c>
      <c r="G263" s="194">
        <v>63421</v>
      </c>
      <c r="H263" s="193">
        <v>77963.48</v>
      </c>
      <c r="I263" s="193">
        <f t="shared" si="20"/>
        <v>1.2293007048138629</v>
      </c>
      <c r="J263" s="229"/>
      <c r="K263" s="193"/>
      <c r="L263" s="195"/>
      <c r="M263" s="193"/>
      <c r="N263" s="229"/>
      <c r="O263" s="193"/>
      <c r="P263" s="3"/>
      <c r="Q263" s="196"/>
      <c r="R263" s="194"/>
      <c r="S263" s="193"/>
      <c r="T263" s="193"/>
      <c r="U263" s="197">
        <v>13189</v>
      </c>
      <c r="V263" s="196">
        <v>21486.29</v>
      </c>
      <c r="W263" s="196">
        <f t="shared" si="23"/>
        <v>1.6291068314504511</v>
      </c>
      <c r="X263" s="197">
        <v>13189</v>
      </c>
      <c r="Y263" s="196">
        <v>16406.38</v>
      </c>
      <c r="Z263" s="196">
        <f t="shared" si="21"/>
        <v>1.2439441959208433</v>
      </c>
      <c r="AA263" s="95"/>
      <c r="AB263" s="193">
        <v>0</v>
      </c>
      <c r="AC263" s="193"/>
      <c r="AD263" s="197">
        <v>2425607.54</v>
      </c>
      <c r="AE263" s="197">
        <f>VLOOKUP(B263,Reference!A:B,2,0)</f>
        <v>15229.8</v>
      </c>
    </row>
    <row r="264" spans="1:31">
      <c r="A264" s="3">
        <v>2001</v>
      </c>
      <c r="B264" s="3" t="s">
        <v>450</v>
      </c>
      <c r="C264" s="191">
        <v>37012</v>
      </c>
      <c r="D264" s="192">
        <v>2978897</v>
      </c>
      <c r="E264" s="193">
        <v>230847.52</v>
      </c>
      <c r="F264" s="227">
        <f t="shared" si="19"/>
        <v>7.7494294028964406E-2</v>
      </c>
      <c r="G264" s="194">
        <v>21202</v>
      </c>
      <c r="H264" s="193">
        <v>24639.15</v>
      </c>
      <c r="I264" s="193">
        <f t="shared" si="20"/>
        <v>1.1621144231676257</v>
      </c>
      <c r="J264" s="229"/>
      <c r="K264" s="193"/>
      <c r="L264" s="195"/>
      <c r="M264" s="193"/>
      <c r="N264" s="229"/>
      <c r="O264" s="193"/>
      <c r="P264" s="3"/>
      <c r="Q264" s="196"/>
      <c r="R264" s="194"/>
      <c r="S264" s="193"/>
      <c r="T264" s="193"/>
      <c r="U264" s="197">
        <v>12610</v>
      </c>
      <c r="V264" s="196">
        <v>22567.43</v>
      </c>
      <c r="W264" s="196">
        <f t="shared" si="23"/>
        <v>1.7896455194290246</v>
      </c>
      <c r="X264" s="197">
        <v>12610</v>
      </c>
      <c r="Y264" s="196">
        <v>15665.72</v>
      </c>
      <c r="Z264" s="196">
        <f t="shared" si="21"/>
        <v>1.2423251387787471</v>
      </c>
      <c r="AA264" s="95"/>
      <c r="AB264" s="193">
        <v>0</v>
      </c>
      <c r="AC264" s="193"/>
      <c r="AD264" s="197">
        <v>2425607.54</v>
      </c>
      <c r="AE264" s="197">
        <f>VLOOKUP(B264,Reference!A:B,2,0)</f>
        <v>15229.8</v>
      </c>
    </row>
    <row r="265" spans="1:31">
      <c r="A265" s="3">
        <v>2001</v>
      </c>
      <c r="B265" s="3" t="s">
        <v>450</v>
      </c>
      <c r="C265" s="191">
        <v>37043</v>
      </c>
      <c r="D265" s="192">
        <v>2892538</v>
      </c>
      <c r="E265" s="193">
        <v>226550.1</v>
      </c>
      <c r="F265" s="227">
        <f t="shared" si="19"/>
        <v>7.8322255403386234E-2</v>
      </c>
      <c r="G265" s="194">
        <v>11273</v>
      </c>
      <c r="H265" s="193">
        <v>10470.61</v>
      </c>
      <c r="I265" s="193">
        <f t="shared" si="20"/>
        <v>0.92882196398474237</v>
      </c>
      <c r="J265" s="229"/>
      <c r="K265" s="193"/>
      <c r="L265" s="195"/>
      <c r="M265" s="193"/>
      <c r="N265" s="229"/>
      <c r="O265" s="193"/>
      <c r="P265" s="3"/>
      <c r="Q265" s="196"/>
      <c r="R265" s="194"/>
      <c r="S265" s="193"/>
      <c r="T265" s="193"/>
      <c r="U265" s="197">
        <v>16342</v>
      </c>
      <c r="V265" s="196">
        <v>38885.99</v>
      </c>
      <c r="W265" s="196">
        <f t="shared" si="23"/>
        <v>2.3795122995961324</v>
      </c>
      <c r="X265" s="197">
        <v>8896</v>
      </c>
      <c r="Y265" s="196">
        <v>20273.8</v>
      </c>
      <c r="Z265" s="196">
        <f t="shared" si="21"/>
        <v>2.2789793165467627</v>
      </c>
      <c r="AA265" s="95"/>
      <c r="AB265" s="193">
        <v>0</v>
      </c>
      <c r="AC265" s="193"/>
      <c r="AD265" s="197">
        <v>2425607.54</v>
      </c>
      <c r="AE265" s="197">
        <f>VLOOKUP(B265,Reference!A:B,2,0)</f>
        <v>15229.8</v>
      </c>
    </row>
    <row r="266" spans="1:31">
      <c r="A266" s="3">
        <v>2001</v>
      </c>
      <c r="B266" s="3" t="s">
        <v>451</v>
      </c>
      <c r="C266" s="191">
        <v>37073</v>
      </c>
      <c r="D266" s="192">
        <v>2983290</v>
      </c>
      <c r="E266" s="193">
        <v>228974.06</v>
      </c>
      <c r="F266" s="227">
        <f t="shared" si="19"/>
        <v>7.6752196400618103E-2</v>
      </c>
      <c r="G266" s="194">
        <v>8649</v>
      </c>
      <c r="H266" s="193">
        <v>5616.03</v>
      </c>
      <c r="I266" s="193">
        <f t="shared" si="20"/>
        <v>0.64932708983697529</v>
      </c>
      <c r="J266" s="229"/>
      <c r="K266" s="193"/>
      <c r="L266" s="195"/>
      <c r="M266" s="193"/>
      <c r="N266" s="229"/>
      <c r="O266" s="193"/>
      <c r="P266" s="3"/>
      <c r="Q266" s="196"/>
      <c r="R266" s="194"/>
      <c r="S266" s="193"/>
      <c r="T266" s="193"/>
      <c r="U266" s="197">
        <v>14301</v>
      </c>
      <c r="V266" s="196">
        <v>34352.720000000001</v>
      </c>
      <c r="W266" s="196">
        <f>IF(U266=0,0,V266/U266)</f>
        <v>2.4021201314593386</v>
      </c>
      <c r="X266" s="197">
        <v>7782</v>
      </c>
      <c r="Y266" s="196">
        <v>17735.03</v>
      </c>
      <c r="Z266" s="196">
        <f t="shared" si="21"/>
        <v>2.2789809817527624</v>
      </c>
      <c r="AA266" s="95"/>
      <c r="AB266" s="193">
        <v>0</v>
      </c>
      <c r="AC266" s="193"/>
      <c r="AD266" s="197">
        <v>3205886.93</v>
      </c>
      <c r="AE266" s="197">
        <f>VLOOKUP(B266,Reference!A:B,2,0)</f>
        <v>16403.599999999999</v>
      </c>
    </row>
    <row r="267" spans="1:31">
      <c r="A267" s="3">
        <v>2001</v>
      </c>
      <c r="B267" s="3" t="s">
        <v>451</v>
      </c>
      <c r="C267" s="191">
        <v>37104</v>
      </c>
      <c r="D267" s="192">
        <v>3213376</v>
      </c>
      <c r="E267" s="193">
        <v>245431.97</v>
      </c>
      <c r="F267" s="227">
        <f t="shared" si="19"/>
        <v>7.6378229625166799E-2</v>
      </c>
      <c r="G267" s="194">
        <v>15738</v>
      </c>
      <c r="H267" s="193">
        <v>10352.17</v>
      </c>
      <c r="I267" s="193">
        <f t="shared" si="20"/>
        <v>0.65778180200787906</v>
      </c>
      <c r="J267" s="229"/>
      <c r="K267" s="193"/>
      <c r="L267" s="195"/>
      <c r="M267" s="193"/>
      <c r="N267" s="229"/>
      <c r="O267" s="193"/>
      <c r="P267" s="3"/>
      <c r="Q267" s="196"/>
      <c r="R267" s="194"/>
      <c r="S267" s="193"/>
      <c r="T267" s="193"/>
      <c r="U267" s="197">
        <v>13003</v>
      </c>
      <c r="V267" s="196">
        <v>31102.03</v>
      </c>
      <c r="W267" s="196">
        <f t="shared" ref="W267:W277" si="24">IF(U267=0,0,V267/U267)</f>
        <v>2.391911866492348</v>
      </c>
      <c r="X267" s="197">
        <v>7126</v>
      </c>
      <c r="Y267" s="196">
        <v>16240.01</v>
      </c>
      <c r="Z267" s="196">
        <f t="shared" si="21"/>
        <v>2.2789797923098511</v>
      </c>
      <c r="AA267" s="95"/>
      <c r="AB267" s="193">
        <v>0</v>
      </c>
      <c r="AC267" s="193"/>
      <c r="AD267" s="197">
        <v>3205886.93</v>
      </c>
      <c r="AE267" s="197">
        <f>VLOOKUP(B267,Reference!A:B,2,0)</f>
        <v>16403.599999999999</v>
      </c>
    </row>
    <row r="268" spans="1:31">
      <c r="A268" s="3">
        <v>2001</v>
      </c>
      <c r="B268" s="3" t="s">
        <v>451</v>
      </c>
      <c r="C268" s="191">
        <v>37135</v>
      </c>
      <c r="D268" s="192">
        <v>2897074</v>
      </c>
      <c r="E268" s="193">
        <v>231041.5</v>
      </c>
      <c r="F268" s="227">
        <f t="shared" si="19"/>
        <v>7.9749947705857707E-2</v>
      </c>
      <c r="G268" s="194">
        <v>12981</v>
      </c>
      <c r="H268" s="193">
        <v>7967.6</v>
      </c>
      <c r="I268" s="193">
        <f t="shared" si="20"/>
        <v>0.61378938448501663</v>
      </c>
      <c r="J268" s="229"/>
      <c r="K268" s="193"/>
      <c r="L268" s="195"/>
      <c r="M268" s="193"/>
      <c r="N268" s="229"/>
      <c r="O268" s="193"/>
      <c r="P268" s="3"/>
      <c r="Q268" s="196"/>
      <c r="R268" s="194"/>
      <c r="S268" s="193"/>
      <c r="T268" s="193"/>
      <c r="U268" s="197">
        <v>13144</v>
      </c>
      <c r="V268" s="196">
        <v>29924.83</v>
      </c>
      <c r="W268" s="196">
        <f t="shared" si="24"/>
        <v>2.2766912659768717</v>
      </c>
      <c r="X268" s="197">
        <v>7181</v>
      </c>
      <c r="Y268" s="196">
        <v>16365.36</v>
      </c>
      <c r="Z268" s="196">
        <f t="shared" si="21"/>
        <v>2.278980643364434</v>
      </c>
      <c r="AA268" s="95"/>
      <c r="AB268" s="193">
        <v>0</v>
      </c>
      <c r="AC268" s="193"/>
      <c r="AD268" s="197">
        <v>3205886.93</v>
      </c>
      <c r="AE268" s="197">
        <f>VLOOKUP(B268,Reference!A:B,2,0)</f>
        <v>16403.599999999999</v>
      </c>
    </row>
    <row r="269" spans="1:31">
      <c r="A269" s="3">
        <v>2001</v>
      </c>
      <c r="B269" s="3" t="s">
        <v>451</v>
      </c>
      <c r="C269" s="191">
        <v>37165</v>
      </c>
      <c r="D269" s="192">
        <v>3097692</v>
      </c>
      <c r="E269" s="193">
        <v>238506.79</v>
      </c>
      <c r="F269" s="227">
        <f t="shared" si="19"/>
        <v>7.6994998211571714E-2</v>
      </c>
      <c r="G269" s="194">
        <v>20294</v>
      </c>
      <c r="H269" s="193">
        <v>11248.17</v>
      </c>
      <c r="I269" s="193">
        <f t="shared" si="20"/>
        <v>0.55426086528037843</v>
      </c>
      <c r="J269" s="229"/>
      <c r="K269" s="193"/>
      <c r="L269" s="195"/>
      <c r="M269" s="193"/>
      <c r="N269" s="229"/>
      <c r="O269" s="193"/>
      <c r="P269" s="3"/>
      <c r="Q269" s="196"/>
      <c r="R269" s="194"/>
      <c r="S269" s="193"/>
      <c r="T269" s="193"/>
      <c r="U269" s="197">
        <v>8079</v>
      </c>
      <c r="V269" s="196">
        <v>16312.26</v>
      </c>
      <c r="W269" s="196">
        <f t="shared" si="24"/>
        <v>2.0190939472707017</v>
      </c>
      <c r="X269" s="197">
        <v>8079</v>
      </c>
      <c r="Y269" s="196">
        <v>10155.14</v>
      </c>
      <c r="Z269" s="196">
        <f t="shared" si="21"/>
        <v>1.2569798242356727</v>
      </c>
      <c r="AA269" s="95"/>
      <c r="AB269" s="193">
        <v>0</v>
      </c>
      <c r="AC269" s="193"/>
      <c r="AD269" s="197">
        <v>3205886.93</v>
      </c>
      <c r="AE269" s="197">
        <f>VLOOKUP(B269,Reference!A:B,2,0)</f>
        <v>16403.599999999999</v>
      </c>
    </row>
    <row r="270" spans="1:31">
      <c r="A270" s="3">
        <v>2001</v>
      </c>
      <c r="B270" s="3" t="s">
        <v>451</v>
      </c>
      <c r="C270" s="191">
        <v>37196</v>
      </c>
      <c r="D270" s="192">
        <v>2835948</v>
      </c>
      <c r="E270" s="193">
        <v>219679.46</v>
      </c>
      <c r="F270" s="227">
        <f t="shared" si="19"/>
        <v>7.7462442893875341E-2</v>
      </c>
      <c r="G270" s="194">
        <v>67118</v>
      </c>
      <c r="H270" s="193">
        <v>40793.800000000003</v>
      </c>
      <c r="I270" s="193">
        <f t="shared" si="20"/>
        <v>0.6077922464912543</v>
      </c>
      <c r="J270" s="229"/>
      <c r="K270" s="193"/>
      <c r="L270" s="195"/>
      <c r="M270" s="193"/>
      <c r="N270" s="229"/>
      <c r="O270" s="193"/>
      <c r="P270" s="3"/>
      <c r="Q270" s="196"/>
      <c r="R270" s="194"/>
      <c r="S270" s="193"/>
      <c r="T270" s="193"/>
      <c r="U270" s="197">
        <v>11523</v>
      </c>
      <c r="V270" s="196">
        <v>19818.509999999998</v>
      </c>
      <c r="W270" s="196">
        <f t="shared" si="24"/>
        <v>1.7199088778963809</v>
      </c>
      <c r="X270" s="197">
        <v>11523</v>
      </c>
      <c r="Y270" s="196">
        <v>14223.11</v>
      </c>
      <c r="Z270" s="196">
        <f t="shared" si="21"/>
        <v>1.2343235268593249</v>
      </c>
      <c r="AA270" s="95"/>
      <c r="AB270" s="193">
        <v>0</v>
      </c>
      <c r="AC270" s="193"/>
      <c r="AD270" s="197">
        <v>3205886.93</v>
      </c>
      <c r="AE270" s="197">
        <f>VLOOKUP(B270,Reference!A:B,2,0)</f>
        <v>16403.599999999999</v>
      </c>
    </row>
    <row r="271" spans="1:31">
      <c r="A271" s="3">
        <v>2001</v>
      </c>
      <c r="B271" s="3" t="s">
        <v>451</v>
      </c>
      <c r="C271" s="191">
        <v>37226</v>
      </c>
      <c r="D271" s="192">
        <v>2588474</v>
      </c>
      <c r="E271" s="193">
        <v>202193.81</v>
      </c>
      <c r="F271" s="227">
        <f t="shared" si="19"/>
        <v>7.8113131520733833E-2</v>
      </c>
      <c r="G271" s="194">
        <v>106348</v>
      </c>
      <c r="H271" s="193">
        <v>54049.22</v>
      </c>
      <c r="I271" s="193">
        <f t="shared" si="20"/>
        <v>0.50822977394967461</v>
      </c>
      <c r="J271" s="229"/>
      <c r="K271" s="193"/>
      <c r="L271" s="195"/>
      <c r="M271" s="193"/>
      <c r="N271" s="229"/>
      <c r="O271" s="193"/>
      <c r="P271" s="3"/>
      <c r="Q271" s="196"/>
      <c r="R271" s="194"/>
      <c r="S271" s="193"/>
      <c r="T271" s="193"/>
      <c r="U271" s="197">
        <v>6433</v>
      </c>
      <c r="V271" s="196">
        <v>10479.64</v>
      </c>
      <c r="W271" s="196">
        <f t="shared" si="24"/>
        <v>1.6290439919166795</v>
      </c>
      <c r="X271" s="197">
        <v>6431</v>
      </c>
      <c r="Y271" s="196">
        <v>8003.78</v>
      </c>
      <c r="Z271" s="196">
        <f t="shared" si="21"/>
        <v>1.2445622764733322</v>
      </c>
      <c r="AA271" s="95"/>
      <c r="AB271" s="193">
        <v>0</v>
      </c>
      <c r="AC271" s="193"/>
      <c r="AD271" s="197">
        <v>2425607.54</v>
      </c>
      <c r="AE271" s="197">
        <f>VLOOKUP(B271,Reference!A:B,2,0)</f>
        <v>16403.599999999999</v>
      </c>
    </row>
    <row r="272" spans="1:31">
      <c r="A272" s="3">
        <v>2002</v>
      </c>
      <c r="B272" s="3" t="s">
        <v>451</v>
      </c>
      <c r="C272" s="191">
        <v>37257</v>
      </c>
      <c r="D272" s="192">
        <v>2816845</v>
      </c>
      <c r="E272" s="193">
        <v>218139.54</v>
      </c>
      <c r="F272" s="227">
        <f t="shared" si="19"/>
        <v>7.744108745777635E-2</v>
      </c>
      <c r="G272" s="194">
        <v>107023</v>
      </c>
      <c r="H272" s="193">
        <v>57671.89</v>
      </c>
      <c r="I272" s="193">
        <f t="shared" si="20"/>
        <v>0.53887379348364373</v>
      </c>
      <c r="J272" s="229"/>
      <c r="K272" s="193"/>
      <c r="L272" s="195"/>
      <c r="M272" s="193"/>
      <c r="N272" s="229"/>
      <c r="O272" s="193"/>
      <c r="P272" s="3"/>
      <c r="Q272" s="196"/>
      <c r="R272" s="194"/>
      <c r="S272" s="193"/>
      <c r="T272" s="193"/>
      <c r="U272" s="197">
        <v>9785</v>
      </c>
      <c r="V272" s="196">
        <v>15286.15</v>
      </c>
      <c r="W272" s="196">
        <f t="shared" si="24"/>
        <v>1.5622023505365354</v>
      </c>
      <c r="X272" s="197">
        <v>9785</v>
      </c>
      <c r="Y272" s="196">
        <v>12185.7</v>
      </c>
      <c r="Z272" s="196">
        <f t="shared" si="21"/>
        <v>1.2453449156872765</v>
      </c>
      <c r="AA272" s="95"/>
      <c r="AB272" s="193">
        <v>0</v>
      </c>
      <c r="AC272" s="193"/>
      <c r="AD272" s="197">
        <v>2425607.54</v>
      </c>
      <c r="AE272" s="197">
        <f>VLOOKUP(B272,Reference!A:B,2,0)</f>
        <v>16403.599999999999</v>
      </c>
    </row>
    <row r="273" spans="1:31">
      <c r="A273" s="3">
        <v>2002</v>
      </c>
      <c r="B273" s="3" t="s">
        <v>451</v>
      </c>
      <c r="C273" s="191">
        <v>37288</v>
      </c>
      <c r="D273" s="192">
        <v>3024775</v>
      </c>
      <c r="E273" s="193">
        <v>228829.75</v>
      </c>
      <c r="F273" s="227">
        <f t="shared" si="19"/>
        <v>7.5651825342380838E-2</v>
      </c>
      <c r="G273" s="194">
        <v>84065</v>
      </c>
      <c r="H273" s="193">
        <v>44607.19</v>
      </c>
      <c r="I273" s="193">
        <f t="shared" si="20"/>
        <v>0.53062737167667884</v>
      </c>
      <c r="J273" s="229"/>
      <c r="K273" s="193"/>
      <c r="L273" s="195"/>
      <c r="M273" s="193"/>
      <c r="N273" s="229"/>
      <c r="O273" s="193"/>
      <c r="P273" s="3"/>
      <c r="Q273" s="196"/>
      <c r="R273" s="194"/>
      <c r="S273" s="193"/>
      <c r="T273" s="193"/>
      <c r="U273" s="197">
        <v>10664</v>
      </c>
      <c r="V273" s="196">
        <v>16613.7</v>
      </c>
      <c r="W273" s="196">
        <f t="shared" si="24"/>
        <v>1.557923855963991</v>
      </c>
      <c r="X273" s="197">
        <v>10664</v>
      </c>
      <c r="Y273" s="196">
        <v>13284.17</v>
      </c>
      <c r="Z273" s="196">
        <f t="shared" si="21"/>
        <v>1.2457023630907726</v>
      </c>
      <c r="AA273" s="95"/>
      <c r="AB273" s="193">
        <v>0</v>
      </c>
      <c r="AC273" s="193"/>
      <c r="AD273" s="197">
        <v>2425607.54</v>
      </c>
      <c r="AE273" s="197">
        <f>VLOOKUP(B273,Reference!A:B,2,0)</f>
        <v>16403.599999999999</v>
      </c>
    </row>
    <row r="274" spans="1:31">
      <c r="A274" s="3">
        <v>2002</v>
      </c>
      <c r="B274" s="3" t="s">
        <v>451</v>
      </c>
      <c r="C274" s="191">
        <v>37316</v>
      </c>
      <c r="D274" s="192">
        <v>3024829</v>
      </c>
      <c r="E274" s="193">
        <v>228790.91</v>
      </c>
      <c r="F274" s="227">
        <f t="shared" si="19"/>
        <v>7.5637634391894554E-2</v>
      </c>
      <c r="G274" s="194">
        <v>88535</v>
      </c>
      <c r="H274" s="193">
        <v>49359.08</v>
      </c>
      <c r="I274" s="193">
        <f t="shared" si="20"/>
        <v>0.55750923363641502</v>
      </c>
      <c r="J274" s="229"/>
      <c r="K274" s="193"/>
      <c r="L274" s="195"/>
      <c r="M274" s="193"/>
      <c r="N274" s="229"/>
      <c r="O274" s="193"/>
      <c r="P274" s="3"/>
      <c r="Q274" s="196"/>
      <c r="R274" s="194"/>
      <c r="S274" s="193"/>
      <c r="T274" s="193"/>
      <c r="U274" s="197">
        <v>9254</v>
      </c>
      <c r="V274" s="196">
        <v>15102.23</v>
      </c>
      <c r="W274" s="196">
        <f t="shared" si="24"/>
        <v>1.6319677977090987</v>
      </c>
      <c r="X274" s="197">
        <v>9254</v>
      </c>
      <c r="Y274" s="196">
        <v>11506.57</v>
      </c>
      <c r="Z274" s="196">
        <f t="shared" si="21"/>
        <v>1.2434158201858656</v>
      </c>
      <c r="AA274" s="95"/>
      <c r="AB274" s="193">
        <v>0</v>
      </c>
      <c r="AC274" s="193"/>
      <c r="AD274" s="197">
        <v>2425607.54</v>
      </c>
      <c r="AE274" s="197">
        <f>VLOOKUP(B274,Reference!A:B,2,0)</f>
        <v>16403.599999999999</v>
      </c>
    </row>
    <row r="275" spans="1:31">
      <c r="A275" s="3">
        <v>2002</v>
      </c>
      <c r="B275" s="3" t="s">
        <v>451</v>
      </c>
      <c r="C275" s="191">
        <v>37347</v>
      </c>
      <c r="D275" s="192">
        <v>3024184</v>
      </c>
      <c r="E275" s="193">
        <v>228798.61</v>
      </c>
      <c r="F275" s="227">
        <f t="shared" si="19"/>
        <v>7.5656312578864238E-2</v>
      </c>
      <c r="G275" s="194">
        <v>72164</v>
      </c>
      <c r="H275" s="193">
        <v>32259.67</v>
      </c>
      <c r="I275" s="193">
        <f t="shared" si="20"/>
        <v>0.44703273100160745</v>
      </c>
      <c r="J275" s="229"/>
      <c r="K275" s="193"/>
      <c r="L275" s="195"/>
      <c r="M275" s="193"/>
      <c r="N275" s="229"/>
      <c r="O275" s="193"/>
      <c r="P275" s="3"/>
      <c r="Q275" s="196"/>
      <c r="R275" s="194"/>
      <c r="S275" s="193"/>
      <c r="T275" s="193"/>
      <c r="U275" s="197">
        <v>11163</v>
      </c>
      <c r="V275" s="196">
        <v>19528.5</v>
      </c>
      <c r="W275" s="196">
        <f t="shared" si="24"/>
        <v>1.749395323837678</v>
      </c>
      <c r="X275" s="197">
        <v>11163</v>
      </c>
      <c r="Y275" s="196">
        <v>13869.87</v>
      </c>
      <c r="Z275" s="196">
        <f t="shared" si="21"/>
        <v>1.242485890889546</v>
      </c>
      <c r="AA275" s="95"/>
      <c r="AB275" s="193">
        <v>0</v>
      </c>
      <c r="AC275" s="193"/>
      <c r="AD275" s="197">
        <v>2425607.54</v>
      </c>
      <c r="AE275" s="197">
        <f>VLOOKUP(B275,Reference!A:B,2,0)</f>
        <v>16403.599999999999</v>
      </c>
    </row>
    <row r="276" spans="1:31">
      <c r="A276" s="3">
        <v>2002</v>
      </c>
      <c r="B276" s="3" t="s">
        <v>451</v>
      </c>
      <c r="C276" s="191">
        <v>37377</v>
      </c>
      <c r="D276" s="192">
        <v>3040840</v>
      </c>
      <c r="E276" s="193">
        <v>235298.83</v>
      </c>
      <c r="F276" s="227">
        <f t="shared" si="19"/>
        <v>7.7379549729679947E-2</v>
      </c>
      <c r="G276" s="194">
        <v>70958</v>
      </c>
      <c r="H276" s="193">
        <v>31579.72</v>
      </c>
      <c r="I276" s="193">
        <f t="shared" si="20"/>
        <v>0.44504805659686014</v>
      </c>
      <c r="J276" s="229"/>
      <c r="K276" s="193"/>
      <c r="L276" s="195"/>
      <c r="M276" s="193"/>
      <c r="N276" s="229"/>
      <c r="O276" s="193"/>
      <c r="P276" s="3"/>
      <c r="Q276" s="196"/>
      <c r="R276" s="194"/>
      <c r="S276" s="193"/>
      <c r="T276" s="193"/>
      <c r="U276" s="197">
        <v>13983</v>
      </c>
      <c r="V276" s="196">
        <v>26661.88</v>
      </c>
      <c r="W276" s="196">
        <f t="shared" si="24"/>
        <v>1.906735321461775</v>
      </c>
      <c r="X276" s="197">
        <v>13983</v>
      </c>
      <c r="Y276" s="196">
        <v>17288.34</v>
      </c>
      <c r="Z276" s="196">
        <f t="shared" si="21"/>
        <v>1.2363827504827289</v>
      </c>
      <c r="AA276" s="95"/>
      <c r="AB276" s="193">
        <v>0</v>
      </c>
      <c r="AC276" s="193"/>
      <c r="AD276" s="197">
        <v>2425607.54</v>
      </c>
      <c r="AE276" s="197">
        <f>VLOOKUP(B276,Reference!A:B,2,0)</f>
        <v>16403.599999999999</v>
      </c>
    </row>
    <row r="277" spans="1:31">
      <c r="A277" s="3">
        <v>2002</v>
      </c>
      <c r="B277" s="3" t="s">
        <v>451</v>
      </c>
      <c r="C277" s="191">
        <v>37408</v>
      </c>
      <c r="D277" s="192">
        <v>3108592</v>
      </c>
      <c r="E277" s="193">
        <v>248598.12</v>
      </c>
      <c r="F277" s="227">
        <f t="shared" si="19"/>
        <v>7.9971292469388069E-2</v>
      </c>
      <c r="G277" s="194">
        <v>49653</v>
      </c>
      <c r="H277" s="193">
        <v>21951.16</v>
      </c>
      <c r="I277" s="193">
        <f t="shared" si="20"/>
        <v>0.44209131371719734</v>
      </c>
      <c r="J277" s="229"/>
      <c r="K277" s="193"/>
      <c r="L277" s="195"/>
      <c r="M277" s="193"/>
      <c r="N277" s="229"/>
      <c r="O277" s="193"/>
      <c r="P277" s="3"/>
      <c r="Q277" s="196"/>
      <c r="R277" s="194"/>
      <c r="S277" s="193"/>
      <c r="T277" s="193"/>
      <c r="U277" s="197">
        <v>13088</v>
      </c>
      <c r="V277" s="196">
        <v>29303.9</v>
      </c>
      <c r="W277" s="196">
        <f t="shared" si="24"/>
        <v>2.2389899144254279</v>
      </c>
      <c r="X277" s="197">
        <v>7082</v>
      </c>
      <c r="Y277" s="196">
        <v>16139.73</v>
      </c>
      <c r="Z277" s="196">
        <f t="shared" si="21"/>
        <v>2.2789791019486021</v>
      </c>
      <c r="AA277" s="95"/>
      <c r="AB277" s="193">
        <v>0</v>
      </c>
      <c r="AC277" s="193"/>
      <c r="AD277" s="197">
        <v>2425607.54</v>
      </c>
      <c r="AE277" s="197">
        <f>VLOOKUP(B277,Reference!A:B,2,0)</f>
        <v>16403.599999999999</v>
      </c>
    </row>
    <row r="278" spans="1:31">
      <c r="A278" s="3">
        <v>2002</v>
      </c>
      <c r="B278" s="3" t="s">
        <v>452</v>
      </c>
      <c r="C278" s="191">
        <v>37438</v>
      </c>
      <c r="D278" s="192">
        <v>3349294</v>
      </c>
      <c r="E278" s="193">
        <v>261227.03</v>
      </c>
      <c r="F278" s="227">
        <f t="shared" si="19"/>
        <v>7.7994654992962695E-2</v>
      </c>
      <c r="G278" s="194">
        <v>29772</v>
      </c>
      <c r="H278" s="193">
        <v>14368.48</v>
      </c>
      <c r="I278" s="193">
        <f t="shared" si="20"/>
        <v>0.48261722423753861</v>
      </c>
      <c r="J278" s="229"/>
      <c r="K278" s="193"/>
      <c r="L278" s="195"/>
      <c r="M278" s="193"/>
      <c r="N278" s="229"/>
      <c r="O278" s="193"/>
      <c r="P278" s="3"/>
      <c r="Q278" s="196"/>
      <c r="R278" s="194"/>
      <c r="S278" s="193"/>
      <c r="T278" s="193"/>
      <c r="U278" s="197">
        <v>15786</v>
      </c>
      <c r="V278" s="196">
        <v>34577.21</v>
      </c>
      <c r="W278" s="196">
        <f>IF(U278=0,0,V278/U278)</f>
        <v>2.1903718484733306</v>
      </c>
      <c r="X278" s="197">
        <v>8552</v>
      </c>
      <c r="Y278" s="196">
        <v>19489.84</v>
      </c>
      <c r="Z278" s="196">
        <f t="shared" si="21"/>
        <v>2.2789803554724042</v>
      </c>
      <c r="AA278" s="95"/>
      <c r="AB278" s="193">
        <v>0</v>
      </c>
      <c r="AC278" s="193"/>
      <c r="AD278" s="197">
        <v>3227829.54</v>
      </c>
      <c r="AE278" s="197">
        <f>VLOOKUP(B278,Reference!A:B,2,0)</f>
        <v>17051.8</v>
      </c>
    </row>
    <row r="279" spans="1:31">
      <c r="A279" s="3">
        <v>2002</v>
      </c>
      <c r="B279" s="3" t="s">
        <v>452</v>
      </c>
      <c r="C279" s="191">
        <v>37469</v>
      </c>
      <c r="D279" s="192">
        <v>3375562</v>
      </c>
      <c r="E279" s="193">
        <v>262089.08</v>
      </c>
      <c r="F279" s="227">
        <f t="shared" si="19"/>
        <v>7.7643094690602626E-2</v>
      </c>
      <c r="G279" s="194">
        <v>33310</v>
      </c>
      <c r="H279" s="193">
        <v>15424.7</v>
      </c>
      <c r="I279" s="193">
        <f t="shared" si="20"/>
        <v>0.46306514560192136</v>
      </c>
      <c r="J279" s="229"/>
      <c r="K279" s="193"/>
      <c r="L279" s="195"/>
      <c r="M279" s="193"/>
      <c r="N279" s="229"/>
      <c r="O279" s="193"/>
      <c r="P279" s="3"/>
      <c r="Q279" s="196"/>
      <c r="R279" s="194"/>
      <c r="S279" s="193"/>
      <c r="T279" s="193"/>
      <c r="U279" s="197">
        <v>15670</v>
      </c>
      <c r="V279" s="196">
        <v>34019.57</v>
      </c>
      <c r="W279" s="196">
        <f t="shared" ref="W279:W289" si="25">IF(U279=0,0,V279/U279)</f>
        <v>2.1709999999999998</v>
      </c>
      <c r="X279" s="197">
        <v>8492</v>
      </c>
      <c r="Y279" s="196">
        <v>19353.099999999999</v>
      </c>
      <c r="Z279" s="196">
        <f t="shared" si="21"/>
        <v>2.2789802166745172</v>
      </c>
      <c r="AA279" s="95"/>
      <c r="AB279" s="193">
        <v>0</v>
      </c>
      <c r="AC279" s="193"/>
      <c r="AD279" s="197">
        <v>3227829.54</v>
      </c>
      <c r="AE279" s="197">
        <f>VLOOKUP(B279,Reference!A:B,2,0)</f>
        <v>17051.8</v>
      </c>
    </row>
    <row r="280" spans="1:31">
      <c r="A280" s="3">
        <v>2002</v>
      </c>
      <c r="B280" s="3" t="s">
        <v>452</v>
      </c>
      <c r="C280" s="191">
        <v>37500</v>
      </c>
      <c r="D280" s="192">
        <v>3226762</v>
      </c>
      <c r="E280" s="193">
        <v>253591.01</v>
      </c>
      <c r="F280" s="227">
        <f>IF(D280=0,0,E280/D280)</f>
        <v>7.8589933189990469E-2</v>
      </c>
      <c r="G280" s="194">
        <v>25598</v>
      </c>
      <c r="H280" s="193">
        <v>11820.74</v>
      </c>
      <c r="I280" s="193">
        <f t="shared" si="20"/>
        <v>0.46178373310414877</v>
      </c>
      <c r="J280" s="229"/>
      <c r="K280" s="193"/>
      <c r="L280" s="195"/>
      <c r="M280" s="193"/>
      <c r="N280" s="229"/>
      <c r="O280" s="193"/>
      <c r="P280" s="3"/>
      <c r="Q280" s="196"/>
      <c r="R280" s="194"/>
      <c r="S280" s="193"/>
      <c r="T280" s="193"/>
      <c r="U280" s="197">
        <v>12269</v>
      </c>
      <c r="V280" s="196">
        <v>26588.62</v>
      </c>
      <c r="W280" s="196">
        <f t="shared" si="25"/>
        <v>2.1671383160811803</v>
      </c>
      <c r="X280" s="197">
        <v>6650</v>
      </c>
      <c r="Y280" s="196">
        <v>15155.22</v>
      </c>
      <c r="Z280" s="196">
        <f t="shared" si="21"/>
        <v>2.2789804511278193</v>
      </c>
      <c r="AA280" s="95"/>
      <c r="AB280" s="193">
        <v>0</v>
      </c>
      <c r="AC280" s="193"/>
      <c r="AD280" s="197">
        <v>3227829.54</v>
      </c>
      <c r="AE280" s="197">
        <f>VLOOKUP(B280,Reference!A:B,2,0)</f>
        <v>17051.8</v>
      </c>
    </row>
    <row r="281" spans="1:31">
      <c r="A281" s="3">
        <v>2002</v>
      </c>
      <c r="B281" s="3" t="s">
        <v>452</v>
      </c>
      <c r="C281" s="191">
        <v>37530</v>
      </c>
      <c r="D281" s="192">
        <v>3223911</v>
      </c>
      <c r="E281" s="193">
        <v>255050.35</v>
      </c>
      <c r="F281" s="227">
        <f>IF(D281=0,0,E281/D281)</f>
        <v>7.9112093975298947E-2</v>
      </c>
      <c r="G281" s="194">
        <v>70302</v>
      </c>
      <c r="H281" s="193">
        <v>32373.93</v>
      </c>
      <c r="I281" s="193">
        <f t="shared" si="20"/>
        <v>0.46049799436715882</v>
      </c>
      <c r="J281" s="229"/>
      <c r="K281" s="193"/>
      <c r="L281" s="195"/>
      <c r="M281" s="193"/>
      <c r="N281" s="229"/>
      <c r="O281" s="193"/>
      <c r="P281" s="3"/>
      <c r="Q281" s="196"/>
      <c r="R281" s="194"/>
      <c r="S281" s="193"/>
      <c r="T281" s="193"/>
      <c r="U281" s="197">
        <v>9588</v>
      </c>
      <c r="V281" s="196">
        <v>17678.87</v>
      </c>
      <c r="W281" s="196">
        <f t="shared" si="25"/>
        <v>1.8438537755527742</v>
      </c>
      <c r="X281" s="197">
        <v>9588</v>
      </c>
      <c r="Y281" s="196">
        <v>11865.12</v>
      </c>
      <c r="Z281" s="196">
        <f t="shared" si="21"/>
        <v>1.2374968710888612</v>
      </c>
      <c r="AA281" s="95"/>
      <c r="AB281" s="193">
        <v>0</v>
      </c>
      <c r="AC281" s="193"/>
      <c r="AD281" s="197">
        <v>3227829.54</v>
      </c>
      <c r="AE281" s="197">
        <f>VLOOKUP(B281,Reference!A:B,2,0)</f>
        <v>17051.8</v>
      </c>
    </row>
    <row r="282" spans="1:31">
      <c r="A282" s="3">
        <v>2002</v>
      </c>
      <c r="B282" s="3" t="s">
        <v>452</v>
      </c>
      <c r="C282" s="191">
        <v>37561</v>
      </c>
      <c r="D282" s="192">
        <v>3046408</v>
      </c>
      <c r="E282" s="193">
        <v>241084.24</v>
      </c>
      <c r="F282" s="227">
        <f t="shared" si="19"/>
        <v>7.9137213400174891E-2</v>
      </c>
      <c r="G282" s="194">
        <v>70109</v>
      </c>
      <c r="H282" s="193">
        <v>34946.1</v>
      </c>
      <c r="I282" s="193">
        <f t="shared" si="20"/>
        <v>0.49845383616939337</v>
      </c>
      <c r="J282" s="229"/>
      <c r="K282" s="193"/>
      <c r="L282" s="195"/>
      <c r="M282" s="193"/>
      <c r="N282" s="229"/>
      <c r="O282" s="193"/>
      <c r="P282" s="3"/>
      <c r="Q282" s="196"/>
      <c r="R282" s="194"/>
      <c r="S282" s="193"/>
      <c r="T282" s="193"/>
      <c r="U282" s="197">
        <v>10112</v>
      </c>
      <c r="V282" s="196">
        <v>16479.63</v>
      </c>
      <c r="W282" s="196">
        <f t="shared" si="25"/>
        <v>1.6297102452531647</v>
      </c>
      <c r="X282" s="197">
        <v>10112</v>
      </c>
      <c r="Y282" s="196">
        <v>12503.24</v>
      </c>
      <c r="Z282" s="196">
        <f t="shared" si="21"/>
        <v>1.2364754746835442</v>
      </c>
      <c r="AA282" s="95"/>
      <c r="AB282" s="193">
        <v>0</v>
      </c>
      <c r="AC282" s="193"/>
      <c r="AD282" s="197">
        <v>3227829.54</v>
      </c>
      <c r="AE282" s="197">
        <f>VLOOKUP(B282,Reference!A:B,2,0)</f>
        <v>17051.8</v>
      </c>
    </row>
    <row r="283" spans="1:31">
      <c r="A283" s="3">
        <v>2002</v>
      </c>
      <c r="B283" s="3" t="s">
        <v>452</v>
      </c>
      <c r="C283" s="191">
        <v>37591</v>
      </c>
      <c r="D283" s="192">
        <v>2808013</v>
      </c>
      <c r="E283" s="193">
        <v>223465.08</v>
      </c>
      <c r="F283" s="227">
        <f t="shared" si="19"/>
        <v>7.9581212765040613E-2</v>
      </c>
      <c r="G283" s="194">
        <v>103280</v>
      </c>
      <c r="H283" s="193">
        <v>50519.41</v>
      </c>
      <c r="I283" s="193">
        <f t="shared" si="20"/>
        <v>0.48914998063516657</v>
      </c>
      <c r="J283" s="229"/>
      <c r="K283" s="193"/>
      <c r="L283" s="195"/>
      <c r="M283" s="193"/>
      <c r="N283" s="229"/>
      <c r="O283" s="193"/>
      <c r="P283" s="3"/>
      <c r="Q283" s="196"/>
      <c r="R283" s="194"/>
      <c r="S283" s="193"/>
      <c r="T283" s="193"/>
      <c r="U283" s="197">
        <v>8197</v>
      </c>
      <c r="V283" s="196">
        <v>13760.15</v>
      </c>
      <c r="W283" s="196">
        <f t="shared" si="25"/>
        <v>1.6786812248383554</v>
      </c>
      <c r="X283" s="197">
        <v>8197</v>
      </c>
      <c r="Y283" s="196">
        <v>10165.01</v>
      </c>
      <c r="Z283" s="196">
        <f t="shared" si="21"/>
        <v>1.2400890569720631</v>
      </c>
      <c r="AA283" s="95"/>
      <c r="AB283" s="193">
        <v>0</v>
      </c>
      <c r="AC283" s="193"/>
      <c r="AD283" s="197">
        <v>3227829.54</v>
      </c>
      <c r="AE283" s="197">
        <f>VLOOKUP(B283,Reference!A:B,2,0)</f>
        <v>17051.8</v>
      </c>
    </row>
    <row r="284" spans="1:31">
      <c r="A284" s="3">
        <v>2003</v>
      </c>
      <c r="B284" s="3" t="s">
        <v>452</v>
      </c>
      <c r="C284" s="191">
        <v>37622</v>
      </c>
      <c r="D284" s="192"/>
      <c r="E284" s="193"/>
      <c r="F284" s="227">
        <f t="shared" si="19"/>
        <v>0</v>
      </c>
      <c r="G284" s="194"/>
      <c r="H284" s="193"/>
      <c r="I284" s="193">
        <f t="shared" si="20"/>
        <v>0</v>
      </c>
      <c r="J284" s="229"/>
      <c r="K284" s="193"/>
      <c r="L284" s="195"/>
      <c r="M284" s="193"/>
      <c r="N284" s="229"/>
      <c r="O284" s="193"/>
      <c r="P284" s="3"/>
      <c r="Q284" s="196"/>
      <c r="R284" s="194"/>
      <c r="S284" s="193"/>
      <c r="T284" s="193"/>
      <c r="U284" s="197"/>
      <c r="V284" s="196"/>
      <c r="W284" s="196">
        <f t="shared" si="25"/>
        <v>0</v>
      </c>
      <c r="X284" s="197"/>
      <c r="Y284" s="196"/>
      <c r="Z284" s="196"/>
      <c r="AA284" s="95"/>
      <c r="AB284" s="193"/>
      <c r="AC284" s="193"/>
      <c r="AD284" s="197">
        <v>56155.540000000008</v>
      </c>
      <c r="AE284" s="197">
        <f>VLOOKUP(B284,Reference!A:B,2,0)</f>
        <v>17051.8</v>
      </c>
    </row>
    <row r="285" spans="1:31">
      <c r="A285" s="3">
        <v>2003</v>
      </c>
      <c r="B285" s="3" t="s">
        <v>452</v>
      </c>
      <c r="C285" s="191">
        <v>37653</v>
      </c>
      <c r="D285" s="192"/>
      <c r="E285" s="193"/>
      <c r="F285" s="227">
        <f t="shared" si="19"/>
        <v>0</v>
      </c>
      <c r="G285" s="194"/>
      <c r="H285" s="193"/>
      <c r="I285" s="193">
        <f t="shared" si="20"/>
        <v>0</v>
      </c>
      <c r="J285" s="229"/>
      <c r="K285" s="193"/>
      <c r="L285" s="195"/>
      <c r="M285" s="193"/>
      <c r="N285" s="229"/>
      <c r="O285" s="193"/>
      <c r="P285" s="3"/>
      <c r="Q285" s="196"/>
      <c r="R285" s="194"/>
      <c r="S285" s="193"/>
      <c r="T285" s="193"/>
      <c r="U285" s="197"/>
      <c r="V285" s="196"/>
      <c r="W285" s="196">
        <f t="shared" si="25"/>
        <v>0</v>
      </c>
      <c r="X285" s="197"/>
      <c r="Y285" s="196"/>
      <c r="Z285" s="196"/>
      <c r="AA285" s="95"/>
      <c r="AB285" s="193"/>
      <c r="AC285" s="193"/>
      <c r="AD285" s="197">
        <v>56155.540000000008</v>
      </c>
      <c r="AE285" s="197">
        <f>VLOOKUP(B285,Reference!A:B,2,0)</f>
        <v>17051.8</v>
      </c>
    </row>
    <row r="286" spans="1:31">
      <c r="A286" s="3">
        <v>2003</v>
      </c>
      <c r="B286" s="3" t="s">
        <v>452</v>
      </c>
      <c r="C286" s="191">
        <v>37681</v>
      </c>
      <c r="D286" s="192"/>
      <c r="E286" s="193"/>
      <c r="F286" s="227">
        <f t="shared" si="19"/>
        <v>0</v>
      </c>
      <c r="G286" s="194"/>
      <c r="H286" s="193"/>
      <c r="I286" s="193">
        <f t="shared" si="20"/>
        <v>0</v>
      </c>
      <c r="J286" s="229"/>
      <c r="K286" s="193"/>
      <c r="L286" s="195"/>
      <c r="M286" s="193"/>
      <c r="N286" s="229"/>
      <c r="O286" s="193"/>
      <c r="P286" s="3"/>
      <c r="Q286" s="196"/>
      <c r="R286" s="194"/>
      <c r="S286" s="193"/>
      <c r="T286" s="193"/>
      <c r="U286" s="197"/>
      <c r="V286" s="196"/>
      <c r="W286" s="196">
        <f t="shared" si="25"/>
        <v>0</v>
      </c>
      <c r="X286" s="197"/>
      <c r="Y286" s="196"/>
      <c r="Z286" s="196"/>
      <c r="AA286" s="95"/>
      <c r="AB286" s="193"/>
      <c r="AC286" s="193"/>
      <c r="AD286" s="197">
        <v>56155.540000000008</v>
      </c>
      <c r="AE286" s="197">
        <f>VLOOKUP(B286,Reference!A:B,2,0)</f>
        <v>17051.8</v>
      </c>
    </row>
    <row r="287" spans="1:31">
      <c r="A287" s="3">
        <v>2003</v>
      </c>
      <c r="B287" s="3" t="s">
        <v>452</v>
      </c>
      <c r="C287" s="191">
        <v>37712</v>
      </c>
      <c r="D287" s="192">
        <v>2951267</v>
      </c>
      <c r="E287" s="193">
        <v>229095.03</v>
      </c>
      <c r="F287" s="227">
        <f t="shared" si="19"/>
        <v>7.7625992497459564E-2</v>
      </c>
      <c r="G287" s="194">
        <v>78900</v>
      </c>
      <c r="H287" s="193">
        <v>46163.62</v>
      </c>
      <c r="I287" s="193">
        <f t="shared" si="20"/>
        <v>0.58509024081115335</v>
      </c>
      <c r="J287" s="229"/>
      <c r="K287" s="193"/>
      <c r="L287" s="195"/>
      <c r="M287" s="193"/>
      <c r="N287" s="229"/>
      <c r="O287" s="193"/>
      <c r="P287" s="3"/>
      <c r="Q287" s="196"/>
      <c r="R287" s="194"/>
      <c r="S287" s="193"/>
      <c r="T287" s="193"/>
      <c r="U287" s="197">
        <v>11521</v>
      </c>
      <c r="V287" s="196">
        <v>19897.71</v>
      </c>
      <c r="W287" s="196">
        <f t="shared" si="25"/>
        <v>1.7270818505338077</v>
      </c>
      <c r="X287" s="197">
        <v>11521</v>
      </c>
      <c r="Y287" s="196">
        <v>14188.93</v>
      </c>
      <c r="Z287" s="196">
        <f t="shared" si="21"/>
        <v>1.2315710441801928</v>
      </c>
      <c r="AA287" s="95"/>
      <c r="AB287" s="193">
        <v>0</v>
      </c>
      <c r="AC287" s="193"/>
      <c r="AD287" s="197">
        <v>3227829.54</v>
      </c>
      <c r="AE287" s="197">
        <f>VLOOKUP(B287,Reference!A:B,2,0)</f>
        <v>17051.8</v>
      </c>
    </row>
    <row r="288" spans="1:31">
      <c r="A288" s="3">
        <v>2003</v>
      </c>
      <c r="B288" s="3" t="s">
        <v>452</v>
      </c>
      <c r="C288" s="191">
        <v>37742</v>
      </c>
      <c r="D288" s="192">
        <v>3156234</v>
      </c>
      <c r="E288" s="193">
        <v>240961.11</v>
      </c>
      <c r="F288" s="227">
        <f t="shared" si="19"/>
        <v>7.6344501073114343E-2</v>
      </c>
      <c r="G288" s="194">
        <v>53718</v>
      </c>
      <c r="H288" s="193">
        <v>33131.1</v>
      </c>
      <c r="I288" s="193">
        <f t="shared" si="20"/>
        <v>0.61675974533675859</v>
      </c>
      <c r="J288" s="229"/>
      <c r="K288" s="193"/>
      <c r="L288" s="195"/>
      <c r="M288" s="193"/>
      <c r="N288" s="229"/>
      <c r="O288" s="193"/>
      <c r="P288" s="3"/>
      <c r="Q288" s="196"/>
      <c r="R288" s="194"/>
      <c r="S288" s="193"/>
      <c r="T288" s="193"/>
      <c r="U288" s="197">
        <v>14390</v>
      </c>
      <c r="V288" s="196">
        <v>27980.27</v>
      </c>
      <c r="W288" s="196">
        <f t="shared" si="25"/>
        <v>1.9444246004169563</v>
      </c>
      <c r="X288" s="197">
        <v>14390</v>
      </c>
      <c r="Y288" s="196">
        <v>17684.89</v>
      </c>
      <c r="Z288" s="196">
        <f t="shared" si="21"/>
        <v>1.2289708130646282</v>
      </c>
      <c r="AA288" s="95"/>
      <c r="AB288" s="193">
        <v>0</v>
      </c>
      <c r="AC288" s="193"/>
      <c r="AD288" s="197">
        <v>3227829.54</v>
      </c>
      <c r="AE288" s="197">
        <f>VLOOKUP(B288,Reference!A:B,2,0)</f>
        <v>17051.8</v>
      </c>
    </row>
    <row r="289" spans="1:31">
      <c r="A289" s="3">
        <v>2003</v>
      </c>
      <c r="B289" s="3" t="s">
        <v>452</v>
      </c>
      <c r="C289" s="191">
        <v>37773</v>
      </c>
      <c r="D289" s="192">
        <v>3073790</v>
      </c>
      <c r="E289" s="193">
        <v>239844.48000000001</v>
      </c>
      <c r="F289" s="227">
        <f t="shared" si="19"/>
        <v>7.8028908936524616E-2</v>
      </c>
      <c r="G289" s="194">
        <v>41972</v>
      </c>
      <c r="H289" s="193">
        <v>28066.57</v>
      </c>
      <c r="I289" s="193">
        <f t="shared" si="20"/>
        <v>0.66869746497665106</v>
      </c>
      <c r="J289" s="229"/>
      <c r="K289" s="193"/>
      <c r="L289" s="195"/>
      <c r="M289" s="193"/>
      <c r="N289" s="229"/>
      <c r="O289" s="193"/>
      <c r="P289" s="3"/>
      <c r="Q289" s="196"/>
      <c r="R289" s="194"/>
      <c r="S289" s="193"/>
      <c r="T289" s="193"/>
      <c r="U289" s="197">
        <v>14019</v>
      </c>
      <c r="V289" s="196">
        <v>33558.58</v>
      </c>
      <c r="W289" s="196">
        <f t="shared" si="25"/>
        <v>2.3937927098937157</v>
      </c>
      <c r="X289" s="197">
        <v>7590</v>
      </c>
      <c r="Y289" s="196">
        <v>17297.46</v>
      </c>
      <c r="Z289" s="196">
        <f t="shared" si="21"/>
        <v>2.2789802371541499</v>
      </c>
      <c r="AA289" s="95"/>
      <c r="AB289" s="193">
        <v>0</v>
      </c>
      <c r="AC289" s="193"/>
      <c r="AD289" s="197">
        <v>3227829.54</v>
      </c>
      <c r="AE289" s="197">
        <f>VLOOKUP(B289,Reference!A:B,2,0)</f>
        <v>17051.8</v>
      </c>
    </row>
    <row r="290" spans="1:31">
      <c r="A290" s="3">
        <v>2003</v>
      </c>
      <c r="B290" s="3" t="s">
        <v>453</v>
      </c>
      <c r="C290" s="191">
        <v>37803</v>
      </c>
      <c r="D290" s="192">
        <v>3591030</v>
      </c>
      <c r="E290" s="193">
        <v>275009.52</v>
      </c>
      <c r="F290" s="227">
        <f t="shared" si="19"/>
        <v>7.6582351024636397E-2</v>
      </c>
      <c r="G290" s="194">
        <v>16657</v>
      </c>
      <c r="H290" s="193">
        <v>10807.51</v>
      </c>
      <c r="I290" s="193">
        <f t="shared" si="20"/>
        <v>0.6488269196133758</v>
      </c>
      <c r="J290" s="229"/>
      <c r="K290" s="193"/>
      <c r="L290" s="195"/>
      <c r="M290" s="193"/>
      <c r="N290" s="229"/>
      <c r="O290" s="193"/>
      <c r="P290" s="3"/>
      <c r="Q290" s="196"/>
      <c r="R290" s="194"/>
      <c r="S290" s="193"/>
      <c r="T290" s="193"/>
      <c r="U290" s="197">
        <v>14938</v>
      </c>
      <c r="V290" s="196">
        <v>35862.9</v>
      </c>
      <c r="W290" s="196">
        <f>IF(U290=0,0,V290/U290)</f>
        <v>2.4007832373811757</v>
      </c>
      <c r="X290" s="197">
        <v>8103</v>
      </c>
      <c r="Y290" s="196">
        <v>18466.580000000002</v>
      </c>
      <c r="Z290" s="196">
        <f t="shared" si="21"/>
        <v>2.2789806244600768</v>
      </c>
      <c r="AA290" s="95"/>
      <c r="AB290" s="193">
        <v>0</v>
      </c>
      <c r="AC290" s="193"/>
      <c r="AD290" s="197">
        <v>3227829.54</v>
      </c>
      <c r="AE290" s="197">
        <f>VLOOKUP(B290,Reference!A:B,2,0)</f>
        <v>17016.400000000001</v>
      </c>
    </row>
    <row r="291" spans="1:31">
      <c r="A291" s="3">
        <v>2003</v>
      </c>
      <c r="B291" s="3" t="s">
        <v>453</v>
      </c>
      <c r="C291" s="191">
        <v>37834</v>
      </c>
      <c r="D291" s="192">
        <v>3540564</v>
      </c>
      <c r="E291" s="193">
        <v>269682.09000000003</v>
      </c>
      <c r="F291" s="227">
        <f t="shared" si="19"/>
        <v>7.6169245916752254E-2</v>
      </c>
      <c r="G291" s="194">
        <v>17415</v>
      </c>
      <c r="H291" s="193">
        <v>11196.78</v>
      </c>
      <c r="I291" s="193">
        <f t="shared" si="20"/>
        <v>0.64293884582256677</v>
      </c>
      <c r="J291" s="229"/>
      <c r="K291" s="193"/>
      <c r="L291" s="195"/>
      <c r="M291" s="193"/>
      <c r="N291" s="229"/>
      <c r="O291" s="193"/>
      <c r="P291" s="3"/>
      <c r="Q291" s="196"/>
      <c r="R291" s="194"/>
      <c r="S291" s="193"/>
      <c r="T291" s="193"/>
      <c r="U291" s="197">
        <v>16821</v>
      </c>
      <c r="V291" s="196">
        <v>40408.36</v>
      </c>
      <c r="W291" s="196">
        <f t="shared" ref="W291:W301" si="26">IF(U291=0,0,V291/U291)</f>
        <v>2.4022567029308601</v>
      </c>
      <c r="X291" s="197">
        <v>9109</v>
      </c>
      <c r="Y291" s="196">
        <v>20759.23</v>
      </c>
      <c r="Z291" s="196">
        <f t="shared" si="21"/>
        <v>2.278980129542211</v>
      </c>
      <c r="AA291" s="95"/>
      <c r="AB291" s="193">
        <v>0</v>
      </c>
      <c r="AC291" s="193"/>
      <c r="AD291" s="197">
        <v>3227829.54</v>
      </c>
      <c r="AE291" s="197">
        <f>VLOOKUP(B291,Reference!A:B,2,0)</f>
        <v>17016.400000000001</v>
      </c>
    </row>
    <row r="292" spans="1:31">
      <c r="A292" s="3">
        <v>2003</v>
      </c>
      <c r="B292" s="3" t="s">
        <v>453</v>
      </c>
      <c r="C292" s="191">
        <v>37865</v>
      </c>
      <c r="D292" s="192">
        <v>3195272</v>
      </c>
      <c r="E292" s="193">
        <v>250981.93</v>
      </c>
      <c r="F292" s="227">
        <f>IF(D292=0,0,E292/D292)</f>
        <v>7.8547907658565522E-2</v>
      </c>
      <c r="G292" s="194">
        <v>24571</v>
      </c>
      <c r="H292" s="193">
        <v>15430.2</v>
      </c>
      <c r="I292" s="193">
        <f t="shared" si="20"/>
        <v>0.62798420902690166</v>
      </c>
      <c r="J292" s="229"/>
      <c r="K292" s="193"/>
      <c r="L292" s="195"/>
      <c r="M292" s="193"/>
      <c r="N292" s="229"/>
      <c r="O292" s="193"/>
      <c r="P292" s="3"/>
      <c r="Q292" s="196"/>
      <c r="R292" s="194"/>
      <c r="S292" s="193"/>
      <c r="T292" s="193"/>
      <c r="U292" s="197">
        <v>16066</v>
      </c>
      <c r="V292" s="196">
        <v>38859.230000000003</v>
      </c>
      <c r="W292" s="196">
        <f t="shared" si="26"/>
        <v>2.4187246358770076</v>
      </c>
      <c r="X292" s="197">
        <v>8683</v>
      </c>
      <c r="Y292" s="196">
        <v>19788.38</v>
      </c>
      <c r="Z292" s="196">
        <f t="shared" si="21"/>
        <v>2.2789796153403201</v>
      </c>
      <c r="AA292" s="95"/>
      <c r="AB292" s="193">
        <v>0</v>
      </c>
      <c r="AC292" s="193"/>
      <c r="AD292" s="197">
        <v>3227829.54</v>
      </c>
      <c r="AE292" s="197">
        <f>VLOOKUP(B292,Reference!A:B,2,0)</f>
        <v>17016.400000000001</v>
      </c>
    </row>
    <row r="293" spans="1:31">
      <c r="A293" s="3">
        <v>2003</v>
      </c>
      <c r="B293" s="3" t="s">
        <v>453</v>
      </c>
      <c r="C293" s="191">
        <v>37895</v>
      </c>
      <c r="D293" s="192">
        <v>3534405</v>
      </c>
      <c r="E293" s="193">
        <v>275507.28999999998</v>
      </c>
      <c r="F293" s="227">
        <f>IF(D293=0,0,E293/D293)</f>
        <v>7.7950118902615856E-2</v>
      </c>
      <c r="G293" s="194">
        <v>44334</v>
      </c>
      <c r="H293" s="193">
        <v>26173.05</v>
      </c>
      <c r="I293" s="193">
        <f t="shared" si="20"/>
        <v>0.59036067126810121</v>
      </c>
      <c r="J293" s="229"/>
      <c r="K293" s="193"/>
      <c r="L293" s="195"/>
      <c r="M293" s="193"/>
      <c r="N293" s="229"/>
      <c r="O293" s="193"/>
      <c r="P293" s="3"/>
      <c r="Q293" s="196"/>
      <c r="R293" s="194"/>
      <c r="S293" s="193"/>
      <c r="T293" s="193"/>
      <c r="U293" s="197">
        <v>14944</v>
      </c>
      <c r="V293" s="196">
        <v>31303.27</v>
      </c>
      <c r="W293" s="196">
        <f t="shared" si="26"/>
        <v>2.0947048982869378</v>
      </c>
      <c r="X293" s="197">
        <v>11955.2</v>
      </c>
      <c r="Y293" s="196">
        <v>18763.86</v>
      </c>
      <c r="Z293" s="196">
        <f t="shared" si="21"/>
        <v>1.5695145208779442</v>
      </c>
      <c r="AA293" s="95"/>
      <c r="AB293" s="193">
        <v>0</v>
      </c>
      <c r="AC293" s="193"/>
      <c r="AD293" s="197">
        <v>3227829.54</v>
      </c>
      <c r="AE293" s="197">
        <f>VLOOKUP(B293,Reference!A:B,2,0)</f>
        <v>17016.400000000001</v>
      </c>
    </row>
    <row r="294" spans="1:31">
      <c r="A294" s="3">
        <v>2003</v>
      </c>
      <c r="B294" s="3" t="s">
        <v>453</v>
      </c>
      <c r="C294" s="191">
        <v>37926</v>
      </c>
      <c r="D294" s="192">
        <v>3084118</v>
      </c>
      <c r="E294" s="193">
        <v>236738.62</v>
      </c>
      <c r="F294" s="227">
        <f t="shared" si="19"/>
        <v>7.6760558448152758E-2</v>
      </c>
      <c r="G294" s="194">
        <v>95441</v>
      </c>
      <c r="H294" s="193">
        <v>54175.26</v>
      </c>
      <c r="I294" s="193">
        <f t="shared" si="20"/>
        <v>0.5676308923837764</v>
      </c>
      <c r="J294" s="229"/>
      <c r="K294" s="193"/>
      <c r="L294" s="195"/>
      <c r="M294" s="193"/>
      <c r="N294" s="229"/>
      <c r="O294" s="193"/>
      <c r="P294" s="3"/>
      <c r="Q294" s="196"/>
      <c r="R294" s="194"/>
      <c r="S294" s="193"/>
      <c r="T294" s="193"/>
      <c r="U294" s="197">
        <v>12436</v>
      </c>
      <c r="V294" s="196">
        <v>20124.419999999998</v>
      </c>
      <c r="W294" s="196">
        <f t="shared" si="26"/>
        <v>1.6182389835960114</v>
      </c>
      <c r="X294" s="197">
        <v>9948.7999999999993</v>
      </c>
      <c r="Y294" s="196">
        <v>15756.21</v>
      </c>
      <c r="Z294" s="196">
        <f t="shared" si="21"/>
        <v>1.5837296960437439</v>
      </c>
      <c r="AA294" s="95"/>
      <c r="AB294" s="193">
        <v>0</v>
      </c>
      <c r="AC294" s="193"/>
      <c r="AD294" s="197">
        <v>3227829.54</v>
      </c>
      <c r="AE294" s="197">
        <f>VLOOKUP(B294,Reference!A:B,2,0)</f>
        <v>17016.400000000001</v>
      </c>
    </row>
    <row r="295" spans="1:31">
      <c r="A295" s="3">
        <v>2003</v>
      </c>
      <c r="B295" s="3" t="s">
        <v>453</v>
      </c>
      <c r="C295" s="191">
        <v>37956</v>
      </c>
      <c r="D295" s="192">
        <v>2921432</v>
      </c>
      <c r="E295" s="193">
        <v>228686.27</v>
      </c>
      <c r="F295" s="227">
        <f t="shared" si="19"/>
        <v>7.8278826958833883E-2</v>
      </c>
      <c r="G295" s="194">
        <v>111623</v>
      </c>
      <c r="H295" s="193">
        <v>63448.28</v>
      </c>
      <c r="I295" s="193">
        <f t="shared" si="20"/>
        <v>0.56841582827911807</v>
      </c>
      <c r="J295" s="229"/>
      <c r="K295" s="193"/>
      <c r="L295" s="195"/>
      <c r="M295" s="193"/>
      <c r="N295" s="229"/>
      <c r="O295" s="193"/>
      <c r="P295" s="3"/>
      <c r="Q295" s="196"/>
      <c r="R295" s="194"/>
      <c r="S295" s="193"/>
      <c r="T295" s="193"/>
      <c r="U295" s="197">
        <v>8515</v>
      </c>
      <c r="V295" s="196">
        <v>13735.26</v>
      </c>
      <c r="W295" s="196">
        <f t="shared" si="26"/>
        <v>1.6130663534938345</v>
      </c>
      <c r="X295" s="197">
        <v>6812</v>
      </c>
      <c r="Y295" s="196">
        <v>10763.38</v>
      </c>
      <c r="Z295" s="196">
        <f t="shared" si="21"/>
        <v>1.5800616559013505</v>
      </c>
      <c r="AA295" s="95"/>
      <c r="AB295" s="193">
        <v>0</v>
      </c>
      <c r="AC295" s="193"/>
      <c r="AD295" s="197">
        <v>3227829.54</v>
      </c>
      <c r="AE295" s="197">
        <f>VLOOKUP(B295,Reference!A:B,2,0)</f>
        <v>17016.400000000001</v>
      </c>
    </row>
    <row r="296" spans="1:31">
      <c r="A296" s="3">
        <v>2004</v>
      </c>
      <c r="B296" s="3" t="s">
        <v>453</v>
      </c>
      <c r="C296" s="191">
        <v>37987</v>
      </c>
      <c r="D296" s="192">
        <v>3034466</v>
      </c>
      <c r="E296" s="193">
        <v>233359.13</v>
      </c>
      <c r="F296" s="227">
        <f t="shared" si="19"/>
        <v>7.6902865281733263E-2</v>
      </c>
      <c r="G296" s="194">
        <v>111501</v>
      </c>
      <c r="H296" s="193">
        <v>69292.09</v>
      </c>
      <c r="I296" s="193">
        <f t="shared" si="20"/>
        <v>0.62144814844709906</v>
      </c>
      <c r="J296" s="229"/>
      <c r="K296" s="193"/>
      <c r="L296" s="195"/>
      <c r="M296" s="193"/>
      <c r="N296" s="229"/>
      <c r="O296" s="193"/>
      <c r="P296" s="3"/>
      <c r="Q296" s="196"/>
      <c r="R296" s="194"/>
      <c r="S296" s="193"/>
      <c r="T296" s="193"/>
      <c r="U296" s="197">
        <v>10875</v>
      </c>
      <c r="V296" s="196">
        <v>16980.23</v>
      </c>
      <c r="W296" s="196">
        <f t="shared" si="26"/>
        <v>1.561400459770115</v>
      </c>
      <c r="X296" s="197">
        <v>8700</v>
      </c>
      <c r="Y296" s="196">
        <v>13932.95</v>
      </c>
      <c r="Z296" s="196">
        <f t="shared" si="21"/>
        <v>1.6014885057471264</v>
      </c>
      <c r="AA296" s="95"/>
      <c r="AB296" s="193">
        <v>0</v>
      </c>
      <c r="AC296" s="193"/>
      <c r="AD296" s="197">
        <v>3227829.54</v>
      </c>
      <c r="AE296" s="197">
        <f>VLOOKUP(B296,Reference!A:B,2,0)</f>
        <v>17016.400000000001</v>
      </c>
    </row>
    <row r="297" spans="1:31">
      <c r="A297" s="3">
        <v>2004</v>
      </c>
      <c r="B297" s="3" t="s">
        <v>453</v>
      </c>
      <c r="C297" s="191">
        <v>38018</v>
      </c>
      <c r="D297" s="192">
        <v>2864610</v>
      </c>
      <c r="E297" s="193">
        <v>225781.76000000001</v>
      </c>
      <c r="F297" s="227">
        <f t="shared" si="19"/>
        <v>7.881762613409854E-2</v>
      </c>
      <c r="G297" s="194">
        <v>115216</v>
      </c>
      <c r="H297" s="193">
        <v>71193.56</v>
      </c>
      <c r="I297" s="193">
        <f t="shared" si="20"/>
        <v>0.61791383141230383</v>
      </c>
      <c r="J297" s="229"/>
      <c r="K297" s="193"/>
      <c r="L297" s="195"/>
      <c r="M297" s="193"/>
      <c r="N297" s="229"/>
      <c r="O297" s="193"/>
      <c r="P297" s="3"/>
      <c r="Q297" s="196"/>
      <c r="R297" s="194"/>
      <c r="S297" s="193"/>
      <c r="T297" s="193"/>
      <c r="U297" s="197">
        <v>10465</v>
      </c>
      <c r="V297" s="196">
        <v>16359.21</v>
      </c>
      <c r="W297" s="196">
        <f t="shared" si="26"/>
        <v>1.5632307692307692</v>
      </c>
      <c r="X297" s="197">
        <v>8372</v>
      </c>
      <c r="Y297" s="196">
        <v>13331.46</v>
      </c>
      <c r="Z297" s="196">
        <f t="shared" si="21"/>
        <v>1.5923865265169612</v>
      </c>
      <c r="AA297" s="95"/>
      <c r="AB297" s="193">
        <v>0</v>
      </c>
      <c r="AC297" s="193"/>
      <c r="AD297" s="197">
        <v>3227829.54</v>
      </c>
      <c r="AE297" s="197">
        <f>VLOOKUP(B297,Reference!A:B,2,0)</f>
        <v>17016.400000000001</v>
      </c>
    </row>
    <row r="298" spans="1:31">
      <c r="A298" s="3">
        <v>2004</v>
      </c>
      <c r="B298" s="3" t="s">
        <v>453</v>
      </c>
      <c r="C298" s="191">
        <v>38047</v>
      </c>
      <c r="D298" s="192">
        <v>3190895</v>
      </c>
      <c r="E298" s="193">
        <v>248213.89</v>
      </c>
      <c r="F298" s="227">
        <f t="shared" ref="F298:F348" si="27">IF(D298=0,0,E298/D298)</f>
        <v>7.7788172283951684E-2</v>
      </c>
      <c r="G298" s="194">
        <v>76539</v>
      </c>
      <c r="H298" s="193">
        <v>46239.83</v>
      </c>
      <c r="I298" s="193">
        <f t="shared" ref="I298:I361" si="28">IF(G298=0,0,H298/G298)</f>
        <v>0.60413423222148188</v>
      </c>
      <c r="J298" s="229"/>
      <c r="K298" s="193"/>
      <c r="L298" s="195"/>
      <c r="M298" s="193"/>
      <c r="N298" s="229"/>
      <c r="O298" s="193"/>
      <c r="P298" s="3"/>
      <c r="Q298" s="196"/>
      <c r="R298" s="194"/>
      <c r="S298" s="193"/>
      <c r="T298" s="193"/>
      <c r="U298" s="197">
        <v>11974</v>
      </c>
      <c r="V298" s="196">
        <v>18685.77</v>
      </c>
      <c r="W298" s="196">
        <f t="shared" si="26"/>
        <v>1.5605286453983631</v>
      </c>
      <c r="X298" s="197">
        <v>9579.2000000000007</v>
      </c>
      <c r="Y298" s="196">
        <v>15222.87</v>
      </c>
      <c r="Z298" s="196">
        <f t="shared" si="21"/>
        <v>1.5891588024052112</v>
      </c>
      <c r="AA298" s="95"/>
      <c r="AB298" s="193">
        <v>0</v>
      </c>
      <c r="AC298" s="193"/>
      <c r="AD298" s="197">
        <v>3227829.54</v>
      </c>
      <c r="AE298" s="197">
        <f>VLOOKUP(B298,Reference!A:B,2,0)</f>
        <v>17016.400000000001</v>
      </c>
    </row>
    <row r="299" spans="1:31">
      <c r="A299" s="3">
        <v>2004</v>
      </c>
      <c r="B299" s="3" t="s">
        <v>453</v>
      </c>
      <c r="C299" s="191">
        <v>38078</v>
      </c>
      <c r="D299" s="192">
        <v>3148628</v>
      </c>
      <c r="E299" s="193">
        <v>259643.21</v>
      </c>
      <c r="F299" s="227">
        <f t="shared" si="27"/>
        <v>8.2462332800191065E-2</v>
      </c>
      <c r="G299" s="194">
        <v>71976</v>
      </c>
      <c r="H299" s="193">
        <v>43932.480000000003</v>
      </c>
      <c r="I299" s="193">
        <f t="shared" si="28"/>
        <v>0.61037679226408803</v>
      </c>
      <c r="J299" s="229"/>
      <c r="K299" s="193"/>
      <c r="L299" s="195"/>
      <c r="M299" s="193"/>
      <c r="N299" s="229"/>
      <c r="O299" s="193"/>
      <c r="P299" s="3"/>
      <c r="Q299" s="196"/>
      <c r="R299" s="194"/>
      <c r="S299" s="193"/>
      <c r="T299" s="193"/>
      <c r="U299" s="197">
        <v>20290</v>
      </c>
      <c r="V299" s="196">
        <v>31464.32</v>
      </c>
      <c r="W299" s="196">
        <f t="shared" si="26"/>
        <v>1.5507304090685066</v>
      </c>
      <c r="X299" s="197">
        <v>16232</v>
      </c>
      <c r="Y299" s="196">
        <v>25732.48</v>
      </c>
      <c r="Z299" s="196">
        <f t="shared" ref="Z299:Z362" si="29">Y299/X299</f>
        <v>1.5852932479053721</v>
      </c>
      <c r="AA299" s="95"/>
      <c r="AB299" s="193">
        <v>0</v>
      </c>
      <c r="AC299" s="193"/>
      <c r="AD299" s="197">
        <v>3227829.54</v>
      </c>
      <c r="AE299" s="197">
        <f>VLOOKUP(B299,Reference!A:B,2,0)</f>
        <v>17016.400000000001</v>
      </c>
    </row>
    <row r="300" spans="1:31">
      <c r="A300" s="3">
        <v>2004</v>
      </c>
      <c r="B300" s="3" t="s">
        <v>453</v>
      </c>
      <c r="C300" s="191">
        <v>38108</v>
      </c>
      <c r="D300" s="192">
        <v>3447114</v>
      </c>
      <c r="E300" s="193">
        <v>263205.42</v>
      </c>
      <c r="F300" s="227">
        <f t="shared" si="27"/>
        <v>7.6355298954429704E-2</v>
      </c>
      <c r="G300" s="194">
        <v>48263</v>
      </c>
      <c r="H300" s="193">
        <v>32603.07</v>
      </c>
      <c r="I300" s="193">
        <f t="shared" si="28"/>
        <v>0.67552928744586949</v>
      </c>
      <c r="J300" s="229"/>
      <c r="K300" s="193"/>
      <c r="L300" s="195"/>
      <c r="M300" s="193"/>
      <c r="N300" s="229"/>
      <c r="O300" s="193"/>
      <c r="P300" s="3"/>
      <c r="Q300" s="196"/>
      <c r="R300" s="194"/>
      <c r="S300" s="193"/>
      <c r="T300" s="193"/>
      <c r="U300" s="197">
        <v>15129</v>
      </c>
      <c r="V300" s="196">
        <v>26692</v>
      </c>
      <c r="W300" s="196">
        <f t="shared" si="26"/>
        <v>1.7642937404983805</v>
      </c>
      <c r="X300" s="197">
        <v>12103.2</v>
      </c>
      <c r="Y300" s="196">
        <v>19275.88</v>
      </c>
      <c r="Z300" s="196">
        <f t="shared" si="29"/>
        <v>1.5926267433406041</v>
      </c>
      <c r="AA300" s="95"/>
      <c r="AB300" s="193">
        <v>0</v>
      </c>
      <c r="AC300" s="193"/>
      <c r="AD300" s="197">
        <v>3227829.54</v>
      </c>
      <c r="AE300" s="197">
        <f>VLOOKUP(B300,Reference!A:B,2,0)</f>
        <v>17016.400000000001</v>
      </c>
    </row>
    <row r="301" spans="1:31">
      <c r="A301" s="3">
        <v>2004</v>
      </c>
      <c r="B301" s="3" t="s">
        <v>453</v>
      </c>
      <c r="C301" s="191">
        <v>38139</v>
      </c>
      <c r="D301" s="192">
        <v>3225353</v>
      </c>
      <c r="E301" s="193">
        <v>252837.9</v>
      </c>
      <c r="F301" s="227">
        <f t="shared" si="27"/>
        <v>7.8390768390312629E-2</v>
      </c>
      <c r="G301" s="194">
        <v>48144</v>
      </c>
      <c r="H301" s="193">
        <v>35755.160000000003</v>
      </c>
      <c r="I301" s="193">
        <f t="shared" si="28"/>
        <v>0.74267115320704558</v>
      </c>
      <c r="J301" s="229"/>
      <c r="K301" s="193"/>
      <c r="L301" s="195"/>
      <c r="M301" s="193"/>
      <c r="N301" s="229"/>
      <c r="O301" s="193"/>
      <c r="P301" s="3"/>
      <c r="Q301" s="196"/>
      <c r="R301" s="194"/>
      <c r="S301" s="193"/>
      <c r="T301" s="193"/>
      <c r="U301" s="197">
        <v>16001</v>
      </c>
      <c r="V301" s="196">
        <v>39584.879999999997</v>
      </c>
      <c r="W301" s="196">
        <f t="shared" si="26"/>
        <v>2.4739003812261733</v>
      </c>
      <c r="X301" s="197">
        <v>8661</v>
      </c>
      <c r="Y301" s="196">
        <v>20349.63</v>
      </c>
      <c r="Z301" s="196">
        <f t="shared" si="29"/>
        <v>2.3495704883962594</v>
      </c>
      <c r="AA301" s="95"/>
      <c r="AB301" s="193">
        <v>0</v>
      </c>
      <c r="AC301" s="193"/>
      <c r="AD301" s="197">
        <v>3227829.54</v>
      </c>
      <c r="AE301" s="197">
        <f>VLOOKUP(B301,Reference!A:B,2,0)</f>
        <v>17016.400000000001</v>
      </c>
    </row>
    <row r="302" spans="1:31">
      <c r="A302" s="3">
        <v>2004</v>
      </c>
      <c r="B302" s="3" t="s">
        <v>454</v>
      </c>
      <c r="C302" s="191">
        <v>38169</v>
      </c>
      <c r="D302" s="192">
        <v>3556996</v>
      </c>
      <c r="E302" s="193">
        <v>274092.53000000003</v>
      </c>
      <c r="F302" s="227">
        <f t="shared" si="27"/>
        <v>7.7057306221317096E-2</v>
      </c>
      <c r="G302" s="194">
        <v>34951</v>
      </c>
      <c r="H302" s="193">
        <v>25179.1</v>
      </c>
      <c r="I302" s="193">
        <f t="shared" si="28"/>
        <v>0.72041143314926603</v>
      </c>
      <c r="J302" s="229"/>
      <c r="K302" s="193"/>
      <c r="L302" s="195"/>
      <c r="M302" s="193"/>
      <c r="N302" s="229"/>
      <c r="O302" s="193"/>
      <c r="P302" s="3"/>
      <c r="Q302" s="196"/>
      <c r="R302" s="194"/>
      <c r="S302" s="193"/>
      <c r="T302" s="193"/>
      <c r="U302" s="197">
        <v>16557</v>
      </c>
      <c r="V302" s="196">
        <v>44113.85</v>
      </c>
      <c r="W302" s="196">
        <f>IF(U302=0,0,V302/U302)</f>
        <v>2.6643625052847737</v>
      </c>
      <c r="X302" s="197">
        <v>8970</v>
      </c>
      <c r="Y302" s="196">
        <v>21076.82</v>
      </c>
      <c r="Z302" s="196">
        <f t="shared" si="29"/>
        <v>2.349701226309922</v>
      </c>
      <c r="AA302" s="95"/>
      <c r="AB302" s="193">
        <v>0</v>
      </c>
      <c r="AC302" s="193"/>
      <c r="AD302" s="197">
        <v>3171674</v>
      </c>
      <c r="AE302" s="197">
        <f>VLOOKUP(B302,Reference!A:B,2,0)</f>
        <v>16531.099999999999</v>
      </c>
    </row>
    <row r="303" spans="1:31">
      <c r="A303" s="3">
        <v>2004</v>
      </c>
      <c r="B303" s="3" t="s">
        <v>454</v>
      </c>
      <c r="C303" s="191">
        <v>38200</v>
      </c>
      <c r="D303" s="192">
        <v>3636284</v>
      </c>
      <c r="E303" s="193">
        <v>279699.83</v>
      </c>
      <c r="F303" s="227">
        <f t="shared" si="27"/>
        <v>7.6919137779117366E-2</v>
      </c>
      <c r="G303" s="194">
        <v>33026</v>
      </c>
      <c r="H303" s="193">
        <v>20888.87</v>
      </c>
      <c r="I303" s="193">
        <f t="shared" si="28"/>
        <v>0.63249772906195112</v>
      </c>
      <c r="J303" s="229"/>
      <c r="K303" s="193"/>
      <c r="L303" s="195"/>
      <c r="M303" s="193"/>
      <c r="N303" s="229"/>
      <c r="O303" s="193"/>
      <c r="P303" s="3"/>
      <c r="Q303" s="196"/>
      <c r="R303" s="194"/>
      <c r="S303" s="193"/>
      <c r="T303" s="193"/>
      <c r="U303" s="197">
        <v>15999</v>
      </c>
      <c r="V303" s="196">
        <v>42474.59</v>
      </c>
      <c r="W303" s="196">
        <f t="shared" ref="W303:W313" si="30">IF(U303=0,0,V303/U303)</f>
        <v>2.6548278017376084</v>
      </c>
      <c r="X303" s="197">
        <v>8663</v>
      </c>
      <c r="Y303" s="196">
        <v>20353.150000000001</v>
      </c>
      <c r="Z303" s="196">
        <f t="shared" si="29"/>
        <v>2.349434376082189</v>
      </c>
      <c r="AA303" s="95"/>
      <c r="AB303" s="193">
        <v>0</v>
      </c>
      <c r="AC303" s="193"/>
      <c r="AD303" s="197">
        <v>3171674</v>
      </c>
      <c r="AE303" s="197">
        <f>VLOOKUP(B303,Reference!A:B,2,0)</f>
        <v>16531.099999999999</v>
      </c>
    </row>
    <row r="304" spans="1:31">
      <c r="A304" s="3">
        <v>2004</v>
      </c>
      <c r="B304" s="3" t="s">
        <v>454</v>
      </c>
      <c r="C304" s="191">
        <v>38231</v>
      </c>
      <c r="D304" s="192">
        <v>3485379</v>
      </c>
      <c r="E304" s="193">
        <v>280637.76</v>
      </c>
      <c r="F304" s="227">
        <f>IF(D304=0,0,E304/D304)</f>
        <v>8.051857775008113E-2</v>
      </c>
      <c r="G304" s="194">
        <v>30187</v>
      </c>
      <c r="H304" s="193">
        <v>20770.099999999999</v>
      </c>
      <c r="I304" s="193">
        <f t="shared" si="28"/>
        <v>0.68804783516083079</v>
      </c>
      <c r="J304" s="229"/>
      <c r="K304" s="193"/>
      <c r="L304" s="195"/>
      <c r="M304" s="193"/>
      <c r="N304" s="229"/>
      <c r="O304" s="193"/>
      <c r="P304" s="3"/>
      <c r="Q304" s="196"/>
      <c r="R304" s="194"/>
      <c r="S304" s="193"/>
      <c r="T304" s="193"/>
      <c r="U304" s="197">
        <v>18327</v>
      </c>
      <c r="V304" s="196">
        <v>49462.84</v>
      </c>
      <c r="W304" s="196">
        <f t="shared" si="30"/>
        <v>2.6989054400611119</v>
      </c>
      <c r="X304" s="197">
        <v>9971</v>
      </c>
      <c r="Y304" s="196">
        <v>23427.56</v>
      </c>
      <c r="Z304" s="196">
        <f t="shared" si="29"/>
        <v>2.3495697522816168</v>
      </c>
      <c r="AA304" s="95"/>
      <c r="AB304" s="193">
        <v>0</v>
      </c>
      <c r="AC304" s="193"/>
      <c r="AD304" s="197">
        <v>3171674</v>
      </c>
      <c r="AE304" s="197">
        <f>VLOOKUP(B304,Reference!A:B,2,0)</f>
        <v>16531.099999999999</v>
      </c>
    </row>
    <row r="305" spans="1:31">
      <c r="A305" s="3">
        <v>2004</v>
      </c>
      <c r="B305" s="3" t="s">
        <v>454</v>
      </c>
      <c r="C305" s="191">
        <v>38261</v>
      </c>
      <c r="D305" s="192">
        <v>3329046</v>
      </c>
      <c r="E305" s="193">
        <v>255663.57</v>
      </c>
      <c r="F305" s="227">
        <f>IF(D305=0,0,E305/D305)</f>
        <v>7.6797848392602563E-2</v>
      </c>
      <c r="G305" s="194">
        <v>67536</v>
      </c>
      <c r="H305" s="193">
        <v>43109.33</v>
      </c>
      <c r="I305" s="193">
        <f t="shared" si="28"/>
        <v>0.63831630537787254</v>
      </c>
      <c r="J305" s="229"/>
      <c r="K305" s="193"/>
      <c r="L305" s="195"/>
      <c r="M305" s="193"/>
      <c r="N305" s="229"/>
      <c r="O305" s="193"/>
      <c r="P305" s="3"/>
      <c r="Q305" s="196"/>
      <c r="R305" s="194"/>
      <c r="S305" s="193"/>
      <c r="T305" s="193"/>
      <c r="U305" s="197">
        <v>8245</v>
      </c>
      <c r="V305" s="196">
        <v>20122.060000000001</v>
      </c>
      <c r="W305" s="196">
        <f t="shared" si="30"/>
        <v>2.4405166767738025</v>
      </c>
      <c r="X305" s="197">
        <v>8245</v>
      </c>
      <c r="Y305" s="196">
        <v>20122.060000000001</v>
      </c>
      <c r="Z305" s="196">
        <f t="shared" si="29"/>
        <v>2.4405166767738025</v>
      </c>
      <c r="AA305" s="95"/>
      <c r="AB305" s="193">
        <v>0</v>
      </c>
      <c r="AC305" s="193"/>
      <c r="AD305" s="197">
        <v>3171674</v>
      </c>
      <c r="AE305" s="197">
        <f>VLOOKUP(B305,Reference!A:B,2,0)</f>
        <v>16531.099999999999</v>
      </c>
    </row>
    <row r="306" spans="1:31">
      <c r="A306" s="3">
        <v>2004</v>
      </c>
      <c r="B306" s="3" t="s">
        <v>454</v>
      </c>
      <c r="C306" s="191">
        <v>38292</v>
      </c>
      <c r="D306" s="192">
        <v>3058376</v>
      </c>
      <c r="E306" s="193">
        <v>236078.79</v>
      </c>
      <c r="F306" s="227">
        <f t="shared" si="27"/>
        <v>7.7190898045237086E-2</v>
      </c>
      <c r="G306" s="194">
        <v>102072</v>
      </c>
      <c r="H306" s="193">
        <v>76607.710000000006</v>
      </c>
      <c r="I306" s="193">
        <f t="shared" si="28"/>
        <v>0.75052619719413749</v>
      </c>
      <c r="J306" s="229"/>
      <c r="K306" s="193"/>
      <c r="L306" s="195"/>
      <c r="M306" s="193"/>
      <c r="N306" s="229"/>
      <c r="O306" s="193"/>
      <c r="P306" s="3"/>
      <c r="Q306" s="196"/>
      <c r="R306" s="194"/>
      <c r="S306" s="193"/>
      <c r="T306" s="193"/>
      <c r="U306" s="197">
        <v>13092</v>
      </c>
      <c r="V306" s="196">
        <v>26060.83</v>
      </c>
      <c r="W306" s="196">
        <f t="shared" si="30"/>
        <v>1.9905919645585091</v>
      </c>
      <c r="X306" s="197">
        <v>10473.6</v>
      </c>
      <c r="Y306" s="196">
        <v>13662.75</v>
      </c>
      <c r="Z306" s="196">
        <f t="shared" si="29"/>
        <v>1.3044941567369386</v>
      </c>
      <c r="AA306" s="95"/>
      <c r="AB306" s="193">
        <v>0</v>
      </c>
      <c r="AC306" s="193"/>
      <c r="AD306" s="197">
        <v>3171674</v>
      </c>
      <c r="AE306" s="197">
        <f>VLOOKUP(B306,Reference!A:B,2,0)</f>
        <v>16531.099999999999</v>
      </c>
    </row>
    <row r="307" spans="1:31">
      <c r="A307" s="3">
        <v>2004</v>
      </c>
      <c r="B307" s="3" t="s">
        <v>454</v>
      </c>
      <c r="C307" s="191">
        <v>38322</v>
      </c>
      <c r="D307" s="192">
        <v>2946223</v>
      </c>
      <c r="E307" s="193">
        <v>230133.11</v>
      </c>
      <c r="F307" s="227">
        <f t="shared" si="27"/>
        <v>7.8111232584906168E-2</v>
      </c>
      <c r="G307" s="194">
        <v>117688</v>
      </c>
      <c r="H307" s="193">
        <v>82121.25</v>
      </c>
      <c r="I307" s="193">
        <f t="shared" si="28"/>
        <v>0.69778779484739306</v>
      </c>
      <c r="J307" s="229"/>
      <c r="K307" s="193"/>
      <c r="L307" s="195"/>
      <c r="M307" s="193"/>
      <c r="N307" s="229"/>
      <c r="O307" s="193"/>
      <c r="P307" s="3"/>
      <c r="Q307" s="196"/>
      <c r="R307" s="194"/>
      <c r="S307" s="193"/>
      <c r="T307" s="193"/>
      <c r="U307" s="197">
        <v>9941</v>
      </c>
      <c r="V307" s="196">
        <v>19879.77</v>
      </c>
      <c r="W307" s="196">
        <f t="shared" si="30"/>
        <v>1.9997756764912986</v>
      </c>
      <c r="X307" s="197">
        <v>7952.8</v>
      </c>
      <c r="Y307" s="196">
        <v>10429.74</v>
      </c>
      <c r="Z307" s="196">
        <f t="shared" si="29"/>
        <v>1.3114550850015088</v>
      </c>
      <c r="AA307" s="95"/>
      <c r="AB307" s="193">
        <v>0</v>
      </c>
      <c r="AC307" s="193"/>
      <c r="AD307" s="197">
        <v>3171674</v>
      </c>
      <c r="AE307" s="197">
        <f>VLOOKUP(B307,Reference!A:B,2,0)</f>
        <v>16531.099999999999</v>
      </c>
    </row>
    <row r="308" spans="1:31">
      <c r="A308" s="3">
        <v>2005</v>
      </c>
      <c r="B308" s="3" t="s">
        <v>454</v>
      </c>
      <c r="C308" s="191">
        <v>38353</v>
      </c>
      <c r="D308" s="192">
        <v>3102647</v>
      </c>
      <c r="E308" s="193">
        <v>236162.28</v>
      </c>
      <c r="F308" s="227">
        <f t="shared" si="27"/>
        <v>7.6116387072071037E-2</v>
      </c>
      <c r="G308" s="194">
        <v>125203</v>
      </c>
      <c r="H308" s="193">
        <v>83423.03</v>
      </c>
      <c r="I308" s="193">
        <f t="shared" si="28"/>
        <v>0.66630216528357944</v>
      </c>
      <c r="J308" s="229"/>
      <c r="K308" s="193"/>
      <c r="L308" s="195"/>
      <c r="M308" s="193"/>
      <c r="N308" s="229"/>
      <c r="O308" s="193"/>
      <c r="P308" s="3"/>
      <c r="Q308" s="196"/>
      <c r="R308" s="194"/>
      <c r="S308" s="193"/>
      <c r="T308" s="193"/>
      <c r="U308" s="197">
        <v>9492</v>
      </c>
      <c r="V308" s="196">
        <v>18946.080000000002</v>
      </c>
      <c r="W308" s="196">
        <f t="shared" si="30"/>
        <v>1.9960050568900127</v>
      </c>
      <c r="X308" s="197">
        <v>7593.6</v>
      </c>
      <c r="Y308" s="196">
        <v>10117.25</v>
      </c>
      <c r="Z308" s="196">
        <f t="shared" si="29"/>
        <v>1.3323390750105351</v>
      </c>
      <c r="AA308" s="95"/>
      <c r="AB308" s="193">
        <v>0</v>
      </c>
      <c r="AC308" s="193"/>
      <c r="AD308" s="197">
        <v>3171674</v>
      </c>
      <c r="AE308" s="197">
        <f>VLOOKUP(B308,Reference!A:B,2,0)</f>
        <v>16531.099999999999</v>
      </c>
    </row>
    <row r="309" spans="1:31">
      <c r="A309" s="3">
        <v>2005</v>
      </c>
      <c r="B309" s="3" t="s">
        <v>454</v>
      </c>
      <c r="C309" s="191">
        <v>38384</v>
      </c>
      <c r="D309" s="192">
        <v>2809385</v>
      </c>
      <c r="E309" s="193">
        <v>220727.35</v>
      </c>
      <c r="F309" s="227">
        <f t="shared" si="27"/>
        <v>7.8567853818540354E-2</v>
      </c>
      <c r="G309" s="194">
        <v>119010</v>
      </c>
      <c r="H309" s="193">
        <v>77727.34</v>
      </c>
      <c r="I309" s="193">
        <f t="shared" si="28"/>
        <v>0.65311604066885132</v>
      </c>
      <c r="J309" s="229"/>
      <c r="K309" s="193"/>
      <c r="L309" s="195"/>
      <c r="M309" s="193"/>
      <c r="N309" s="229"/>
      <c r="O309" s="193"/>
      <c r="P309" s="3"/>
      <c r="Q309" s="196"/>
      <c r="R309" s="194"/>
      <c r="S309" s="193"/>
      <c r="T309" s="193"/>
      <c r="U309" s="197">
        <v>9755</v>
      </c>
      <c r="V309" s="196">
        <v>19456.96</v>
      </c>
      <c r="W309" s="196">
        <f t="shared" si="30"/>
        <v>1.9945627883136852</v>
      </c>
      <c r="X309" s="197">
        <v>7804</v>
      </c>
      <c r="Y309" s="196">
        <v>10843.62</v>
      </c>
      <c r="Z309" s="196">
        <f t="shared" si="29"/>
        <v>1.3894951307022041</v>
      </c>
      <c r="AA309" s="95"/>
      <c r="AB309" s="193">
        <v>0</v>
      </c>
      <c r="AC309" s="193"/>
      <c r="AD309" s="197">
        <v>3171674</v>
      </c>
      <c r="AE309" s="197">
        <f>VLOOKUP(B309,Reference!A:B,2,0)</f>
        <v>16531.099999999999</v>
      </c>
    </row>
    <row r="310" spans="1:31">
      <c r="A310" s="3">
        <v>2005</v>
      </c>
      <c r="B310" s="3" t="s">
        <v>454</v>
      </c>
      <c r="C310" s="191">
        <v>38412</v>
      </c>
      <c r="D310" s="192">
        <v>2696057</v>
      </c>
      <c r="E310" s="193">
        <v>230994.26</v>
      </c>
      <c r="F310" s="227">
        <f t="shared" si="27"/>
        <v>8.5678552048417372E-2</v>
      </c>
      <c r="G310" s="194">
        <v>104950</v>
      </c>
      <c r="H310" s="193">
        <v>67515.350000000006</v>
      </c>
      <c r="I310" s="193">
        <f t="shared" si="28"/>
        <v>0.64330967127203431</v>
      </c>
      <c r="J310" s="229"/>
      <c r="K310" s="193"/>
      <c r="L310" s="195"/>
      <c r="M310" s="193"/>
      <c r="N310" s="229"/>
      <c r="O310" s="193"/>
      <c r="P310" s="3"/>
      <c r="Q310" s="196"/>
      <c r="R310" s="194"/>
      <c r="S310" s="193"/>
      <c r="T310" s="193"/>
      <c r="U310" s="197">
        <v>11872</v>
      </c>
      <c r="V310" s="196">
        <v>21571.39</v>
      </c>
      <c r="W310" s="196">
        <f t="shared" si="30"/>
        <v>1.8169971361185984</v>
      </c>
      <c r="X310" s="197">
        <v>9497.6</v>
      </c>
      <c r="Y310" s="196">
        <v>13757.36</v>
      </c>
      <c r="Z310" s="196">
        <f t="shared" si="29"/>
        <v>1.4485090970350405</v>
      </c>
      <c r="AA310" s="95"/>
      <c r="AB310" s="193">
        <v>0</v>
      </c>
      <c r="AC310" s="193"/>
      <c r="AD310" s="197">
        <v>3171674</v>
      </c>
      <c r="AE310" s="197">
        <f>VLOOKUP(B310,Reference!A:B,2,0)</f>
        <v>16531.099999999999</v>
      </c>
    </row>
    <row r="311" spans="1:31">
      <c r="A311" s="3">
        <v>2005</v>
      </c>
      <c r="B311" s="3" t="s">
        <v>454</v>
      </c>
      <c r="C311" s="191">
        <v>38443</v>
      </c>
      <c r="D311" s="192">
        <v>3147311</v>
      </c>
      <c r="E311" s="193">
        <v>236026.04</v>
      </c>
      <c r="F311" s="227">
        <f t="shared" si="27"/>
        <v>7.4992919352424983E-2</v>
      </c>
      <c r="G311" s="194">
        <v>87572</v>
      </c>
      <c r="H311" s="193">
        <v>63070.46</v>
      </c>
      <c r="I311" s="193">
        <f t="shared" si="28"/>
        <v>0.72021262503996708</v>
      </c>
      <c r="J311" s="229"/>
      <c r="K311" s="193"/>
      <c r="L311" s="195"/>
      <c r="M311" s="193"/>
      <c r="N311" s="229"/>
      <c r="O311" s="193"/>
      <c r="P311" s="3"/>
      <c r="Q311" s="196"/>
      <c r="R311" s="194"/>
      <c r="S311" s="193"/>
      <c r="T311" s="193"/>
      <c r="U311" s="197">
        <v>11885</v>
      </c>
      <c r="V311" s="196">
        <v>21583.07</v>
      </c>
      <c r="W311" s="196">
        <f t="shared" si="30"/>
        <v>1.8159924274295329</v>
      </c>
      <c r="X311" s="197">
        <v>9508</v>
      </c>
      <c r="Y311" s="196">
        <v>13772.73</v>
      </c>
      <c r="Z311" s="196">
        <f t="shared" si="29"/>
        <v>1.448541228439209</v>
      </c>
      <c r="AA311" s="95"/>
      <c r="AB311" s="193">
        <v>0</v>
      </c>
      <c r="AC311" s="193"/>
      <c r="AD311" s="197">
        <v>3171674</v>
      </c>
      <c r="AE311" s="197">
        <f>VLOOKUP(B311,Reference!A:B,2,0)</f>
        <v>16531.099999999999</v>
      </c>
    </row>
    <row r="312" spans="1:31">
      <c r="A312" s="3">
        <v>2005</v>
      </c>
      <c r="B312" s="3" t="s">
        <v>454</v>
      </c>
      <c r="C312" s="191">
        <v>38473</v>
      </c>
      <c r="D312" s="192">
        <v>3312784</v>
      </c>
      <c r="E312" s="193">
        <v>253129.08</v>
      </c>
      <c r="F312" s="227">
        <f t="shared" si="27"/>
        <v>7.6409774980801648E-2</v>
      </c>
      <c r="G312" s="194">
        <v>67096</v>
      </c>
      <c r="H312" s="193">
        <v>50717.26</v>
      </c>
      <c r="I312" s="193">
        <f t="shared" si="28"/>
        <v>0.75589096220341012</v>
      </c>
      <c r="J312" s="229"/>
      <c r="K312" s="193"/>
      <c r="L312" s="195"/>
      <c r="M312" s="193"/>
      <c r="N312" s="229"/>
      <c r="O312" s="193"/>
      <c r="P312" s="3"/>
      <c r="Q312" s="196"/>
      <c r="R312" s="194"/>
      <c r="S312" s="193"/>
      <c r="T312" s="193"/>
      <c r="U312" s="197">
        <v>14570</v>
      </c>
      <c r="V312" s="196">
        <v>27871.96</v>
      </c>
      <c r="W312" s="196">
        <f t="shared" si="30"/>
        <v>1.9129691146190801</v>
      </c>
      <c r="X312" s="197">
        <v>11656</v>
      </c>
      <c r="Y312" s="196">
        <v>16313.39</v>
      </c>
      <c r="Z312" s="196">
        <f t="shared" si="29"/>
        <v>1.3995701784488674</v>
      </c>
      <c r="AA312" s="95"/>
      <c r="AB312" s="193">
        <v>0</v>
      </c>
      <c r="AC312" s="193"/>
      <c r="AD312" s="197">
        <v>3171674</v>
      </c>
      <c r="AE312" s="197">
        <f>VLOOKUP(B312,Reference!A:B,2,0)</f>
        <v>16531.099999999999</v>
      </c>
    </row>
    <row r="313" spans="1:31">
      <c r="A313" s="3">
        <v>2005</v>
      </c>
      <c r="B313" s="3" t="s">
        <v>454</v>
      </c>
      <c r="C313" s="191">
        <v>38504</v>
      </c>
      <c r="D313" s="192">
        <v>3141741</v>
      </c>
      <c r="E313" s="193">
        <v>242152.52</v>
      </c>
      <c r="F313" s="227">
        <f t="shared" si="27"/>
        <v>7.7075901546308237E-2</v>
      </c>
      <c r="G313" s="194">
        <v>47776</v>
      </c>
      <c r="H313" s="193">
        <v>35054.199999999997</v>
      </c>
      <c r="I313" s="193">
        <f t="shared" si="28"/>
        <v>0.7337198593436034</v>
      </c>
      <c r="J313" s="229"/>
      <c r="K313" s="193"/>
      <c r="L313" s="195"/>
      <c r="M313" s="193"/>
      <c r="N313" s="229"/>
      <c r="O313" s="193"/>
      <c r="P313" s="3"/>
      <c r="Q313" s="196"/>
      <c r="R313" s="194"/>
      <c r="S313" s="193"/>
      <c r="T313" s="193"/>
      <c r="U313" s="197">
        <v>15582</v>
      </c>
      <c r="V313" s="196">
        <v>35957.21</v>
      </c>
      <c r="W313" s="196">
        <f t="shared" si="30"/>
        <v>2.3076119881915029</v>
      </c>
      <c r="X313" s="197">
        <v>6892</v>
      </c>
      <c r="Y313" s="196">
        <v>17711.54</v>
      </c>
      <c r="Z313" s="196">
        <f t="shared" si="29"/>
        <v>2.5698694138131168</v>
      </c>
      <c r="AA313" s="95"/>
      <c r="AB313" s="193">
        <v>0</v>
      </c>
      <c r="AC313" s="193"/>
      <c r="AD313" s="197">
        <v>3171674</v>
      </c>
      <c r="AE313" s="197">
        <f>VLOOKUP(B313,Reference!A:B,2,0)</f>
        <v>16531.099999999999</v>
      </c>
    </row>
    <row r="314" spans="1:31">
      <c r="A314" s="3">
        <v>2005</v>
      </c>
      <c r="B314" s="3" t="s">
        <v>455</v>
      </c>
      <c r="C314" s="191">
        <v>38534</v>
      </c>
      <c r="D314" s="192">
        <v>3555953</v>
      </c>
      <c r="E314" s="193">
        <v>273407.56</v>
      </c>
      <c r="F314" s="227">
        <f t="shared" si="27"/>
        <v>7.6887281693543197E-2</v>
      </c>
      <c r="G314" s="194">
        <v>28193</v>
      </c>
      <c r="H314" s="193">
        <v>22188.98</v>
      </c>
      <c r="I314" s="193">
        <f t="shared" si="28"/>
        <v>0.78703862660944202</v>
      </c>
      <c r="J314" s="229"/>
      <c r="K314" s="193"/>
      <c r="L314" s="195"/>
      <c r="M314" s="193"/>
      <c r="N314" s="229"/>
      <c r="O314" s="193"/>
      <c r="P314" s="3"/>
      <c r="Q314" s="196"/>
      <c r="R314" s="194"/>
      <c r="S314" s="193"/>
      <c r="T314" s="193"/>
      <c r="U314" s="197">
        <v>15312</v>
      </c>
      <c r="V314" s="196">
        <v>34007.96</v>
      </c>
      <c r="W314" s="196">
        <f>IF(U314=0,0,V314/U314)</f>
        <v>2.2210005224660399</v>
      </c>
      <c r="X314" s="197">
        <v>4399</v>
      </c>
      <c r="Y314" s="196">
        <v>11799.61</v>
      </c>
      <c r="Z314" s="196">
        <f t="shared" si="29"/>
        <v>2.6823391679927258</v>
      </c>
      <c r="AA314" s="95"/>
      <c r="AB314" s="193">
        <v>0</v>
      </c>
      <c r="AC314" s="193"/>
      <c r="AD314" s="197">
        <v>3171674</v>
      </c>
      <c r="AE314" s="197">
        <f>VLOOKUP(B314,Reference!A:B,2,0)</f>
        <v>16458.8</v>
      </c>
    </row>
    <row r="315" spans="1:31">
      <c r="A315" s="3">
        <v>2005</v>
      </c>
      <c r="B315" s="3" t="s">
        <v>455</v>
      </c>
      <c r="C315" s="191">
        <v>38565</v>
      </c>
      <c r="D315" s="192">
        <v>3543138</v>
      </c>
      <c r="E315" s="193">
        <v>268581.05</v>
      </c>
      <c r="F315" s="227">
        <f t="shared" si="27"/>
        <v>7.5803158104482515E-2</v>
      </c>
      <c r="G315" s="194">
        <v>22403</v>
      </c>
      <c r="H315" s="193">
        <v>17434.73</v>
      </c>
      <c r="I315" s="193">
        <f t="shared" si="28"/>
        <v>0.77823193322322903</v>
      </c>
      <c r="J315" s="229"/>
      <c r="K315" s="193"/>
      <c r="L315" s="195"/>
      <c r="M315" s="193"/>
      <c r="N315" s="229"/>
      <c r="O315" s="193"/>
      <c r="P315" s="3"/>
      <c r="Q315" s="196"/>
      <c r="R315" s="194"/>
      <c r="S315" s="193"/>
      <c r="T315" s="193"/>
      <c r="U315" s="197">
        <v>15097</v>
      </c>
      <c r="V315" s="196">
        <v>33530.44</v>
      </c>
      <c r="W315" s="196">
        <f t="shared" ref="W315:W325" si="31">IF(U315=0,0,V315/U315)</f>
        <v>2.2210001987149766</v>
      </c>
      <c r="X315" s="197">
        <v>4331</v>
      </c>
      <c r="Y315" s="196">
        <v>11617.21</v>
      </c>
      <c r="Z315" s="196">
        <f t="shared" si="29"/>
        <v>2.6823389517432461</v>
      </c>
      <c r="AA315" s="95"/>
      <c r="AB315" s="193">
        <v>0</v>
      </c>
      <c r="AC315" s="193"/>
      <c r="AD315" s="197">
        <v>3171674</v>
      </c>
      <c r="AE315" s="197">
        <f>VLOOKUP(B315,Reference!A:B,2,0)</f>
        <v>16458.8</v>
      </c>
    </row>
    <row r="316" spans="1:31">
      <c r="A316" s="3">
        <v>2005</v>
      </c>
      <c r="B316" s="3" t="s">
        <v>455</v>
      </c>
      <c r="C316" s="191">
        <v>38596</v>
      </c>
      <c r="D316" s="192">
        <v>3136681</v>
      </c>
      <c r="E316" s="193">
        <v>259674.99</v>
      </c>
      <c r="F316" s="227">
        <f>IF(D316=0,0,E316/D316)</f>
        <v>8.2786547309082428E-2</v>
      </c>
      <c r="G316" s="194">
        <v>45490</v>
      </c>
      <c r="H316" s="193">
        <v>39319.72</v>
      </c>
      <c r="I316" s="193">
        <f t="shared" si="28"/>
        <v>0.86435963948120464</v>
      </c>
      <c r="J316" s="229"/>
      <c r="K316" s="193"/>
      <c r="L316" s="195"/>
      <c r="M316" s="193"/>
      <c r="N316" s="229"/>
      <c r="O316" s="193"/>
      <c r="P316" s="3"/>
      <c r="Q316" s="196"/>
      <c r="R316" s="194"/>
      <c r="S316" s="193"/>
      <c r="T316" s="193"/>
      <c r="U316" s="197">
        <v>12114</v>
      </c>
      <c r="V316" s="196">
        <v>26978.42</v>
      </c>
      <c r="W316" s="196">
        <f t="shared" si="31"/>
        <v>2.2270447416212646</v>
      </c>
      <c r="X316" s="197">
        <v>3426</v>
      </c>
      <c r="Y316" s="196">
        <v>9189.7000000000007</v>
      </c>
      <c r="Z316" s="196">
        <f t="shared" si="29"/>
        <v>2.6823409223584358</v>
      </c>
      <c r="AA316" s="95"/>
      <c r="AB316" s="193">
        <v>0</v>
      </c>
      <c r="AC316" s="193"/>
      <c r="AD316" s="197">
        <v>3171674</v>
      </c>
      <c r="AE316" s="197">
        <f>VLOOKUP(B316,Reference!A:B,2,0)</f>
        <v>16458.8</v>
      </c>
    </row>
    <row r="317" spans="1:31">
      <c r="A317" s="3">
        <v>2005</v>
      </c>
      <c r="B317" s="3" t="s">
        <v>455</v>
      </c>
      <c r="C317" s="191">
        <v>38626</v>
      </c>
      <c r="D317" s="192">
        <v>3290288</v>
      </c>
      <c r="E317" s="193">
        <v>266352.02</v>
      </c>
      <c r="F317" s="227">
        <f>IF(D317=0,0,E317/D317)</f>
        <v>8.0950974504359507E-2</v>
      </c>
      <c r="G317" s="194">
        <v>67583</v>
      </c>
      <c r="H317" s="193">
        <v>63040.01</v>
      </c>
      <c r="I317" s="193">
        <f t="shared" si="28"/>
        <v>0.93277910125327379</v>
      </c>
      <c r="J317" s="229"/>
      <c r="K317" s="193"/>
      <c r="L317" s="195"/>
      <c r="M317" s="193"/>
      <c r="N317" s="229"/>
      <c r="O317" s="193"/>
      <c r="P317" s="3"/>
      <c r="Q317" s="196"/>
      <c r="R317" s="194"/>
      <c r="S317" s="193"/>
      <c r="T317" s="193"/>
      <c r="U317" s="197">
        <v>12968</v>
      </c>
      <c r="V317" s="196">
        <v>27345.62</v>
      </c>
      <c r="W317" s="196">
        <f t="shared" si="31"/>
        <v>2.1086998766193705</v>
      </c>
      <c r="X317" s="197">
        <v>3651.74</v>
      </c>
      <c r="Y317" s="196">
        <v>9795.9</v>
      </c>
      <c r="Z317" s="196">
        <f t="shared" si="29"/>
        <v>2.6825294243292239</v>
      </c>
      <c r="AA317" s="95"/>
      <c r="AB317" s="193">
        <v>0</v>
      </c>
      <c r="AC317" s="193"/>
      <c r="AD317" s="197">
        <v>3171674</v>
      </c>
      <c r="AE317" s="197">
        <f>VLOOKUP(B317,Reference!A:B,2,0)</f>
        <v>16458.8</v>
      </c>
    </row>
    <row r="318" spans="1:31">
      <c r="A318" s="3">
        <v>2005</v>
      </c>
      <c r="B318" s="3" t="s">
        <v>455</v>
      </c>
      <c r="C318" s="191">
        <v>38657</v>
      </c>
      <c r="D318" s="192">
        <v>3102241</v>
      </c>
      <c r="E318" s="193">
        <v>238732.81</v>
      </c>
      <c r="F318" s="227">
        <f t="shared" si="27"/>
        <v>7.695495288728374E-2</v>
      </c>
      <c r="G318" s="194">
        <v>87668</v>
      </c>
      <c r="H318" s="193">
        <v>88517.39</v>
      </c>
      <c r="I318" s="193">
        <f t="shared" si="28"/>
        <v>1.0096887119587534</v>
      </c>
      <c r="J318" s="229"/>
      <c r="K318" s="193"/>
      <c r="L318" s="195"/>
      <c r="M318" s="193"/>
      <c r="N318" s="229"/>
      <c r="O318" s="193"/>
      <c r="P318" s="3"/>
      <c r="Q318" s="196"/>
      <c r="R318" s="194"/>
      <c r="S318" s="193"/>
      <c r="T318" s="193"/>
      <c r="U318" s="197">
        <v>12494</v>
      </c>
      <c r="V318" s="196">
        <v>20489.53</v>
      </c>
      <c r="W318" s="196">
        <f t="shared" si="31"/>
        <v>1.6399495757963822</v>
      </c>
      <c r="X318" s="197">
        <v>3542.75</v>
      </c>
      <c r="Y318" s="196">
        <v>9503.5300000000007</v>
      </c>
      <c r="Z318" s="196">
        <f t="shared" si="29"/>
        <v>2.6825291087432079</v>
      </c>
      <c r="AA318" s="95"/>
      <c r="AB318" s="193">
        <v>0</v>
      </c>
      <c r="AC318" s="193"/>
      <c r="AD318" s="197">
        <v>3171674</v>
      </c>
      <c r="AE318" s="197">
        <f>VLOOKUP(B318,Reference!A:B,2,0)</f>
        <v>16458.8</v>
      </c>
    </row>
    <row r="319" spans="1:31">
      <c r="A319" s="3">
        <v>2005</v>
      </c>
      <c r="B319" s="3" t="s">
        <v>455</v>
      </c>
      <c r="C319" s="191">
        <v>38687</v>
      </c>
      <c r="D319" s="192">
        <v>2750808</v>
      </c>
      <c r="E319" s="193">
        <v>215884.34</v>
      </c>
      <c r="F319" s="227">
        <f t="shared" si="27"/>
        <v>7.8480337413589021E-2</v>
      </c>
      <c r="G319" s="194">
        <v>108742</v>
      </c>
      <c r="H319" s="193">
        <v>93254.46</v>
      </c>
      <c r="I319" s="193">
        <f t="shared" si="28"/>
        <v>0.85757536186570049</v>
      </c>
      <c r="J319" s="229"/>
      <c r="K319" s="193"/>
      <c r="L319" s="195"/>
      <c r="M319" s="193"/>
      <c r="N319" s="229"/>
      <c r="O319" s="193"/>
      <c r="P319" s="3"/>
      <c r="Q319" s="196"/>
      <c r="R319" s="194"/>
      <c r="S319" s="193"/>
      <c r="T319" s="193"/>
      <c r="U319" s="197">
        <v>9301</v>
      </c>
      <c r="V319" s="196">
        <v>15445.91</v>
      </c>
      <c r="W319" s="196">
        <f t="shared" si="31"/>
        <v>1.6606719707558326</v>
      </c>
      <c r="X319" s="197">
        <v>2640.81</v>
      </c>
      <c r="Y319" s="196">
        <v>7084.06</v>
      </c>
      <c r="Z319" s="196">
        <f t="shared" si="29"/>
        <v>2.6825330107050491</v>
      </c>
      <c r="AA319" s="95"/>
      <c r="AB319" s="193">
        <v>0</v>
      </c>
      <c r="AC319" s="193"/>
      <c r="AD319" s="197">
        <v>3171674</v>
      </c>
      <c r="AE319" s="197">
        <f>VLOOKUP(B319,Reference!A:B,2,0)</f>
        <v>16458.8</v>
      </c>
    </row>
    <row r="320" spans="1:31">
      <c r="A320" s="3">
        <v>2006</v>
      </c>
      <c r="B320" s="3" t="s">
        <v>455</v>
      </c>
      <c r="C320" s="191">
        <v>38718</v>
      </c>
      <c r="D320" s="192">
        <v>2962465</v>
      </c>
      <c r="E320" s="193">
        <v>232044.33</v>
      </c>
      <c r="F320" s="227">
        <f t="shared" si="27"/>
        <v>7.8328125395574294E-2</v>
      </c>
      <c r="G320" s="194">
        <v>122271</v>
      </c>
      <c r="H320" s="193">
        <v>107078</v>
      </c>
      <c r="I320" s="193">
        <f t="shared" si="28"/>
        <v>0.87574322611248778</v>
      </c>
      <c r="J320" s="229"/>
      <c r="K320" s="193"/>
      <c r="L320" s="195"/>
      <c r="M320" s="193"/>
      <c r="N320" s="229"/>
      <c r="O320" s="193"/>
      <c r="P320" s="3"/>
      <c r="Q320" s="196"/>
      <c r="R320" s="194"/>
      <c r="S320" s="193"/>
      <c r="T320" s="193"/>
      <c r="U320" s="197">
        <v>9808</v>
      </c>
      <c r="V320" s="196">
        <v>16392.91</v>
      </c>
      <c r="W320" s="196">
        <f t="shared" si="31"/>
        <v>1.6713815252854811</v>
      </c>
      <c r="X320" s="197">
        <v>2784.8</v>
      </c>
      <c r="Y320" s="196">
        <v>7470.31</v>
      </c>
      <c r="Z320" s="196">
        <f t="shared" si="29"/>
        <v>2.6825301637460499</v>
      </c>
      <c r="AA320" s="95"/>
      <c r="AB320" s="193">
        <v>0</v>
      </c>
      <c r="AC320" s="193"/>
      <c r="AD320" s="197">
        <v>3171674</v>
      </c>
      <c r="AE320" s="197">
        <f>VLOOKUP(B320,Reference!A:B,2,0)</f>
        <v>16458.8</v>
      </c>
    </row>
    <row r="321" spans="1:31">
      <c r="A321" s="3">
        <v>2006</v>
      </c>
      <c r="B321" s="3" t="s">
        <v>455</v>
      </c>
      <c r="C321" s="191">
        <v>38749</v>
      </c>
      <c r="D321" s="192">
        <v>2831180</v>
      </c>
      <c r="E321" s="193">
        <v>219199.23</v>
      </c>
      <c r="F321" s="227">
        <f t="shared" si="27"/>
        <v>7.7423275807260578E-2</v>
      </c>
      <c r="G321" s="194">
        <v>105609</v>
      </c>
      <c r="H321" s="193">
        <v>79523</v>
      </c>
      <c r="I321" s="193">
        <f t="shared" si="28"/>
        <v>0.75299453645049186</v>
      </c>
      <c r="J321" s="229"/>
      <c r="K321" s="193"/>
      <c r="L321" s="195"/>
      <c r="M321" s="193"/>
      <c r="N321" s="229"/>
      <c r="O321" s="193"/>
      <c r="P321" s="3"/>
      <c r="Q321" s="196"/>
      <c r="R321" s="194"/>
      <c r="S321" s="193"/>
      <c r="T321" s="193"/>
      <c r="U321" s="197">
        <v>10582</v>
      </c>
      <c r="V321" s="196">
        <v>17646.45</v>
      </c>
      <c r="W321" s="196">
        <f t="shared" si="31"/>
        <v>1.6675911925911926</v>
      </c>
      <c r="X321" s="197">
        <v>3009.63</v>
      </c>
      <c r="Y321" s="196">
        <v>8065.8</v>
      </c>
      <c r="Z321" s="196">
        <f t="shared" si="29"/>
        <v>2.6799972089592408</v>
      </c>
      <c r="AA321" s="95"/>
      <c r="AB321" s="193">
        <v>0</v>
      </c>
      <c r="AC321" s="193"/>
      <c r="AD321" s="197">
        <v>3171674</v>
      </c>
      <c r="AE321" s="197">
        <f>VLOOKUP(B321,Reference!A:B,2,0)</f>
        <v>16458.8</v>
      </c>
    </row>
    <row r="322" spans="1:31">
      <c r="A322" s="3">
        <v>2006</v>
      </c>
      <c r="B322" s="3" t="s">
        <v>455</v>
      </c>
      <c r="C322" s="191">
        <v>38777</v>
      </c>
      <c r="D322" s="192">
        <v>2959731</v>
      </c>
      <c r="E322" s="193">
        <v>225773.21</v>
      </c>
      <c r="F322" s="227">
        <f t="shared" si="27"/>
        <v>7.6281665462165305E-2</v>
      </c>
      <c r="G322" s="194">
        <v>133951</v>
      </c>
      <c r="H322" s="193">
        <v>99091.68</v>
      </c>
      <c r="I322" s="193">
        <f t="shared" si="28"/>
        <v>0.73976065874834818</v>
      </c>
      <c r="J322" s="229"/>
      <c r="K322" s="193"/>
      <c r="L322" s="195"/>
      <c r="M322" s="193"/>
      <c r="N322" s="229"/>
      <c r="O322" s="193"/>
      <c r="P322" s="3"/>
      <c r="Q322" s="196"/>
      <c r="R322" s="194"/>
      <c r="S322" s="193"/>
      <c r="T322" s="193"/>
      <c r="U322" s="197">
        <v>7712</v>
      </c>
      <c r="V322" s="196">
        <v>12998.26</v>
      </c>
      <c r="W322" s="196">
        <f t="shared" si="31"/>
        <v>1.6854590248962655</v>
      </c>
      <c r="X322" s="197">
        <v>2200.92</v>
      </c>
      <c r="Y322" s="196">
        <v>5898.46</v>
      </c>
      <c r="Z322" s="196">
        <f t="shared" si="29"/>
        <v>2.6799974556094721</v>
      </c>
      <c r="AA322" s="95"/>
      <c r="AB322" s="193">
        <v>0</v>
      </c>
      <c r="AC322" s="193"/>
      <c r="AD322" s="197">
        <v>3171674</v>
      </c>
      <c r="AE322" s="197">
        <f>VLOOKUP(B322,Reference!A:B,2,0)</f>
        <v>16458.8</v>
      </c>
    </row>
    <row r="323" spans="1:31">
      <c r="A323" s="3">
        <v>2006</v>
      </c>
      <c r="B323" s="3" t="s">
        <v>455</v>
      </c>
      <c r="C323" s="191">
        <v>38808</v>
      </c>
      <c r="D323" s="192">
        <v>2920180</v>
      </c>
      <c r="E323" s="193">
        <v>224161.52</v>
      </c>
      <c r="F323" s="227">
        <f t="shared" si="27"/>
        <v>7.6762911875295353E-2</v>
      </c>
      <c r="G323" s="194">
        <v>100600</v>
      </c>
      <c r="H323" s="193">
        <v>73764.09</v>
      </c>
      <c r="I323" s="193">
        <f t="shared" si="28"/>
        <v>0.73324145129224649</v>
      </c>
      <c r="J323" s="229"/>
      <c r="K323" s="193"/>
      <c r="L323" s="195"/>
      <c r="M323" s="193"/>
      <c r="N323" s="229"/>
      <c r="O323" s="193"/>
      <c r="P323" s="3"/>
      <c r="Q323" s="196"/>
      <c r="R323" s="194"/>
      <c r="S323" s="193"/>
      <c r="T323" s="193"/>
      <c r="U323" s="197">
        <v>9963</v>
      </c>
      <c r="V323" s="196">
        <v>16643.95</v>
      </c>
      <c r="W323" s="196">
        <f t="shared" si="31"/>
        <v>1.6705761316872429</v>
      </c>
      <c r="X323" s="197">
        <v>2846.48</v>
      </c>
      <c r="Y323" s="196">
        <v>7628.57</v>
      </c>
      <c r="Z323" s="196">
        <f t="shared" si="29"/>
        <v>2.6800012647199347</v>
      </c>
      <c r="AA323" s="95"/>
      <c r="AB323" s="193">
        <v>0</v>
      </c>
      <c r="AC323" s="193"/>
      <c r="AD323" s="197">
        <v>3171674</v>
      </c>
      <c r="AE323" s="197">
        <f>VLOOKUP(B323,Reference!A:B,2,0)</f>
        <v>16458.8</v>
      </c>
    </row>
    <row r="324" spans="1:31">
      <c r="A324" s="3">
        <v>2006</v>
      </c>
      <c r="B324" s="3" t="s">
        <v>455</v>
      </c>
      <c r="C324" s="191">
        <v>38838</v>
      </c>
      <c r="D324" s="192">
        <v>3200145</v>
      </c>
      <c r="E324" s="193">
        <v>242078.37</v>
      </c>
      <c r="F324" s="227">
        <f t="shared" si="27"/>
        <v>7.5646062912774259E-2</v>
      </c>
      <c r="G324" s="194">
        <v>72382</v>
      </c>
      <c r="H324" s="193">
        <v>56487.39</v>
      </c>
      <c r="I324" s="193">
        <f t="shared" si="28"/>
        <v>0.78040659279931479</v>
      </c>
      <c r="J324" s="229"/>
      <c r="K324" s="193"/>
      <c r="L324" s="195"/>
      <c r="M324" s="193"/>
      <c r="N324" s="229"/>
      <c r="O324" s="193"/>
      <c r="P324" s="3"/>
      <c r="Q324" s="196"/>
      <c r="R324" s="194"/>
      <c r="S324" s="193"/>
      <c r="T324" s="193"/>
      <c r="U324" s="197">
        <v>12109</v>
      </c>
      <c r="V324" s="196">
        <v>22949.71</v>
      </c>
      <c r="W324" s="196">
        <f t="shared" si="31"/>
        <v>1.8952605500041291</v>
      </c>
      <c r="X324" s="197">
        <v>3466.03</v>
      </c>
      <c r="Y324" s="196">
        <v>9288.9500000000007</v>
      </c>
      <c r="Z324" s="196">
        <f t="shared" si="29"/>
        <v>2.6799969994489374</v>
      </c>
      <c r="AA324" s="95"/>
      <c r="AB324" s="193">
        <v>0</v>
      </c>
      <c r="AC324" s="193"/>
      <c r="AD324" s="197">
        <v>3171674</v>
      </c>
      <c r="AE324" s="197">
        <f>VLOOKUP(B324,Reference!A:B,2,0)</f>
        <v>16458.8</v>
      </c>
    </row>
    <row r="325" spans="1:31">
      <c r="A325" s="3">
        <v>2006</v>
      </c>
      <c r="B325" s="3" t="s">
        <v>455</v>
      </c>
      <c r="C325" s="191">
        <v>38869</v>
      </c>
      <c r="D325" s="192">
        <v>3283960</v>
      </c>
      <c r="E325" s="193">
        <v>255120.77</v>
      </c>
      <c r="F325" s="227">
        <f t="shared" si="27"/>
        <v>7.7686929804260701E-2</v>
      </c>
      <c r="G325" s="194">
        <v>32855</v>
      </c>
      <c r="H325" s="193">
        <v>25212.26</v>
      </c>
      <c r="I325" s="193">
        <f t="shared" si="28"/>
        <v>0.76737969867600053</v>
      </c>
      <c r="J325" s="229"/>
      <c r="K325" s="193"/>
      <c r="L325" s="195"/>
      <c r="M325" s="193"/>
      <c r="N325" s="229"/>
      <c r="O325" s="193"/>
      <c r="P325" s="3"/>
      <c r="Q325" s="196"/>
      <c r="R325" s="194"/>
      <c r="S325" s="193"/>
      <c r="T325" s="193"/>
      <c r="U325" s="197">
        <v>12180</v>
      </c>
      <c r="V325" s="196">
        <v>29531.4</v>
      </c>
      <c r="W325" s="196">
        <f t="shared" si="31"/>
        <v>2.4245812807881775</v>
      </c>
      <c r="X325" s="197">
        <v>3482</v>
      </c>
      <c r="Y325" s="196">
        <v>9569.6</v>
      </c>
      <c r="Z325" s="196">
        <f t="shared" si="29"/>
        <v>2.7483055715106262</v>
      </c>
      <c r="AA325" s="95"/>
      <c r="AB325" s="193">
        <v>0</v>
      </c>
      <c r="AC325" s="193"/>
      <c r="AD325" s="197">
        <v>3171674</v>
      </c>
      <c r="AE325" s="197">
        <f>VLOOKUP(B325,Reference!A:B,2,0)</f>
        <v>16458.8</v>
      </c>
    </row>
    <row r="326" spans="1:31">
      <c r="A326" s="3">
        <v>2006</v>
      </c>
      <c r="B326" s="3" t="s">
        <v>456</v>
      </c>
      <c r="C326" s="191">
        <v>38899</v>
      </c>
      <c r="D326" s="192">
        <v>3666211</v>
      </c>
      <c r="E326" s="193">
        <v>291576.90000000002</v>
      </c>
      <c r="F326" s="227">
        <f t="shared" si="27"/>
        <v>7.9530856243680476E-2</v>
      </c>
      <c r="G326" s="194">
        <v>24323</v>
      </c>
      <c r="H326" s="193">
        <v>18277.61</v>
      </c>
      <c r="I326" s="193">
        <f t="shared" si="28"/>
        <v>0.75145376803848207</v>
      </c>
      <c r="J326" s="229"/>
      <c r="K326" s="193"/>
      <c r="L326" s="195"/>
      <c r="M326" s="193"/>
      <c r="N326" s="229"/>
      <c r="O326" s="193"/>
      <c r="P326" s="3"/>
      <c r="Q326" s="196"/>
      <c r="R326" s="194"/>
      <c r="S326" s="193"/>
      <c r="T326" s="193"/>
      <c r="U326" s="197">
        <v>16411</v>
      </c>
      <c r="V326" s="196">
        <v>41839.42</v>
      </c>
      <c r="W326" s="196">
        <f>IF(U326=0,0,V326/U326)</f>
        <v>2.549474133203339</v>
      </c>
      <c r="X326" s="197">
        <v>4679</v>
      </c>
      <c r="Y326" s="196">
        <v>13447.17</v>
      </c>
      <c r="Z326" s="196">
        <f t="shared" si="29"/>
        <v>2.8739410130369736</v>
      </c>
      <c r="AA326" s="95"/>
      <c r="AB326" s="193">
        <v>0</v>
      </c>
      <c r="AC326" s="193"/>
      <c r="AD326" s="197">
        <v>3171674</v>
      </c>
      <c r="AE326" s="197">
        <f>VLOOKUP(B326,Reference!A:B,2,0)</f>
        <v>17469.099999999999</v>
      </c>
    </row>
    <row r="327" spans="1:31">
      <c r="A327" s="3">
        <v>2006</v>
      </c>
      <c r="B327" s="3" t="s">
        <v>456</v>
      </c>
      <c r="C327" s="191">
        <v>38930</v>
      </c>
      <c r="D327" s="192">
        <v>3455824</v>
      </c>
      <c r="E327" s="193">
        <v>262809.34000000003</v>
      </c>
      <c r="F327" s="227">
        <f t="shared" si="27"/>
        <v>7.6048242040103908E-2</v>
      </c>
      <c r="G327" s="194">
        <v>18113</v>
      </c>
      <c r="H327" s="193">
        <v>14163</v>
      </c>
      <c r="I327" s="193">
        <f t="shared" si="28"/>
        <v>0.78192458455253133</v>
      </c>
      <c r="J327" s="229"/>
      <c r="K327" s="193"/>
      <c r="L327" s="195"/>
      <c r="M327" s="193"/>
      <c r="N327" s="229"/>
      <c r="O327" s="193"/>
      <c r="P327" s="3"/>
      <c r="Q327" s="196"/>
      <c r="R327" s="194"/>
      <c r="S327" s="193"/>
      <c r="T327" s="193"/>
      <c r="U327" s="197">
        <v>14407</v>
      </c>
      <c r="V327" s="196">
        <v>35717.14</v>
      </c>
      <c r="W327" s="196">
        <f t="shared" ref="W327:W390" si="32">IF(U327=0,0,V327/U327)</f>
        <v>2.4791518012077463</v>
      </c>
      <c r="X327" s="197">
        <v>4114</v>
      </c>
      <c r="Y327" s="196">
        <v>11823.39</v>
      </c>
      <c r="Z327" s="196">
        <f t="shared" si="29"/>
        <v>2.8739402041808457</v>
      </c>
      <c r="AA327" s="95"/>
      <c r="AB327" s="193">
        <v>0</v>
      </c>
      <c r="AC327" s="193"/>
      <c r="AD327" s="197">
        <v>3171674</v>
      </c>
      <c r="AE327" s="197">
        <f>VLOOKUP(B327,Reference!A:B,2,0)</f>
        <v>17469.099999999999</v>
      </c>
    </row>
    <row r="328" spans="1:31">
      <c r="A328" s="3">
        <v>2006</v>
      </c>
      <c r="B328" s="3" t="s">
        <v>456</v>
      </c>
      <c r="C328" s="191">
        <v>38961</v>
      </c>
      <c r="D328" s="192">
        <v>3155536</v>
      </c>
      <c r="E328" s="193">
        <v>247676.43</v>
      </c>
      <c r="F328" s="227">
        <f>IF(D328=0,0,E328/D328)</f>
        <v>7.8489495920819788E-2</v>
      </c>
      <c r="G328" s="194">
        <v>20320</v>
      </c>
      <c r="H328" s="193">
        <v>17049.41</v>
      </c>
      <c r="I328" s="193">
        <f t="shared" si="28"/>
        <v>0.83904576771653538</v>
      </c>
      <c r="J328" s="229"/>
      <c r="K328" s="193"/>
      <c r="L328" s="195"/>
      <c r="M328" s="193"/>
      <c r="N328" s="229"/>
      <c r="O328" s="193"/>
      <c r="P328" s="3"/>
      <c r="Q328" s="196"/>
      <c r="R328" s="194"/>
      <c r="S328" s="193"/>
      <c r="T328" s="193"/>
      <c r="U328" s="197">
        <v>13683</v>
      </c>
      <c r="V328" s="196">
        <v>32889.919999999998</v>
      </c>
      <c r="W328" s="196">
        <f t="shared" si="32"/>
        <v>2.4037067894467588</v>
      </c>
      <c r="X328" s="197">
        <v>2253</v>
      </c>
      <c r="Y328" s="196">
        <v>6474.99</v>
      </c>
      <c r="Z328" s="196">
        <f t="shared" si="29"/>
        <v>2.8739414114513981</v>
      </c>
      <c r="AA328" s="95"/>
      <c r="AB328" s="193">
        <v>0</v>
      </c>
      <c r="AC328" s="193"/>
      <c r="AD328" s="197">
        <v>3171674</v>
      </c>
      <c r="AE328" s="197">
        <f>VLOOKUP(B328,Reference!A:B,2,0)</f>
        <v>17469.099999999999</v>
      </c>
    </row>
    <row r="329" spans="1:31">
      <c r="A329" s="3">
        <v>2006</v>
      </c>
      <c r="B329" s="3" t="s">
        <v>456</v>
      </c>
      <c r="C329" s="191">
        <v>38991</v>
      </c>
      <c r="D329" s="192">
        <v>3235946</v>
      </c>
      <c r="E329" s="193">
        <v>252010.67</v>
      </c>
      <c r="F329" s="227">
        <f>IF(D329=0,0,E329/D329)</f>
        <v>7.7878515278067065E-2</v>
      </c>
      <c r="G329" s="194">
        <v>55744</v>
      </c>
      <c r="H329" s="193">
        <v>40233.51</v>
      </c>
      <c r="I329" s="193">
        <f t="shared" si="28"/>
        <v>0.72175498708381169</v>
      </c>
      <c r="J329" s="229"/>
      <c r="K329" s="193"/>
      <c r="L329" s="195"/>
      <c r="M329" s="193"/>
      <c r="N329" s="229"/>
      <c r="O329" s="193"/>
      <c r="P329" s="3"/>
      <c r="Q329" s="196"/>
      <c r="R329" s="194"/>
      <c r="S329" s="193"/>
      <c r="T329" s="193"/>
      <c r="U329" s="197">
        <v>10929</v>
      </c>
      <c r="V329" s="196">
        <v>23704.19</v>
      </c>
      <c r="W329" s="196">
        <f t="shared" si="32"/>
        <v>2.1689257937597217</v>
      </c>
      <c r="X329" s="197">
        <v>1802.02</v>
      </c>
      <c r="Y329" s="196">
        <v>5178.84</v>
      </c>
      <c r="Z329" s="196">
        <f t="shared" si="29"/>
        <v>2.873908169720647</v>
      </c>
      <c r="AA329" s="95"/>
      <c r="AB329" s="193">
        <v>0</v>
      </c>
      <c r="AC329" s="193"/>
      <c r="AD329" s="197">
        <v>3171674</v>
      </c>
      <c r="AE329" s="197">
        <f>VLOOKUP(B329,Reference!A:B,2,0)</f>
        <v>17469.099999999999</v>
      </c>
    </row>
    <row r="330" spans="1:31">
      <c r="A330" s="3">
        <v>2006</v>
      </c>
      <c r="B330" s="3" t="s">
        <v>456</v>
      </c>
      <c r="C330" s="191">
        <v>39022</v>
      </c>
      <c r="D330" s="192">
        <v>3060185</v>
      </c>
      <c r="E330" s="193">
        <v>238144.24</v>
      </c>
      <c r="F330" s="227">
        <f t="shared" si="27"/>
        <v>7.7820210216049027E-2</v>
      </c>
      <c r="G330" s="194">
        <v>69667</v>
      </c>
      <c r="H330" s="193">
        <v>52272.51</v>
      </c>
      <c r="I330" s="193">
        <f t="shared" si="28"/>
        <v>0.75031952000229662</v>
      </c>
      <c r="J330" s="229"/>
      <c r="K330" s="193"/>
      <c r="L330" s="195"/>
      <c r="M330" s="193"/>
      <c r="N330" s="229"/>
      <c r="O330" s="193"/>
      <c r="P330" s="3"/>
      <c r="Q330" s="196"/>
      <c r="R330" s="194"/>
      <c r="S330" s="193"/>
      <c r="T330" s="193"/>
      <c r="U330" s="197">
        <v>12483</v>
      </c>
      <c r="V330" s="196">
        <v>22106.5</v>
      </c>
      <c r="W330" s="196">
        <f t="shared" si="32"/>
        <v>1.7709284627092847</v>
      </c>
      <c r="X330" s="197">
        <v>2069.0300000000002</v>
      </c>
      <c r="Y330" s="196">
        <v>5946.18</v>
      </c>
      <c r="Z330" s="196">
        <f t="shared" si="29"/>
        <v>2.8738974301967586</v>
      </c>
      <c r="AA330" s="95"/>
      <c r="AB330" s="193">
        <v>0</v>
      </c>
      <c r="AC330" s="193"/>
      <c r="AD330" s="197">
        <v>3171674</v>
      </c>
      <c r="AE330" s="197">
        <f>VLOOKUP(B330,Reference!A:B,2,0)</f>
        <v>17469.099999999999</v>
      </c>
    </row>
    <row r="331" spans="1:31">
      <c r="A331" s="3">
        <v>2006</v>
      </c>
      <c r="B331" s="3" t="s">
        <v>456</v>
      </c>
      <c r="C331" s="191">
        <v>39052</v>
      </c>
      <c r="D331" s="192">
        <v>2737140</v>
      </c>
      <c r="E331" s="193">
        <v>218887.05</v>
      </c>
      <c r="F331" s="227">
        <f t="shared" si="27"/>
        <v>7.9969256230956395E-2</v>
      </c>
      <c r="G331" s="194">
        <v>92074</v>
      </c>
      <c r="H331" s="193">
        <v>68838.16</v>
      </c>
      <c r="I331" s="193">
        <f t="shared" si="28"/>
        <v>0.74763950735278151</v>
      </c>
      <c r="J331" s="229"/>
      <c r="K331" s="193"/>
      <c r="L331" s="195"/>
      <c r="M331" s="193"/>
      <c r="N331" s="229"/>
      <c r="O331" s="193"/>
      <c r="P331" s="3"/>
      <c r="Q331" s="196"/>
      <c r="R331" s="194"/>
      <c r="S331" s="193"/>
      <c r="T331" s="193"/>
      <c r="U331" s="197">
        <v>6280</v>
      </c>
      <c r="V331" s="196">
        <v>12569.36</v>
      </c>
      <c r="W331" s="196">
        <f t="shared" si="32"/>
        <v>2.0014904458598726</v>
      </c>
      <c r="X331" s="197">
        <v>1050</v>
      </c>
      <c r="Y331" s="196">
        <v>3017.64</v>
      </c>
      <c r="Z331" s="196">
        <f t="shared" si="29"/>
        <v>2.8739428571428571</v>
      </c>
      <c r="AA331" s="95"/>
      <c r="AB331" s="193">
        <v>0</v>
      </c>
      <c r="AC331" s="193"/>
      <c r="AD331" s="197">
        <v>3171674</v>
      </c>
      <c r="AE331" s="197">
        <f>VLOOKUP(B331,Reference!A:B,2,0)</f>
        <v>17469.099999999999</v>
      </c>
    </row>
    <row r="332" spans="1:31">
      <c r="A332" s="3">
        <v>2007</v>
      </c>
      <c r="B332" s="3" t="s">
        <v>456</v>
      </c>
      <c r="C332" s="191">
        <v>39083</v>
      </c>
      <c r="D332" s="192">
        <v>3017962</v>
      </c>
      <c r="E332" s="193">
        <v>241864.95999999999</v>
      </c>
      <c r="F332" s="227">
        <f t="shared" si="27"/>
        <v>8.014181755767634E-2</v>
      </c>
      <c r="G332" s="194">
        <v>122972</v>
      </c>
      <c r="H332" s="193">
        <v>89876.800000000003</v>
      </c>
      <c r="I332" s="193">
        <f t="shared" si="28"/>
        <v>0.73087206843834374</v>
      </c>
      <c r="J332" s="229"/>
      <c r="K332" s="193"/>
      <c r="L332" s="195"/>
      <c r="M332" s="193"/>
      <c r="N332" s="229"/>
      <c r="O332" s="193"/>
      <c r="P332" s="3"/>
      <c r="Q332" s="196"/>
      <c r="R332" s="194"/>
      <c r="S332" s="193"/>
      <c r="T332" s="193"/>
      <c r="U332" s="197">
        <v>9999</v>
      </c>
      <c r="V332" s="196">
        <v>20525.95</v>
      </c>
      <c r="W332" s="196">
        <f t="shared" si="32"/>
        <v>2.052800280028003</v>
      </c>
      <c r="X332" s="197">
        <v>1658</v>
      </c>
      <c r="Y332" s="196">
        <v>4764.99</v>
      </c>
      <c r="Z332" s="196">
        <f t="shared" si="29"/>
        <v>2.8739384800965015</v>
      </c>
      <c r="AA332" s="95"/>
      <c r="AB332" s="193">
        <v>0</v>
      </c>
      <c r="AC332" s="193"/>
      <c r="AD332" s="197">
        <v>3171674</v>
      </c>
      <c r="AE332" s="197">
        <f>VLOOKUP(B332,Reference!A:B,2,0)</f>
        <v>17469.099999999999</v>
      </c>
    </row>
    <row r="333" spans="1:31">
      <c r="A333" s="3">
        <v>2007</v>
      </c>
      <c r="B333" s="3" t="s">
        <v>456</v>
      </c>
      <c r="C333" s="191">
        <v>39114</v>
      </c>
      <c r="D333" s="192">
        <v>2750267</v>
      </c>
      <c r="E333" s="193">
        <v>221944.78</v>
      </c>
      <c r="F333" s="227">
        <f t="shared" si="27"/>
        <v>8.069935755328482E-2</v>
      </c>
      <c r="G333" s="194">
        <v>101061</v>
      </c>
      <c r="H333" s="193">
        <v>73736.34</v>
      </c>
      <c r="I333" s="193">
        <f t="shared" si="28"/>
        <v>0.72962210941906369</v>
      </c>
      <c r="J333" s="229"/>
      <c r="K333" s="193"/>
      <c r="L333" s="195"/>
      <c r="M333" s="193"/>
      <c r="N333" s="229"/>
      <c r="O333" s="193"/>
      <c r="P333" s="3"/>
      <c r="Q333" s="196"/>
      <c r="R333" s="194"/>
      <c r="S333" s="193"/>
      <c r="T333" s="193"/>
      <c r="U333" s="197">
        <v>9849</v>
      </c>
      <c r="V333" s="196">
        <v>20218.03</v>
      </c>
      <c r="W333" s="196">
        <f t="shared" si="32"/>
        <v>2.0528002842928217</v>
      </c>
      <c r="X333" s="197">
        <v>1638</v>
      </c>
      <c r="Y333" s="196">
        <v>4707.51</v>
      </c>
      <c r="Z333" s="196">
        <f t="shared" si="29"/>
        <v>2.873937728937729</v>
      </c>
      <c r="AA333" s="95"/>
      <c r="AB333" s="193">
        <v>0</v>
      </c>
      <c r="AC333" s="193"/>
      <c r="AD333" s="197">
        <v>3171674</v>
      </c>
      <c r="AE333" s="197">
        <f>VLOOKUP(B333,Reference!A:B,2,0)</f>
        <v>17469.099999999999</v>
      </c>
    </row>
    <row r="334" spans="1:31">
      <c r="A334" s="3">
        <v>2007</v>
      </c>
      <c r="B334" s="3" t="s">
        <v>456</v>
      </c>
      <c r="C334" s="191">
        <v>39142</v>
      </c>
      <c r="D334" s="192">
        <v>2990450</v>
      </c>
      <c r="E334" s="193">
        <v>235574.1</v>
      </c>
      <c r="F334" s="227">
        <f t="shared" si="27"/>
        <v>7.8775468574963634E-2</v>
      </c>
      <c r="G334" s="194">
        <v>78067</v>
      </c>
      <c r="H334" s="193">
        <v>57081</v>
      </c>
      <c r="I334" s="193">
        <f t="shared" si="28"/>
        <v>0.73117962775564582</v>
      </c>
      <c r="J334" s="229"/>
      <c r="K334" s="193"/>
      <c r="L334" s="195"/>
      <c r="M334" s="193"/>
      <c r="N334" s="229"/>
      <c r="O334" s="193"/>
      <c r="P334" s="3"/>
      <c r="Q334" s="196"/>
      <c r="R334" s="194"/>
      <c r="S334" s="193"/>
      <c r="T334" s="193"/>
      <c r="U334" s="197">
        <v>9874</v>
      </c>
      <c r="V334" s="196">
        <v>21056.61</v>
      </c>
      <c r="W334" s="196">
        <f t="shared" si="32"/>
        <v>2.13253088920397</v>
      </c>
      <c r="X334" s="197">
        <v>1636</v>
      </c>
      <c r="Y334" s="196">
        <v>4701.7700000000004</v>
      </c>
      <c r="Z334" s="196">
        <f t="shared" si="29"/>
        <v>2.8739425427872862</v>
      </c>
      <c r="AA334" s="95"/>
      <c r="AB334" s="193">
        <v>0</v>
      </c>
      <c r="AC334" s="193"/>
      <c r="AD334" s="197">
        <v>3171674</v>
      </c>
      <c r="AE334" s="197">
        <f>VLOOKUP(B334,Reference!A:B,2,0)</f>
        <v>17469.099999999999</v>
      </c>
    </row>
    <row r="335" spans="1:31">
      <c r="A335" s="3">
        <v>2007</v>
      </c>
      <c r="B335" s="3" t="s">
        <v>456</v>
      </c>
      <c r="C335" s="191">
        <v>39173</v>
      </c>
      <c r="D335" s="192">
        <v>2950162</v>
      </c>
      <c r="E335" s="193">
        <v>243281.37</v>
      </c>
      <c r="F335" s="227">
        <f t="shared" si="27"/>
        <v>8.2463732500113546E-2</v>
      </c>
      <c r="G335" s="194">
        <v>79977</v>
      </c>
      <c r="H335" s="193">
        <v>61217.11</v>
      </c>
      <c r="I335" s="193">
        <f t="shared" si="28"/>
        <v>0.76543393725696141</v>
      </c>
      <c r="J335" s="229"/>
      <c r="K335" s="193"/>
      <c r="L335" s="195"/>
      <c r="M335" s="193"/>
      <c r="N335" s="229"/>
      <c r="O335" s="193"/>
      <c r="P335" s="3"/>
      <c r="Q335" s="196"/>
      <c r="R335" s="194"/>
      <c r="S335" s="193"/>
      <c r="T335" s="193"/>
      <c r="U335" s="197">
        <v>11982</v>
      </c>
      <c r="V335" s="196">
        <v>27364.49</v>
      </c>
      <c r="W335" s="196">
        <f t="shared" si="32"/>
        <v>2.2837998664663663</v>
      </c>
      <c r="X335" s="197">
        <v>1977</v>
      </c>
      <c r="Y335" s="196">
        <v>5681.78</v>
      </c>
      <c r="Z335" s="196">
        <f t="shared" si="29"/>
        <v>2.8739403136064743</v>
      </c>
      <c r="AA335" s="95"/>
      <c r="AB335" s="193">
        <v>0</v>
      </c>
      <c r="AC335" s="193"/>
      <c r="AD335" s="197">
        <v>3171674</v>
      </c>
      <c r="AE335" s="197">
        <f>VLOOKUP(B335,Reference!A:B,2,0)</f>
        <v>17469.099999999999</v>
      </c>
    </row>
    <row r="336" spans="1:31">
      <c r="A336" s="3">
        <v>2007</v>
      </c>
      <c r="B336" s="3" t="s">
        <v>456</v>
      </c>
      <c r="C336" s="191">
        <v>39203</v>
      </c>
      <c r="D336" s="192">
        <v>3183974</v>
      </c>
      <c r="E336" s="193">
        <v>252294.89</v>
      </c>
      <c r="F336" s="227">
        <f t="shared" si="27"/>
        <v>7.9238991901315781E-2</v>
      </c>
      <c r="G336" s="194">
        <v>56451</v>
      </c>
      <c r="H336" s="193">
        <v>46827.74</v>
      </c>
      <c r="I336" s="193">
        <f t="shared" si="28"/>
        <v>0.82952897202883913</v>
      </c>
      <c r="J336" s="229"/>
      <c r="K336" s="193"/>
      <c r="L336" s="195"/>
      <c r="M336" s="193"/>
      <c r="N336" s="229"/>
      <c r="O336" s="193"/>
      <c r="P336" s="3"/>
      <c r="Q336" s="196"/>
      <c r="R336" s="194"/>
      <c r="S336" s="193"/>
      <c r="T336" s="193"/>
      <c r="U336" s="197">
        <v>12997</v>
      </c>
      <c r="V336" s="196">
        <v>31126.400000000001</v>
      </c>
      <c r="W336" s="196">
        <f t="shared" si="32"/>
        <v>2.3948911287220129</v>
      </c>
      <c r="X336" s="197">
        <v>2141</v>
      </c>
      <c r="Y336" s="196">
        <v>6153.11</v>
      </c>
      <c r="Z336" s="196">
        <f t="shared" si="29"/>
        <v>2.8739420831387199</v>
      </c>
      <c r="AA336" s="95"/>
      <c r="AB336" s="193">
        <v>0</v>
      </c>
      <c r="AC336" s="193"/>
      <c r="AD336" s="197">
        <v>3171674</v>
      </c>
      <c r="AE336" s="197">
        <f>VLOOKUP(B336,Reference!A:B,2,0)</f>
        <v>17469.099999999999</v>
      </c>
    </row>
    <row r="337" spans="1:31">
      <c r="A337" s="3">
        <v>2007</v>
      </c>
      <c r="B337" s="3" t="s">
        <v>456</v>
      </c>
      <c r="C337" s="191">
        <v>39234</v>
      </c>
      <c r="D337" s="192">
        <v>3014502</v>
      </c>
      <c r="E337" s="193">
        <v>242127.66</v>
      </c>
      <c r="F337" s="227">
        <f t="shared" si="27"/>
        <v>8.032094853478286E-2</v>
      </c>
      <c r="G337" s="194">
        <v>32843</v>
      </c>
      <c r="H337" s="193">
        <v>29049.1</v>
      </c>
      <c r="I337" s="193">
        <f t="shared" si="28"/>
        <v>0.88448375605151774</v>
      </c>
      <c r="J337" s="229"/>
      <c r="K337" s="193"/>
      <c r="L337" s="195"/>
      <c r="M337" s="193"/>
      <c r="N337" s="229"/>
      <c r="O337" s="193"/>
      <c r="P337" s="3"/>
      <c r="Q337" s="196"/>
      <c r="R337" s="194"/>
      <c r="S337" s="193"/>
      <c r="T337" s="193"/>
      <c r="U337" s="197">
        <v>13846</v>
      </c>
      <c r="V337" s="196">
        <v>37724.15</v>
      </c>
      <c r="W337" s="196">
        <f t="shared" si="32"/>
        <v>2.7245522172468584</v>
      </c>
      <c r="X337" s="197">
        <v>2284</v>
      </c>
      <c r="Y337" s="196">
        <v>6708.3099999999995</v>
      </c>
      <c r="Z337" s="196">
        <f t="shared" si="29"/>
        <v>2.9370884413309981</v>
      </c>
      <c r="AA337" s="95"/>
      <c r="AB337" s="193">
        <v>0</v>
      </c>
      <c r="AC337" s="193"/>
      <c r="AD337" s="197">
        <v>3171674</v>
      </c>
      <c r="AE337" s="197">
        <f>VLOOKUP(B337,Reference!A:B,2,0)</f>
        <v>17469.099999999999</v>
      </c>
    </row>
    <row r="338" spans="1:31">
      <c r="A338" s="3">
        <v>2007</v>
      </c>
      <c r="B338" s="3" t="s">
        <v>457</v>
      </c>
      <c r="C338" s="191">
        <v>39264</v>
      </c>
      <c r="D338" s="192">
        <v>3393015</v>
      </c>
      <c r="E338" s="193">
        <v>265380.32</v>
      </c>
      <c r="F338" s="227">
        <f t="shared" si="27"/>
        <v>7.8213718477519262E-2</v>
      </c>
      <c r="G338" s="194">
        <v>13380</v>
      </c>
      <c r="H338" s="193">
        <v>11422.94</v>
      </c>
      <c r="I338" s="193">
        <f t="shared" si="28"/>
        <v>0.85373243647234687</v>
      </c>
      <c r="J338" s="229">
        <v>90.5</v>
      </c>
      <c r="K338" s="193">
        <v>280.18</v>
      </c>
      <c r="L338" s="195">
        <v>1913.25</v>
      </c>
      <c r="M338" s="193">
        <v>6268.0641312499993</v>
      </c>
      <c r="N338" s="229">
        <v>85.35</v>
      </c>
      <c r="O338" s="193">
        <v>264.40027500000002</v>
      </c>
      <c r="P338" s="3">
        <v>44.67</v>
      </c>
      <c r="Q338" s="196">
        <v>76.094229000000013</v>
      </c>
      <c r="R338" s="194"/>
      <c r="S338" s="193"/>
      <c r="T338" s="193"/>
      <c r="U338" s="197">
        <v>13362</v>
      </c>
      <c r="V338" s="196">
        <v>38103.230000000003</v>
      </c>
      <c r="W338" s="196">
        <f t="shared" si="32"/>
        <v>2.8516112857356686</v>
      </c>
      <c r="X338" s="197">
        <v>2200</v>
      </c>
      <c r="Y338" s="196">
        <v>6766.35</v>
      </c>
      <c r="Z338" s="196">
        <f t="shared" si="29"/>
        <v>3.0756136363636366</v>
      </c>
      <c r="AA338" s="95">
        <v>123.25</v>
      </c>
      <c r="AB338" s="193">
        <v>12344</v>
      </c>
      <c r="AC338" s="198">
        <v>0.5</v>
      </c>
      <c r="AD338" s="197">
        <v>2659919.39</v>
      </c>
      <c r="AE338" s="197">
        <f>VLOOKUP(B338,Reference!A:B,2,0)</f>
        <v>18026.599999999999</v>
      </c>
    </row>
    <row r="339" spans="1:31">
      <c r="A339" s="3">
        <v>2007</v>
      </c>
      <c r="B339" s="3" t="s">
        <v>457</v>
      </c>
      <c r="C339" s="191">
        <v>39295</v>
      </c>
      <c r="D339" s="192">
        <v>3413793</v>
      </c>
      <c r="E339" s="193">
        <v>265969.73</v>
      </c>
      <c r="F339" s="227">
        <f t="shared" si="27"/>
        <v>7.791032731041396E-2</v>
      </c>
      <c r="G339" s="194">
        <v>10834</v>
      </c>
      <c r="H339" s="193">
        <v>8541.6200000000008</v>
      </c>
      <c r="I339" s="193">
        <f t="shared" si="28"/>
        <v>0.78840871330995022</v>
      </c>
      <c r="J339" s="229">
        <v>90.5</v>
      </c>
      <c r="K339" s="193">
        <v>280.18347499999999</v>
      </c>
      <c r="L339" s="195">
        <v>2404.02</v>
      </c>
      <c r="M339" s="193">
        <v>7264.5341312499995</v>
      </c>
      <c r="N339" s="229">
        <v>55.9</v>
      </c>
      <c r="O339" s="193">
        <v>171.830275</v>
      </c>
      <c r="P339" s="3">
        <v>44.67</v>
      </c>
      <c r="Q339" s="196">
        <v>76.094229000000013</v>
      </c>
      <c r="R339" s="194"/>
      <c r="S339" s="193"/>
      <c r="T339" s="193"/>
      <c r="U339" s="197">
        <v>13110</v>
      </c>
      <c r="V339" s="196">
        <v>37595.300000000003</v>
      </c>
      <c r="W339" s="196">
        <f t="shared" si="32"/>
        <v>2.86768115942029</v>
      </c>
      <c r="X339" s="197">
        <v>2154</v>
      </c>
      <c r="Y339" s="196">
        <v>6624.89</v>
      </c>
      <c r="Z339" s="196">
        <f t="shared" si="29"/>
        <v>3.0756220984215417</v>
      </c>
      <c r="AA339" s="95">
        <v>137.03</v>
      </c>
      <c r="AB339" s="193">
        <v>14915</v>
      </c>
      <c r="AC339" s="198">
        <v>0.5</v>
      </c>
      <c r="AD339" s="197">
        <v>2659919.39</v>
      </c>
      <c r="AE339" s="197">
        <f>VLOOKUP(B339,Reference!A:B,2,0)</f>
        <v>18026.599999999999</v>
      </c>
    </row>
    <row r="340" spans="1:31">
      <c r="A340" s="3">
        <v>2007</v>
      </c>
      <c r="B340" s="3" t="s">
        <v>457</v>
      </c>
      <c r="C340" s="191">
        <v>39326</v>
      </c>
      <c r="D340" s="192">
        <v>3075501</v>
      </c>
      <c r="E340" s="193">
        <v>248084.97</v>
      </c>
      <c r="F340" s="227">
        <f t="shared" si="27"/>
        <v>8.0664896548562334E-2</v>
      </c>
      <c r="G340" s="194">
        <v>16294</v>
      </c>
      <c r="H340" s="193">
        <v>12810.51</v>
      </c>
      <c r="I340" s="193">
        <f t="shared" si="28"/>
        <v>0.78621026144593098</v>
      </c>
      <c r="J340" s="229">
        <v>90.5</v>
      </c>
      <c r="K340" s="193">
        <v>273.03193874999999</v>
      </c>
      <c r="L340" s="195">
        <v>2395.3200000000002</v>
      </c>
      <c r="M340" s="193">
        <v>7185.6476843750006</v>
      </c>
      <c r="N340" s="229">
        <v>143.03</v>
      </c>
      <c r="O340" s="193">
        <v>432.89895249999995</v>
      </c>
      <c r="P340" s="3">
        <v>44.67</v>
      </c>
      <c r="Q340" s="196">
        <v>76.094229000000013</v>
      </c>
      <c r="R340" s="194"/>
      <c r="S340" s="193"/>
      <c r="T340" s="193"/>
      <c r="U340" s="197">
        <v>13976</v>
      </c>
      <c r="V340" s="196">
        <v>41030.92</v>
      </c>
      <c r="W340" s="196">
        <f t="shared" si="32"/>
        <v>2.9358128219805377</v>
      </c>
      <c r="X340" s="197">
        <v>2280</v>
      </c>
      <c r="Y340" s="196">
        <v>7012.41</v>
      </c>
      <c r="Z340" s="196">
        <f t="shared" si="29"/>
        <v>3.0756184210526314</v>
      </c>
      <c r="AA340" s="95">
        <v>138</v>
      </c>
      <c r="AB340" s="193">
        <v>12472</v>
      </c>
      <c r="AC340" s="198">
        <v>0.5</v>
      </c>
      <c r="AD340" s="197">
        <v>2659919.39</v>
      </c>
      <c r="AE340" s="197">
        <f>VLOOKUP(B340,Reference!A:B,2,0)</f>
        <v>18026.599999999999</v>
      </c>
    </row>
    <row r="341" spans="1:31">
      <c r="A341" s="3">
        <v>2007</v>
      </c>
      <c r="B341" s="3" t="s">
        <v>457</v>
      </c>
      <c r="C341" s="191">
        <v>39356</v>
      </c>
      <c r="D341" s="192">
        <v>3250665</v>
      </c>
      <c r="E341" s="193">
        <v>265623.57</v>
      </c>
      <c r="F341" s="227">
        <f t="shared" si="27"/>
        <v>8.1713609369159848E-2</v>
      </c>
      <c r="G341" s="194">
        <v>48275</v>
      </c>
      <c r="H341" s="193">
        <v>36295.839999999997</v>
      </c>
      <c r="I341" s="193">
        <f t="shared" si="28"/>
        <v>0.75185582599689271</v>
      </c>
      <c r="J341" s="229">
        <v>90.5</v>
      </c>
      <c r="K341" s="193">
        <v>273.03193874999999</v>
      </c>
      <c r="L341" s="195">
        <v>2563.0100000000002</v>
      </c>
      <c r="M341" s="193">
        <v>8187.8576843750006</v>
      </c>
      <c r="N341" s="229">
        <v>148.17000000000002</v>
      </c>
      <c r="O341" s="193">
        <v>456.97895249999999</v>
      </c>
      <c r="P341" s="3">
        <v>44.67</v>
      </c>
      <c r="Q341" s="196">
        <v>76.094229000000013</v>
      </c>
      <c r="R341" s="194"/>
      <c r="S341" s="193"/>
      <c r="T341" s="193"/>
      <c r="U341" s="197">
        <v>11008</v>
      </c>
      <c r="V341" s="196">
        <v>31416.92</v>
      </c>
      <c r="W341" s="196">
        <f t="shared" si="32"/>
        <v>2.8540079941860466</v>
      </c>
      <c r="X341" s="197">
        <v>1808</v>
      </c>
      <c r="Y341" s="196">
        <v>5560.71</v>
      </c>
      <c r="Z341" s="196">
        <f t="shared" si="29"/>
        <v>3.0756139380530976</v>
      </c>
      <c r="AA341" s="95">
        <v>129.19</v>
      </c>
      <c r="AB341" s="193">
        <v>13321.8</v>
      </c>
      <c r="AC341" s="198">
        <v>0.5</v>
      </c>
      <c r="AD341" s="197">
        <v>2659919.39</v>
      </c>
      <c r="AE341" s="197">
        <f>VLOOKUP(B341,Reference!A:B,2,0)</f>
        <v>18026.599999999999</v>
      </c>
    </row>
    <row r="342" spans="1:31">
      <c r="A342" s="3">
        <v>2007</v>
      </c>
      <c r="B342" s="3" t="s">
        <v>457</v>
      </c>
      <c r="C342" s="191">
        <v>39387</v>
      </c>
      <c r="D342" s="192">
        <v>2979092</v>
      </c>
      <c r="E342" s="193">
        <v>244598.57</v>
      </c>
      <c r="F342" s="227">
        <f t="shared" si="27"/>
        <v>8.2105074297806183E-2</v>
      </c>
      <c r="G342" s="194">
        <v>72569</v>
      </c>
      <c r="H342" s="193">
        <v>52997.29</v>
      </c>
      <c r="I342" s="193">
        <f t="shared" si="28"/>
        <v>0.73030205735231302</v>
      </c>
      <c r="J342" s="229">
        <v>90.5</v>
      </c>
      <c r="K342" s="193">
        <v>273.03193874999999</v>
      </c>
      <c r="L342" s="195">
        <v>1906.87</v>
      </c>
      <c r="M342" s="193">
        <v>6575.6276843750002</v>
      </c>
      <c r="N342" s="229">
        <v>138.57</v>
      </c>
      <c r="O342" s="193">
        <v>434.10895249999999</v>
      </c>
      <c r="P342" s="3">
        <v>0</v>
      </c>
      <c r="Q342" s="196">
        <v>0</v>
      </c>
      <c r="R342" s="194"/>
      <c r="S342" s="193"/>
      <c r="T342" s="193"/>
      <c r="U342" s="197">
        <v>11028</v>
      </c>
      <c r="V342" s="196">
        <v>27690.09</v>
      </c>
      <c r="W342" s="196">
        <f t="shared" si="32"/>
        <v>2.5108895538628944</v>
      </c>
      <c r="X342" s="197">
        <v>3338</v>
      </c>
      <c r="Y342" s="196">
        <v>10266.42</v>
      </c>
      <c r="Z342" s="196">
        <f t="shared" si="29"/>
        <v>3.0756201318154583</v>
      </c>
      <c r="AA342" s="95">
        <v>126.08</v>
      </c>
      <c r="AB342" s="193">
        <v>13919</v>
      </c>
      <c r="AC342" s="198">
        <v>0.5</v>
      </c>
      <c r="AD342" s="197">
        <v>2659919.39</v>
      </c>
      <c r="AE342" s="197">
        <f>VLOOKUP(B342,Reference!A:B,2,0)</f>
        <v>18026.599999999999</v>
      </c>
    </row>
    <row r="343" spans="1:31">
      <c r="A343" s="3">
        <v>2007</v>
      </c>
      <c r="B343" s="3" t="s">
        <v>457</v>
      </c>
      <c r="C343" s="191">
        <v>39417</v>
      </c>
      <c r="D343" s="192">
        <v>2650216</v>
      </c>
      <c r="E343" s="193">
        <v>220552.07</v>
      </c>
      <c r="F343" s="227">
        <f t="shared" si="27"/>
        <v>8.3220412977659183E-2</v>
      </c>
      <c r="G343" s="194">
        <v>94968</v>
      </c>
      <c r="H343" s="193">
        <v>69827.02</v>
      </c>
      <c r="I343" s="193">
        <f t="shared" si="28"/>
        <v>0.73526893269311777</v>
      </c>
      <c r="J343" s="229">
        <v>0</v>
      </c>
      <c r="K343" s="193">
        <v>0</v>
      </c>
      <c r="L343" s="195">
        <v>1743.07</v>
      </c>
      <c r="M343" s="193">
        <v>5917.0276843750007</v>
      </c>
      <c r="N343" s="229">
        <v>201.5</v>
      </c>
      <c r="O343" s="193">
        <v>607.91089125000008</v>
      </c>
      <c r="P343" s="3">
        <v>0</v>
      </c>
      <c r="Q343" s="196">
        <v>0</v>
      </c>
      <c r="R343" s="194"/>
      <c r="S343" s="193"/>
      <c r="T343" s="193"/>
      <c r="U343" s="197">
        <v>7749</v>
      </c>
      <c r="V343" s="196">
        <v>19821.900000000001</v>
      </c>
      <c r="W343" s="196">
        <f t="shared" si="32"/>
        <v>2.5579945799457997</v>
      </c>
      <c r="X343" s="197">
        <v>2356</v>
      </c>
      <c r="Y343" s="196">
        <v>7246.17</v>
      </c>
      <c r="Z343" s="196">
        <f t="shared" si="29"/>
        <v>3.0756239388794566</v>
      </c>
      <c r="AA343" s="95">
        <v>117.39</v>
      </c>
      <c r="AB343" s="193">
        <v>11420</v>
      </c>
      <c r="AC343" s="198">
        <v>0.5</v>
      </c>
      <c r="AD343" s="197">
        <v>2659919.39</v>
      </c>
      <c r="AE343" s="197">
        <f>VLOOKUP(B343,Reference!A:B,2,0)</f>
        <v>18026.599999999999</v>
      </c>
    </row>
    <row r="344" spans="1:31">
      <c r="A344" s="3">
        <v>2008</v>
      </c>
      <c r="B344" s="3" t="s">
        <v>457</v>
      </c>
      <c r="C344" s="191">
        <v>39448</v>
      </c>
      <c r="D344" s="192">
        <v>2978582.5</v>
      </c>
      <c r="E344" s="193">
        <v>247837.7</v>
      </c>
      <c r="F344" s="227">
        <f t="shared" si="27"/>
        <v>8.3206592397558232E-2</v>
      </c>
      <c r="G344" s="194">
        <v>134662</v>
      </c>
      <c r="H344" s="193">
        <v>101813.28</v>
      </c>
      <c r="I344" s="193">
        <f t="shared" si="28"/>
        <v>0.75606540820721513</v>
      </c>
      <c r="J344" s="229">
        <v>0</v>
      </c>
      <c r="K344" s="193">
        <v>0</v>
      </c>
      <c r="L344" s="195">
        <v>2257.75</v>
      </c>
      <c r="M344" s="193">
        <v>7705.7152706249999</v>
      </c>
      <c r="N344" s="229">
        <v>124.45</v>
      </c>
      <c r="O344" s="193">
        <v>418.078953125</v>
      </c>
      <c r="P344" s="3">
        <v>0</v>
      </c>
      <c r="Q344" s="196">
        <v>0</v>
      </c>
      <c r="R344" s="194"/>
      <c r="S344" s="193"/>
      <c r="T344" s="193"/>
      <c r="U344" s="197">
        <v>7997</v>
      </c>
      <c r="V344" s="196">
        <v>21175.17</v>
      </c>
      <c r="W344" s="196">
        <f t="shared" si="32"/>
        <v>2.6478892084531696</v>
      </c>
      <c r="X344" s="197">
        <v>2426</v>
      </c>
      <c r="Y344" s="196">
        <v>7461.45</v>
      </c>
      <c r="Z344" s="196">
        <f t="shared" si="29"/>
        <v>3.0756183017312448</v>
      </c>
      <c r="AA344" s="95">
        <v>118.71</v>
      </c>
      <c r="AB344" s="193">
        <v>11613</v>
      </c>
      <c r="AC344" s="198">
        <v>0.5</v>
      </c>
      <c r="AD344" s="197">
        <v>2950117.39</v>
      </c>
      <c r="AE344" s="197">
        <f>VLOOKUP(B344,Reference!A:B,2,0)</f>
        <v>18026.599999999999</v>
      </c>
    </row>
    <row r="345" spans="1:31">
      <c r="A345" s="3">
        <v>2008</v>
      </c>
      <c r="B345" s="3" t="s">
        <v>457</v>
      </c>
      <c r="C345" s="191">
        <v>39479</v>
      </c>
      <c r="D345" s="192">
        <v>2927131.5</v>
      </c>
      <c r="E345" s="193">
        <v>246232.29</v>
      </c>
      <c r="F345" s="227">
        <f t="shared" si="27"/>
        <v>8.4120679238360155E-2</v>
      </c>
      <c r="G345" s="194">
        <v>103203</v>
      </c>
      <c r="H345" s="193">
        <v>78231.28</v>
      </c>
      <c r="I345" s="193">
        <f t="shared" si="28"/>
        <v>0.75803300291658182</v>
      </c>
      <c r="J345" s="229">
        <v>0</v>
      </c>
      <c r="K345" s="193">
        <v>0</v>
      </c>
      <c r="L345" s="195">
        <v>2171.9899999999998</v>
      </c>
      <c r="M345" s="193">
        <v>7196.7352706250003</v>
      </c>
      <c r="N345" s="229">
        <v>123.34</v>
      </c>
      <c r="O345" s="193">
        <v>411.578953125</v>
      </c>
      <c r="P345" s="3">
        <v>0</v>
      </c>
      <c r="Q345" s="196">
        <v>0</v>
      </c>
      <c r="R345" s="194"/>
      <c r="S345" s="193"/>
      <c r="T345" s="193"/>
      <c r="U345" s="197">
        <v>8963</v>
      </c>
      <c r="V345" s="196">
        <v>23733.03</v>
      </c>
      <c r="W345" s="196">
        <f t="shared" si="32"/>
        <v>2.6478890996318194</v>
      </c>
      <c r="X345" s="197">
        <v>2737</v>
      </c>
      <c r="Y345" s="196">
        <v>8417.9699999999993</v>
      </c>
      <c r="Z345" s="196">
        <f t="shared" si="29"/>
        <v>3.0756192911947386</v>
      </c>
      <c r="AA345" s="95">
        <v>55.43</v>
      </c>
      <c r="AB345" s="193">
        <v>6040.35</v>
      </c>
      <c r="AC345" s="198">
        <v>0.5</v>
      </c>
      <c r="AD345" s="197">
        <v>2950117.39</v>
      </c>
      <c r="AE345" s="197">
        <f>VLOOKUP(B345,Reference!A:B,2,0)</f>
        <v>18026.599999999999</v>
      </c>
    </row>
    <row r="346" spans="1:31">
      <c r="A346" s="3">
        <v>2008</v>
      </c>
      <c r="B346" s="3" t="s">
        <v>457</v>
      </c>
      <c r="C346" s="191">
        <v>39508</v>
      </c>
      <c r="D346" s="192">
        <v>3156603</v>
      </c>
      <c r="E346" s="193">
        <v>256804.94</v>
      </c>
      <c r="F346" s="227">
        <f t="shared" si="27"/>
        <v>8.1354842531670912E-2</v>
      </c>
      <c r="G346" s="194">
        <v>84648</v>
      </c>
      <c r="H346" s="193">
        <v>66184.14</v>
      </c>
      <c r="I346" s="193">
        <f t="shared" si="28"/>
        <v>0.78187482279557696</v>
      </c>
      <c r="J346" s="229">
        <v>0</v>
      </c>
      <c r="K346" s="193">
        <v>0</v>
      </c>
      <c r="L346" s="195">
        <v>2323.69</v>
      </c>
      <c r="M346" s="193">
        <v>8505.3252706250005</v>
      </c>
      <c r="N346" s="229">
        <v>141.47999999999999</v>
      </c>
      <c r="O346" s="193">
        <v>499.03895312500003</v>
      </c>
      <c r="P346" s="3">
        <v>0</v>
      </c>
      <c r="Q346" s="196">
        <v>0</v>
      </c>
      <c r="R346" s="194"/>
      <c r="S346" s="193"/>
      <c r="T346" s="193"/>
      <c r="U346" s="197">
        <v>10113</v>
      </c>
      <c r="V346" s="196">
        <v>26987.45</v>
      </c>
      <c r="W346" s="196">
        <f t="shared" si="32"/>
        <v>2.6685899337486405</v>
      </c>
      <c r="X346" s="197">
        <v>3069</v>
      </c>
      <c r="Y346" s="196">
        <v>9439.08</v>
      </c>
      <c r="Z346" s="196">
        <f t="shared" si="29"/>
        <v>3.0756207233626589</v>
      </c>
      <c r="AA346" s="95">
        <v>68.41</v>
      </c>
      <c r="AB346" s="193">
        <v>7015.35</v>
      </c>
      <c r="AC346" s="198">
        <v>0.54</v>
      </c>
      <c r="AD346" s="197">
        <v>2950117.39</v>
      </c>
      <c r="AE346" s="197">
        <f>VLOOKUP(B346,Reference!A:B,2,0)</f>
        <v>18026.599999999999</v>
      </c>
    </row>
    <row r="347" spans="1:31">
      <c r="A347" s="3">
        <v>2008</v>
      </c>
      <c r="B347" s="3" t="s">
        <v>457</v>
      </c>
      <c r="C347" s="191">
        <v>39539</v>
      </c>
      <c r="D347" s="192">
        <v>3141411</v>
      </c>
      <c r="E347" s="193">
        <v>264349.89</v>
      </c>
      <c r="F347" s="227">
        <f t="shared" si="27"/>
        <v>8.4150049133971963E-2</v>
      </c>
      <c r="G347" s="194">
        <v>66462</v>
      </c>
      <c r="H347" s="193">
        <v>66143.650000000009</v>
      </c>
      <c r="I347" s="193">
        <f t="shared" si="28"/>
        <v>0.99521004483765174</v>
      </c>
      <c r="J347" s="229">
        <v>0</v>
      </c>
      <c r="K347" s="193">
        <v>0</v>
      </c>
      <c r="L347" s="195">
        <v>1630.4</v>
      </c>
      <c r="M347" s="193">
        <v>6464.2452706250006</v>
      </c>
      <c r="N347" s="229">
        <v>125.03999999999999</v>
      </c>
      <c r="O347" s="193">
        <v>439.10895312500003</v>
      </c>
      <c r="P347" s="3">
        <v>0</v>
      </c>
      <c r="Q347" s="196">
        <v>0</v>
      </c>
      <c r="R347" s="194"/>
      <c r="S347" s="193"/>
      <c r="T347" s="193"/>
      <c r="U347" s="197">
        <v>13758</v>
      </c>
      <c r="V347" s="196">
        <v>37255.15</v>
      </c>
      <c r="W347" s="196">
        <f t="shared" si="32"/>
        <v>2.7078899549353106</v>
      </c>
      <c r="X347" s="197">
        <v>4172</v>
      </c>
      <c r="Y347" s="196">
        <v>12831.49</v>
      </c>
      <c r="Z347" s="196">
        <f t="shared" si="29"/>
        <v>3.0756208053691276</v>
      </c>
      <c r="AA347" s="95">
        <v>48.76</v>
      </c>
      <c r="AB347" s="193">
        <v>5065.3500000000004</v>
      </c>
      <c r="AC347" s="198">
        <v>0.54</v>
      </c>
      <c r="AD347" s="197">
        <v>2950117.39</v>
      </c>
      <c r="AE347" s="197">
        <f>VLOOKUP(B347,Reference!A:B,2,0)</f>
        <v>18026.599999999999</v>
      </c>
    </row>
    <row r="348" spans="1:31">
      <c r="A348" s="3">
        <v>2008</v>
      </c>
      <c r="B348" s="3" t="s">
        <v>457</v>
      </c>
      <c r="C348" s="191">
        <v>39569</v>
      </c>
      <c r="D348" s="192">
        <v>3170519</v>
      </c>
      <c r="E348" s="193">
        <v>269954.93</v>
      </c>
      <c r="F348" s="227">
        <f t="shared" si="27"/>
        <v>8.5145343711865468E-2</v>
      </c>
      <c r="G348" s="194">
        <v>55387</v>
      </c>
      <c r="H348" s="193">
        <v>61735.34</v>
      </c>
      <c r="I348" s="193">
        <f t="shared" si="28"/>
        <v>1.1146178706194594</v>
      </c>
      <c r="J348" s="229">
        <v>0</v>
      </c>
      <c r="K348" s="193">
        <v>0</v>
      </c>
      <c r="L348" s="195">
        <v>2556.73</v>
      </c>
      <c r="M348" s="193">
        <v>10422.72265625</v>
      </c>
      <c r="N348" s="229">
        <v>117.29</v>
      </c>
      <c r="O348" s="193">
        <v>535.26914999999997</v>
      </c>
      <c r="P348" s="199">
        <v>56.333333333333336</v>
      </c>
      <c r="Q348" s="196">
        <v>135.59597500000001</v>
      </c>
      <c r="R348" s="194"/>
      <c r="S348" s="193"/>
      <c r="T348" s="193"/>
      <c r="U348" s="197">
        <v>12500</v>
      </c>
      <c r="V348" s="196">
        <v>34670.449999999997</v>
      </c>
      <c r="W348" s="196">
        <f t="shared" si="32"/>
        <v>2.7736359999999998</v>
      </c>
      <c r="X348" s="197">
        <v>3792</v>
      </c>
      <c r="Y348" s="196">
        <v>11662.75</v>
      </c>
      <c r="Z348" s="196">
        <f t="shared" si="29"/>
        <v>3.0756197257383966</v>
      </c>
      <c r="AA348" s="95">
        <v>42.08</v>
      </c>
      <c r="AB348" s="193">
        <v>7095.35</v>
      </c>
      <c r="AC348" s="198">
        <v>0.5</v>
      </c>
      <c r="AD348" s="197">
        <v>2966157.39</v>
      </c>
      <c r="AE348" s="197">
        <f>VLOOKUP(B348,Reference!A:B,2,0)</f>
        <v>18026.599999999999</v>
      </c>
    </row>
    <row r="349" spans="1:31">
      <c r="A349" s="3">
        <v>2008</v>
      </c>
      <c r="B349" s="3" t="s">
        <v>457</v>
      </c>
      <c r="C349" s="191">
        <v>39600</v>
      </c>
      <c r="D349" s="192">
        <v>3291929</v>
      </c>
      <c r="E349" s="193">
        <v>294616.98</v>
      </c>
      <c r="F349" s="227">
        <f>IF(D349=0,0,E349/D349)</f>
        <v>8.9496760106308484E-2</v>
      </c>
      <c r="G349" s="194">
        <v>33435</v>
      </c>
      <c r="H349" s="193">
        <v>37838.26</v>
      </c>
      <c r="I349" s="193">
        <f t="shared" si="28"/>
        <v>1.1316961268132197</v>
      </c>
      <c r="J349" s="229">
        <v>0</v>
      </c>
      <c r="K349" s="193">
        <v>0</v>
      </c>
      <c r="L349" s="195">
        <v>1966.66</v>
      </c>
      <c r="M349" s="193">
        <v>9112.2426562500004</v>
      </c>
      <c r="N349" s="229">
        <v>117.02</v>
      </c>
      <c r="O349" s="193">
        <v>549.23915</v>
      </c>
      <c r="P349" s="199">
        <v>56.333333333333336</v>
      </c>
      <c r="Q349" s="196">
        <v>135.59597500000001</v>
      </c>
      <c r="R349" s="194"/>
      <c r="S349" s="193"/>
      <c r="T349" s="193"/>
      <c r="U349" s="197">
        <v>13623</v>
      </c>
      <c r="V349" s="196">
        <v>41483.72</v>
      </c>
      <c r="W349" s="196">
        <f t="shared" si="32"/>
        <v>3.0451236878807899</v>
      </c>
      <c r="X349" s="197">
        <v>4133</v>
      </c>
      <c r="Y349" s="196">
        <v>13017.35</v>
      </c>
      <c r="Z349" s="196">
        <f t="shared" si="29"/>
        <v>3.149612872005807</v>
      </c>
      <c r="AA349" s="95">
        <v>34.82</v>
      </c>
      <c r="AB349" s="193">
        <v>7990.35</v>
      </c>
      <c r="AC349" s="198">
        <v>0.39510000000000001</v>
      </c>
      <c r="AD349" s="197">
        <v>2966157.39</v>
      </c>
      <c r="AE349" s="197">
        <f>VLOOKUP(B349,Reference!A:B,2,0)</f>
        <v>18026.599999999999</v>
      </c>
    </row>
    <row r="350" spans="1:31">
      <c r="A350" s="3">
        <v>2008</v>
      </c>
      <c r="B350" s="3" t="s">
        <v>458</v>
      </c>
      <c r="C350" s="191">
        <v>39630</v>
      </c>
      <c r="D350" s="192">
        <v>3494655</v>
      </c>
      <c r="E350" s="193">
        <v>308939.09000000003</v>
      </c>
      <c r="F350" s="227">
        <f t="shared" ref="F350:F413" si="33">IF(D350=0,0,E350/D350)</f>
        <v>8.8403315921027972E-2</v>
      </c>
      <c r="G350" s="194">
        <v>17893</v>
      </c>
      <c r="H350" s="193">
        <v>19498.97</v>
      </c>
      <c r="I350" s="193">
        <f t="shared" si="28"/>
        <v>1.0897540937796903</v>
      </c>
      <c r="J350" s="229">
        <v>0</v>
      </c>
      <c r="K350" s="193">
        <v>0</v>
      </c>
      <c r="L350" s="195">
        <v>1798.71</v>
      </c>
      <c r="M350" s="193">
        <v>8435.7026562499996</v>
      </c>
      <c r="N350" s="229">
        <v>143.25</v>
      </c>
      <c r="O350" s="193">
        <v>683.03915000000006</v>
      </c>
      <c r="P350" s="199">
        <v>56.333333333333336</v>
      </c>
      <c r="Q350" s="196">
        <v>135.59597500000001</v>
      </c>
      <c r="R350" s="194"/>
      <c r="S350" s="193"/>
      <c r="T350" s="193"/>
      <c r="U350" s="197">
        <v>14830</v>
      </c>
      <c r="V350" s="196">
        <v>47635.35</v>
      </c>
      <c r="W350" s="196">
        <f t="shared" si="32"/>
        <v>3.2120937289278491</v>
      </c>
      <c r="X350" s="197">
        <v>4503</v>
      </c>
      <c r="Y350" s="196">
        <v>14848.47</v>
      </c>
      <c r="Z350" s="196">
        <f t="shared" si="29"/>
        <v>3.2974616922051965</v>
      </c>
      <c r="AA350" s="95">
        <v>89.47</v>
      </c>
      <c r="AB350" s="193">
        <v>8640.35</v>
      </c>
      <c r="AC350" s="198">
        <v>0.37519999999999998</v>
      </c>
      <c r="AD350" s="197">
        <v>2966157.39</v>
      </c>
      <c r="AE350" s="197">
        <f>VLOOKUP(B350,Reference!A:B,2,0)</f>
        <v>17991.900000000001</v>
      </c>
    </row>
    <row r="351" spans="1:31">
      <c r="A351" s="3">
        <v>2008</v>
      </c>
      <c r="B351" s="3" t="s">
        <v>458</v>
      </c>
      <c r="C351" s="191">
        <v>39661</v>
      </c>
      <c r="D351" s="192">
        <v>3571965</v>
      </c>
      <c r="E351" s="193">
        <v>318397.96999999997</v>
      </c>
      <c r="F351" s="227">
        <f t="shared" si="33"/>
        <v>8.9138043065931483E-2</v>
      </c>
      <c r="G351" s="194">
        <v>15995</v>
      </c>
      <c r="H351" s="193">
        <v>16165.93</v>
      </c>
      <c r="I351" s="193">
        <f t="shared" si="28"/>
        <v>1.0106864645201625</v>
      </c>
      <c r="J351" s="229">
        <v>69</v>
      </c>
      <c r="K351" s="193">
        <v>316.69619999999998</v>
      </c>
      <c r="L351" s="195">
        <v>2465.6799999999998</v>
      </c>
      <c r="M351" s="193">
        <v>10542.81265625</v>
      </c>
      <c r="N351" s="229">
        <v>47.69</v>
      </c>
      <c r="O351" s="193">
        <v>224.71295000000003</v>
      </c>
      <c r="P351" s="199">
        <v>56.333333333333336</v>
      </c>
      <c r="Q351" s="196">
        <v>135.59597500000001</v>
      </c>
      <c r="R351" s="194"/>
      <c r="S351" s="193"/>
      <c r="T351" s="193"/>
      <c r="U351" s="197">
        <v>13663</v>
      </c>
      <c r="V351" s="196">
        <v>43016.28</v>
      </c>
      <c r="W351" s="196">
        <f t="shared" si="32"/>
        <v>3.1483773695381685</v>
      </c>
      <c r="X351" s="197">
        <v>4152</v>
      </c>
      <c r="Y351" s="196">
        <v>13691.06</v>
      </c>
      <c r="Z351" s="196">
        <f t="shared" si="29"/>
        <v>3.2974614643545279</v>
      </c>
      <c r="AA351" s="95">
        <v>79.27</v>
      </c>
      <c r="AB351" s="193">
        <v>6040.35</v>
      </c>
      <c r="AC351" s="198">
        <v>0.21</v>
      </c>
      <c r="AD351" s="197">
        <v>2966157.39</v>
      </c>
      <c r="AE351" s="197">
        <f>VLOOKUP(B351,Reference!A:B,2,0)</f>
        <v>17991.900000000001</v>
      </c>
    </row>
    <row r="352" spans="1:31">
      <c r="A352" s="3">
        <v>2008</v>
      </c>
      <c r="B352" s="3" t="s">
        <v>458</v>
      </c>
      <c r="C352" s="191">
        <v>39692</v>
      </c>
      <c r="D352" s="192">
        <v>3386118</v>
      </c>
      <c r="E352" s="193">
        <v>312460.36</v>
      </c>
      <c r="F352" s="227">
        <f t="shared" si="33"/>
        <v>9.2276866901862251E-2</v>
      </c>
      <c r="G352" s="194">
        <v>20919</v>
      </c>
      <c r="H352" s="193">
        <v>20290.060000000001</v>
      </c>
      <c r="I352" s="193">
        <f t="shared" si="28"/>
        <v>0.96993450929776759</v>
      </c>
      <c r="J352" s="229">
        <v>95</v>
      </c>
      <c r="K352" s="193">
        <v>381.52712500000001</v>
      </c>
      <c r="L352" s="195">
        <v>2367.98</v>
      </c>
      <c r="M352" s="193">
        <v>9306.0211062500002</v>
      </c>
      <c r="N352" s="229">
        <v>65.47</v>
      </c>
      <c r="O352" s="193">
        <v>290.38738749999999</v>
      </c>
      <c r="P352" s="199">
        <v>56.333333333333336</v>
      </c>
      <c r="Q352" s="196">
        <v>135.59597500000001</v>
      </c>
      <c r="R352" s="194"/>
      <c r="S352" s="193"/>
      <c r="T352" s="193"/>
      <c r="U352" s="197">
        <v>12843</v>
      </c>
      <c r="V352" s="196">
        <v>40614.49</v>
      </c>
      <c r="W352" s="196">
        <f t="shared" si="32"/>
        <v>3.1623833995172466</v>
      </c>
      <c r="X352" s="197">
        <v>3901</v>
      </c>
      <c r="Y352" s="196">
        <v>12863.39</v>
      </c>
      <c r="Z352" s="196">
        <f t="shared" si="29"/>
        <v>3.2974596257369906</v>
      </c>
      <c r="AA352" s="95">
        <v>80.400000000000006</v>
      </c>
      <c r="AB352" s="193">
        <v>7665.35</v>
      </c>
      <c r="AC352" s="198">
        <v>0.2</v>
      </c>
      <c r="AD352" s="197">
        <v>2966157.39</v>
      </c>
      <c r="AE352" s="197">
        <f>VLOOKUP(B352,Reference!A:B,2,0)</f>
        <v>17991.900000000001</v>
      </c>
    </row>
    <row r="353" spans="1:31">
      <c r="A353" s="3">
        <v>2008</v>
      </c>
      <c r="B353" s="3" t="s">
        <v>458</v>
      </c>
      <c r="C353" s="191">
        <v>39722</v>
      </c>
      <c r="D353" s="192">
        <v>3650709</v>
      </c>
      <c r="E353" s="193">
        <v>340144.6</v>
      </c>
      <c r="F353" s="227">
        <f t="shared" si="33"/>
        <v>9.3172202988515376E-2</v>
      </c>
      <c r="G353" s="194">
        <v>40756</v>
      </c>
      <c r="H353" s="193">
        <v>36462.769999999997</v>
      </c>
      <c r="I353" s="193">
        <f t="shared" si="28"/>
        <v>0.89466017273530274</v>
      </c>
      <c r="J353" s="229">
        <v>0</v>
      </c>
      <c r="K353" s="193">
        <v>0</v>
      </c>
      <c r="L353" s="195">
        <v>2358.29</v>
      </c>
      <c r="M353" s="193">
        <v>8556.6911062500003</v>
      </c>
      <c r="N353" s="229">
        <v>136.72999999999999</v>
      </c>
      <c r="O353" s="193">
        <v>553.83451249999996</v>
      </c>
      <c r="P353" s="199">
        <v>56.333333333333336</v>
      </c>
      <c r="Q353" s="196">
        <v>135.59597500000001</v>
      </c>
      <c r="R353" s="194"/>
      <c r="S353" s="193"/>
      <c r="T353" s="193"/>
      <c r="U353" s="197">
        <v>13955</v>
      </c>
      <c r="V353" s="196">
        <v>43744.3</v>
      </c>
      <c r="W353" s="196">
        <f t="shared" si="32"/>
        <v>3.1346685775707632</v>
      </c>
      <c r="X353" s="197">
        <v>4233</v>
      </c>
      <c r="Y353" s="196">
        <v>13958.14</v>
      </c>
      <c r="Z353" s="196">
        <f t="shared" si="29"/>
        <v>3.2974580675643752</v>
      </c>
      <c r="AA353" s="95">
        <v>88.65</v>
      </c>
      <c r="AB353" s="193">
        <v>7015.35</v>
      </c>
      <c r="AC353" s="198">
        <v>0.28000000000000003</v>
      </c>
      <c r="AD353" s="197">
        <v>2966157.39</v>
      </c>
      <c r="AE353" s="197">
        <f>VLOOKUP(B353,Reference!A:B,2,0)</f>
        <v>17991.900000000001</v>
      </c>
    </row>
    <row r="354" spans="1:31">
      <c r="A354" s="3">
        <v>2008</v>
      </c>
      <c r="B354" s="3" t="s">
        <v>458</v>
      </c>
      <c r="C354" s="191">
        <v>39753</v>
      </c>
      <c r="D354" s="192">
        <v>3277393</v>
      </c>
      <c r="E354" s="193">
        <v>303053.46999999997</v>
      </c>
      <c r="F354" s="227">
        <f t="shared" si="33"/>
        <v>9.2467845632183868E-2</v>
      </c>
      <c r="G354" s="194">
        <v>67062</v>
      </c>
      <c r="H354" s="193">
        <v>57346.01</v>
      </c>
      <c r="I354" s="193">
        <f t="shared" si="28"/>
        <v>0.85511929259491215</v>
      </c>
      <c r="J354" s="229">
        <v>80</v>
      </c>
      <c r="K354" s="193">
        <v>321.286</v>
      </c>
      <c r="L354" s="195">
        <v>2297.2199999999998</v>
      </c>
      <c r="M354" s="193">
        <v>6467.7811062500004</v>
      </c>
      <c r="N354" s="229">
        <v>69.740000000000009</v>
      </c>
      <c r="O354" s="193">
        <v>257.72851249999997</v>
      </c>
      <c r="P354" s="199">
        <v>0</v>
      </c>
      <c r="Q354" s="196">
        <v>0</v>
      </c>
      <c r="R354" s="194"/>
      <c r="S354" s="193"/>
      <c r="T354" s="193"/>
      <c r="U354" s="197">
        <v>11135</v>
      </c>
      <c r="V354" s="196">
        <v>33075.75</v>
      </c>
      <c r="W354" s="196">
        <f t="shared" si="32"/>
        <v>2.970431073192636</v>
      </c>
      <c r="X354" s="197">
        <v>3377</v>
      </c>
      <c r="Y354" s="196">
        <v>11135.53</v>
      </c>
      <c r="Z354" s="196">
        <f t="shared" si="29"/>
        <v>3.2974622445957951</v>
      </c>
      <c r="AA354" s="95">
        <v>80.95</v>
      </c>
      <c r="AB354" s="193">
        <v>8640.35</v>
      </c>
      <c r="AC354" s="198">
        <v>7.0000000000000007E-2</v>
      </c>
      <c r="AD354" s="197">
        <v>2966157.39</v>
      </c>
      <c r="AE354" s="197">
        <f>VLOOKUP(B354,Reference!A:B,2,0)</f>
        <v>17991.900000000001</v>
      </c>
    </row>
    <row r="355" spans="1:31">
      <c r="A355" s="3">
        <v>2008</v>
      </c>
      <c r="B355" s="3" t="s">
        <v>458</v>
      </c>
      <c r="C355" s="191">
        <v>39783</v>
      </c>
      <c r="D355" s="192">
        <v>2900456</v>
      </c>
      <c r="E355" s="193">
        <v>271778.8</v>
      </c>
      <c r="F355" s="227">
        <f t="shared" si="33"/>
        <v>9.3702093739742989E-2</v>
      </c>
      <c r="G355" s="194">
        <v>110269</v>
      </c>
      <c r="H355" s="193">
        <v>92792.76</v>
      </c>
      <c r="I355" s="193">
        <f t="shared" si="28"/>
        <v>0.84151266448412509</v>
      </c>
      <c r="J355" s="229">
        <v>0</v>
      </c>
      <c r="K355" s="193">
        <v>0</v>
      </c>
      <c r="L355" s="195">
        <v>1865.16</v>
      </c>
      <c r="M355" s="193">
        <v>4074.1311062499999</v>
      </c>
      <c r="N355" s="229">
        <v>33.5</v>
      </c>
      <c r="O355" s="193">
        <v>134.5385125</v>
      </c>
      <c r="P355" s="199">
        <v>0</v>
      </c>
      <c r="Q355" s="196">
        <v>0</v>
      </c>
      <c r="R355" s="194"/>
      <c r="S355" s="193"/>
      <c r="T355" s="193"/>
      <c r="U355" s="197">
        <v>5881</v>
      </c>
      <c r="V355" s="196">
        <v>17366.07</v>
      </c>
      <c r="W355" s="196">
        <f t="shared" si="32"/>
        <v>2.9529110695459955</v>
      </c>
      <c r="X355" s="197">
        <v>1791</v>
      </c>
      <c r="Y355" s="196">
        <v>5905.76</v>
      </c>
      <c r="Z355" s="196">
        <f t="shared" si="29"/>
        <v>3.297465103294249</v>
      </c>
      <c r="AA355" s="95">
        <v>50.71</v>
      </c>
      <c r="AB355" s="193">
        <v>6365.35</v>
      </c>
      <c r="AC355" s="198">
        <v>0</v>
      </c>
      <c r="AD355" s="197">
        <v>2966157.39</v>
      </c>
      <c r="AE355" s="197">
        <f>VLOOKUP(B355,Reference!A:B,2,0)</f>
        <v>17991.900000000001</v>
      </c>
    </row>
    <row r="356" spans="1:31">
      <c r="A356" s="3">
        <v>2009</v>
      </c>
      <c r="B356" s="3" t="s">
        <v>458</v>
      </c>
      <c r="C356" s="191">
        <v>39814</v>
      </c>
      <c r="D356" s="192">
        <v>3115545</v>
      </c>
      <c r="E356" s="193">
        <v>288185.78000000003</v>
      </c>
      <c r="F356" s="227">
        <f t="shared" si="33"/>
        <v>9.2499315529064749E-2</v>
      </c>
      <c r="G356" s="194">
        <v>87014</v>
      </c>
      <c r="H356" s="193">
        <v>75429.649999999994</v>
      </c>
      <c r="I356" s="193">
        <f t="shared" si="28"/>
        <v>0.86686797526834758</v>
      </c>
      <c r="J356" s="229">
        <v>840</v>
      </c>
      <c r="K356" s="193">
        <v>3646.2929999999997</v>
      </c>
      <c r="L356" s="195">
        <v>2062.15</v>
      </c>
      <c r="M356" s="193">
        <v>4334.9124250000004</v>
      </c>
      <c r="N356" s="229">
        <v>23.07</v>
      </c>
      <c r="O356" s="193">
        <v>72.42</v>
      </c>
      <c r="P356" s="199">
        <v>56.766666666666673</v>
      </c>
      <c r="Q356" s="196">
        <v>104.06419333333335</v>
      </c>
      <c r="R356" s="194"/>
      <c r="S356" s="193"/>
      <c r="T356" s="193"/>
      <c r="U356" s="197">
        <v>8111</v>
      </c>
      <c r="V356" s="196">
        <v>23682.74</v>
      </c>
      <c r="W356" s="196">
        <f t="shared" si="32"/>
        <v>2.9198298606830231</v>
      </c>
      <c r="X356" s="197">
        <v>2466</v>
      </c>
      <c r="Y356" s="196">
        <v>8131.54</v>
      </c>
      <c r="Z356" s="196">
        <f t="shared" si="29"/>
        <v>3.2974614760746146</v>
      </c>
      <c r="AA356" s="95">
        <v>53.62</v>
      </c>
      <c r="AB356" s="193">
        <v>6690.35</v>
      </c>
      <c r="AC356" s="198">
        <v>0</v>
      </c>
      <c r="AD356" s="197">
        <v>2966157.39</v>
      </c>
      <c r="AE356" s="197">
        <f>VLOOKUP(B356,Reference!A:B,2,0)</f>
        <v>17991.900000000001</v>
      </c>
    </row>
    <row r="357" spans="1:31">
      <c r="A357" s="3">
        <v>2009</v>
      </c>
      <c r="B357" s="3" t="s">
        <v>458</v>
      </c>
      <c r="C357" s="191">
        <v>39845</v>
      </c>
      <c r="D357" s="192">
        <v>2842236</v>
      </c>
      <c r="E357" s="193">
        <v>271608.7</v>
      </c>
      <c r="F357" s="227">
        <f t="shared" si="33"/>
        <v>9.5561628239175078E-2</v>
      </c>
      <c r="G357" s="194">
        <v>96738</v>
      </c>
      <c r="H357" s="193">
        <v>80483.16</v>
      </c>
      <c r="I357" s="193">
        <f t="shared" si="28"/>
        <v>0.83197047695838244</v>
      </c>
      <c r="J357" s="229">
        <v>14</v>
      </c>
      <c r="K357" s="193">
        <v>60.771549999999998</v>
      </c>
      <c r="L357" s="195">
        <v>2303.96</v>
      </c>
      <c r="M357" s="193">
        <v>5284.102425</v>
      </c>
      <c r="N357" s="229">
        <v>333.84</v>
      </c>
      <c r="O357" s="193">
        <v>1417.8261625</v>
      </c>
      <c r="P357" s="199">
        <v>56.766666666666673</v>
      </c>
      <c r="Q357" s="196">
        <v>104.06419333333335</v>
      </c>
      <c r="R357" s="194"/>
      <c r="S357" s="193"/>
      <c r="T357" s="193"/>
      <c r="U357" s="197">
        <v>7771</v>
      </c>
      <c r="V357" s="196">
        <v>22689.989999999998</v>
      </c>
      <c r="W357" s="196">
        <f t="shared" si="32"/>
        <v>2.9198288508557453</v>
      </c>
      <c r="X357" s="197">
        <v>2364</v>
      </c>
      <c r="Y357" s="196">
        <v>7795.2</v>
      </c>
      <c r="Z357" s="196">
        <f t="shared" si="29"/>
        <v>3.2974619289340099</v>
      </c>
      <c r="AA357" s="95">
        <v>66.61</v>
      </c>
      <c r="AB357" s="193">
        <v>6690.35</v>
      </c>
      <c r="AC357" s="198">
        <v>0.22</v>
      </c>
      <c r="AD357" s="197">
        <v>2966157.39</v>
      </c>
      <c r="AE357" s="197">
        <f>VLOOKUP(B357,Reference!A:B,2,0)</f>
        <v>17991.900000000001</v>
      </c>
    </row>
    <row r="358" spans="1:31">
      <c r="A358" s="3">
        <v>2009</v>
      </c>
      <c r="B358" s="3" t="s">
        <v>458</v>
      </c>
      <c r="C358" s="191">
        <v>39873</v>
      </c>
      <c r="D358" s="192">
        <v>3076445</v>
      </c>
      <c r="E358" s="193">
        <v>285409.93</v>
      </c>
      <c r="F358" s="227">
        <f t="shared" si="33"/>
        <v>9.2772641799219555E-2</v>
      </c>
      <c r="G358" s="194">
        <v>86709</v>
      </c>
      <c r="H358" s="193">
        <v>70322.260000000009</v>
      </c>
      <c r="I358" s="193">
        <f t="shared" si="28"/>
        <v>0.81101454289635455</v>
      </c>
      <c r="J358" s="229">
        <v>10</v>
      </c>
      <c r="K358" s="193">
        <v>43.408249999999995</v>
      </c>
      <c r="L358" s="195">
        <v>2062.46</v>
      </c>
      <c r="M358" s="193">
        <v>4737.9224249999997</v>
      </c>
      <c r="N358" s="229">
        <v>337.82</v>
      </c>
      <c r="O358" s="193">
        <v>1427.1994625</v>
      </c>
      <c r="P358" s="199">
        <v>56.766666666666673</v>
      </c>
      <c r="Q358" s="196">
        <v>104.06419333333335</v>
      </c>
      <c r="R358" s="194"/>
      <c r="S358" s="193"/>
      <c r="T358" s="193"/>
      <c r="U358" s="197">
        <v>9870</v>
      </c>
      <c r="V358" s="196">
        <v>29044.629999999997</v>
      </c>
      <c r="W358" s="196">
        <f t="shared" si="32"/>
        <v>2.9427183383991893</v>
      </c>
      <c r="X358" s="197">
        <v>2995</v>
      </c>
      <c r="Y358" s="196">
        <v>9875.89</v>
      </c>
      <c r="Z358" s="196">
        <f t="shared" si="29"/>
        <v>3.2974590984974954</v>
      </c>
      <c r="AA358" s="95">
        <v>70.209999999999994</v>
      </c>
      <c r="AB358" s="193">
        <v>6690.35</v>
      </c>
      <c r="AC358" s="198">
        <v>0.25</v>
      </c>
      <c r="AD358" s="197">
        <v>2966157.39</v>
      </c>
      <c r="AE358" s="197">
        <f>VLOOKUP(B358,Reference!A:B,2,0)</f>
        <v>17991.900000000001</v>
      </c>
    </row>
    <row r="359" spans="1:31">
      <c r="A359" s="3">
        <v>2009</v>
      </c>
      <c r="B359" s="3" t="s">
        <v>458</v>
      </c>
      <c r="C359" s="191">
        <v>39904</v>
      </c>
      <c r="D359" s="192">
        <v>3166323</v>
      </c>
      <c r="E359" s="193">
        <v>309320.51999999996</v>
      </c>
      <c r="F359" s="227">
        <f t="shared" si="33"/>
        <v>9.7690766229471843E-2</v>
      </c>
      <c r="G359" s="194">
        <v>66069</v>
      </c>
      <c r="H359" s="193">
        <v>54673.780000000006</v>
      </c>
      <c r="I359" s="193">
        <f t="shared" si="28"/>
        <v>0.82752546580090525</v>
      </c>
      <c r="J359" s="229">
        <v>10</v>
      </c>
      <c r="K359" s="193">
        <v>43.408249999999995</v>
      </c>
      <c r="L359" s="195">
        <v>2431.0700000000002</v>
      </c>
      <c r="M359" s="193">
        <v>5801.8224250000003</v>
      </c>
      <c r="N359" s="229">
        <v>334.5</v>
      </c>
      <c r="O359" s="193">
        <v>1416.7794624999999</v>
      </c>
      <c r="P359" s="199">
        <v>56.766666666666673</v>
      </c>
      <c r="Q359" s="196">
        <v>104.06419333333335</v>
      </c>
      <c r="R359" s="194"/>
      <c r="S359" s="193"/>
      <c r="T359" s="193"/>
      <c r="U359" s="197">
        <v>12009</v>
      </c>
      <c r="V359" s="196">
        <v>35832.81</v>
      </c>
      <c r="W359" s="196">
        <f t="shared" si="32"/>
        <v>2.9838296277791656</v>
      </c>
      <c r="X359" s="197">
        <v>3642</v>
      </c>
      <c r="Y359" s="196">
        <v>12009.349999999999</v>
      </c>
      <c r="Z359" s="196">
        <f t="shared" si="29"/>
        <v>3.2974601867105982</v>
      </c>
      <c r="AA359" s="95">
        <v>68.92</v>
      </c>
      <c r="AB359" s="193">
        <v>6690.35</v>
      </c>
      <c r="AC359" s="198">
        <v>0.09</v>
      </c>
      <c r="AD359" s="197">
        <v>2966157.39</v>
      </c>
      <c r="AE359" s="197">
        <f>VLOOKUP(B359,Reference!A:B,2,0)</f>
        <v>17991.900000000001</v>
      </c>
    </row>
    <row r="360" spans="1:31">
      <c r="A360" s="3">
        <v>2009</v>
      </c>
      <c r="B360" s="3" t="s">
        <v>458</v>
      </c>
      <c r="C360" s="191">
        <v>39934</v>
      </c>
      <c r="D360" s="192">
        <v>3419957</v>
      </c>
      <c r="E360" s="193">
        <v>320553.18</v>
      </c>
      <c r="F360" s="227">
        <f t="shared" si="33"/>
        <v>9.3730178478852219E-2</v>
      </c>
      <c r="G360" s="194">
        <v>44078</v>
      </c>
      <c r="H360" s="193">
        <v>39049.39</v>
      </c>
      <c r="I360" s="193">
        <f t="shared" si="28"/>
        <v>0.88591564953037794</v>
      </c>
      <c r="J360" s="229">
        <v>10</v>
      </c>
      <c r="K360" s="193">
        <v>43.408249999999995</v>
      </c>
      <c r="L360" s="195">
        <v>1894.18</v>
      </c>
      <c r="M360" s="193">
        <v>4783.5724250000003</v>
      </c>
      <c r="N360" s="229">
        <v>348.99</v>
      </c>
      <c r="O360" s="193">
        <v>1455.4694625</v>
      </c>
      <c r="P360" s="199">
        <v>56.766666666666673</v>
      </c>
      <c r="Q360" s="196">
        <v>104.06419333333335</v>
      </c>
      <c r="R360" s="194"/>
      <c r="S360" s="193"/>
      <c r="T360" s="193"/>
      <c r="U360" s="197">
        <v>12440</v>
      </c>
      <c r="V360" s="196">
        <v>37953.299999999996</v>
      </c>
      <c r="W360" s="196">
        <f t="shared" si="32"/>
        <v>3.0509083601286169</v>
      </c>
      <c r="X360" s="197">
        <v>3775</v>
      </c>
      <c r="Y360" s="196">
        <v>12447.91</v>
      </c>
      <c r="Z360" s="196">
        <f t="shared" si="29"/>
        <v>3.2974596026490066</v>
      </c>
      <c r="AA360" s="95">
        <v>53.239999999999995</v>
      </c>
      <c r="AB360" s="193">
        <v>6690.35</v>
      </c>
      <c r="AC360" s="198">
        <v>0</v>
      </c>
      <c r="AD360" s="197">
        <v>2966157.39</v>
      </c>
      <c r="AE360" s="197">
        <f>VLOOKUP(B360,Reference!A:B,2,0)</f>
        <v>17991.900000000001</v>
      </c>
    </row>
    <row r="361" spans="1:31">
      <c r="A361" s="3">
        <v>2009</v>
      </c>
      <c r="B361" s="3" t="s">
        <v>458</v>
      </c>
      <c r="C361" s="191">
        <v>39965</v>
      </c>
      <c r="D361" s="192">
        <v>3197618</v>
      </c>
      <c r="E361" s="193">
        <v>308861.53000000003</v>
      </c>
      <c r="F361" s="227">
        <f t="shared" si="33"/>
        <v>9.6591128146013699E-2</v>
      </c>
      <c r="G361" s="194">
        <v>39957</v>
      </c>
      <c r="H361" s="193">
        <v>32928.86</v>
      </c>
      <c r="I361" s="193">
        <f t="shared" si="28"/>
        <v>0.82410741547163202</v>
      </c>
      <c r="J361" s="229">
        <v>10</v>
      </c>
      <c r="K361" s="193">
        <v>43.408249999999995</v>
      </c>
      <c r="L361" s="195">
        <v>1907.9</v>
      </c>
      <c r="M361" s="193">
        <v>5644.5624250000001</v>
      </c>
      <c r="N361" s="229">
        <v>342.99</v>
      </c>
      <c r="O361" s="193">
        <v>1440.1294625</v>
      </c>
      <c r="P361" s="199">
        <v>56.766666666666673</v>
      </c>
      <c r="Q361" s="196">
        <v>104.06419333333335</v>
      </c>
      <c r="R361" s="194"/>
      <c r="S361" s="193"/>
      <c r="T361" s="193"/>
      <c r="U361" s="197">
        <v>11056</v>
      </c>
      <c r="V361" s="196">
        <v>36836.840000000004</v>
      </c>
      <c r="W361" s="196">
        <f t="shared" si="32"/>
        <v>3.3318415340086833</v>
      </c>
      <c r="X361" s="197">
        <v>3361</v>
      </c>
      <c r="Y361" s="196">
        <v>11082.76</v>
      </c>
      <c r="Z361" s="196">
        <f t="shared" si="29"/>
        <v>3.2974590895566798</v>
      </c>
      <c r="AA361" s="95">
        <v>77.75</v>
      </c>
      <c r="AB361" s="193">
        <v>6690.35</v>
      </c>
      <c r="AC361" s="198">
        <v>0</v>
      </c>
      <c r="AD361" s="197">
        <v>2966157.39</v>
      </c>
      <c r="AE361" s="197">
        <f>VLOOKUP(B361,Reference!A:B,2,0)</f>
        <v>17991.900000000001</v>
      </c>
    </row>
    <row r="362" spans="1:31">
      <c r="A362" s="3">
        <v>2009</v>
      </c>
      <c r="B362" s="3" t="s">
        <v>459</v>
      </c>
      <c r="C362" s="191">
        <v>39995</v>
      </c>
      <c r="D362" s="192">
        <v>3665100</v>
      </c>
      <c r="E362" s="193">
        <v>383677</v>
      </c>
      <c r="F362" s="227">
        <f t="shared" si="33"/>
        <v>0.10468391039807919</v>
      </c>
      <c r="G362" s="194">
        <v>20340</v>
      </c>
      <c r="H362" s="193">
        <v>18134.73</v>
      </c>
      <c r="I362" s="193">
        <f t="shared" ref="I362:I425" si="34">IF(G362=0,0,H362/G362)</f>
        <v>0.89157964601769912</v>
      </c>
      <c r="J362" s="229"/>
      <c r="K362" s="193"/>
      <c r="L362" s="195">
        <v>1783.29</v>
      </c>
      <c r="M362" s="193">
        <v>5446.58</v>
      </c>
      <c r="N362" s="229">
        <v>15.29</v>
      </c>
      <c r="O362" s="193">
        <v>42.81</v>
      </c>
      <c r="P362" s="199"/>
      <c r="Q362" s="196"/>
      <c r="R362" s="194"/>
      <c r="S362" s="193"/>
      <c r="T362" s="193"/>
      <c r="U362" s="197">
        <v>13137</v>
      </c>
      <c r="V362" s="196">
        <v>47637.16</v>
      </c>
      <c r="W362" s="196">
        <f t="shared" si="32"/>
        <v>3.6261825378701382</v>
      </c>
      <c r="X362" s="197">
        <v>3992</v>
      </c>
      <c r="Y362" s="196">
        <v>13163.460000000001</v>
      </c>
      <c r="Z362" s="196">
        <f t="shared" si="29"/>
        <v>3.2974599198396795</v>
      </c>
      <c r="AA362" s="95">
        <v>65.2</v>
      </c>
      <c r="AB362" s="193">
        <v>7340.35</v>
      </c>
      <c r="AC362" s="198">
        <v>0.26</v>
      </c>
      <c r="AD362" s="197">
        <v>2966157.39</v>
      </c>
      <c r="AE362" s="197">
        <f>VLOOKUP(B362,Reference!A:B,2,0)</f>
        <v>16877.5</v>
      </c>
    </row>
    <row r="363" spans="1:31">
      <c r="A363" s="3">
        <v>2009</v>
      </c>
      <c r="B363" s="3" t="s">
        <v>459</v>
      </c>
      <c r="C363" s="191">
        <v>40026</v>
      </c>
      <c r="D363" s="192">
        <v>3497002</v>
      </c>
      <c r="E363" s="193">
        <v>370953.83999999997</v>
      </c>
      <c r="F363" s="227">
        <f t="shared" si="33"/>
        <v>0.10607767453378636</v>
      </c>
      <c r="G363" s="194">
        <v>17158</v>
      </c>
      <c r="H363" s="193">
        <v>15099.599999999999</v>
      </c>
      <c r="I363" s="193">
        <f t="shared" si="34"/>
        <v>0.88003263783657759</v>
      </c>
      <c r="J363" s="229"/>
      <c r="K363" s="193"/>
      <c r="L363" s="195">
        <v>1854.55</v>
      </c>
      <c r="M363" s="193">
        <v>5792.59</v>
      </c>
      <c r="N363" s="229">
        <v>0</v>
      </c>
      <c r="O363" s="193">
        <v>0</v>
      </c>
      <c r="P363" s="199"/>
      <c r="Q363" s="196"/>
      <c r="R363" s="194"/>
      <c r="S363" s="193"/>
      <c r="T363" s="193"/>
      <c r="U363" s="197">
        <v>11504</v>
      </c>
      <c r="V363" s="196">
        <v>41662.509999999995</v>
      </c>
      <c r="W363" s="196">
        <f t="shared" si="32"/>
        <v>3.6215672809457575</v>
      </c>
      <c r="X363" s="197">
        <v>3493</v>
      </c>
      <c r="Y363" s="196">
        <v>11518.03</v>
      </c>
      <c r="Z363" s="196">
        <f t="shared" ref="Z363:Z426" si="35">Y363/X363</f>
        <v>3.2974606355568281</v>
      </c>
      <c r="AA363" s="95">
        <v>66.259999999999991</v>
      </c>
      <c r="AB363" s="193">
        <v>10590.35</v>
      </c>
      <c r="AC363" s="198">
        <v>0</v>
      </c>
      <c r="AD363" s="197">
        <v>2966157.39</v>
      </c>
      <c r="AE363" s="197">
        <f>VLOOKUP(B363,Reference!A:B,2,0)</f>
        <v>16877.5</v>
      </c>
    </row>
    <row r="364" spans="1:31">
      <c r="A364" s="3">
        <v>2009</v>
      </c>
      <c r="B364" s="3" t="s">
        <v>459</v>
      </c>
      <c r="C364" s="191">
        <v>40057</v>
      </c>
      <c r="D364" s="192">
        <v>3496264</v>
      </c>
      <c r="E364" s="193">
        <v>370798.91</v>
      </c>
      <c r="F364" s="227">
        <f t="shared" si="33"/>
        <v>0.10605575265483384</v>
      </c>
      <c r="G364" s="194">
        <v>16556</v>
      </c>
      <c r="H364" s="193">
        <v>14298.71</v>
      </c>
      <c r="I364" s="193">
        <f t="shared" si="34"/>
        <v>0.86365728436820488</v>
      </c>
      <c r="J364" s="229"/>
      <c r="K364" s="193"/>
      <c r="L364" s="195">
        <v>2165.04</v>
      </c>
      <c r="M364" s="193">
        <v>6937.1</v>
      </c>
      <c r="N364" s="229">
        <v>56.57</v>
      </c>
      <c r="O364" s="193">
        <v>159.4</v>
      </c>
      <c r="P364" s="199"/>
      <c r="Q364" s="196"/>
      <c r="R364" s="194"/>
      <c r="S364" s="193"/>
      <c r="T364" s="193"/>
      <c r="U364" s="197">
        <v>12192</v>
      </c>
      <c r="V364" s="196">
        <v>44384.679999999993</v>
      </c>
      <c r="W364" s="196">
        <f t="shared" si="32"/>
        <v>3.6404757217847763</v>
      </c>
      <c r="X364" s="197">
        <v>3699</v>
      </c>
      <c r="Y364" s="196">
        <v>12197.300000000001</v>
      </c>
      <c r="Z364" s="196">
        <f t="shared" si="35"/>
        <v>3.2974587726412548</v>
      </c>
      <c r="AA364" s="95">
        <v>99.78</v>
      </c>
      <c r="AB364" s="193">
        <v>11890.35</v>
      </c>
      <c r="AC364" s="198">
        <v>0</v>
      </c>
      <c r="AD364" s="197">
        <v>2966157.39</v>
      </c>
      <c r="AE364" s="197">
        <f>VLOOKUP(B364,Reference!A:B,2,0)</f>
        <v>16877.5</v>
      </c>
    </row>
    <row r="365" spans="1:31">
      <c r="A365" s="3">
        <v>2009</v>
      </c>
      <c r="B365" s="3" t="s">
        <v>459</v>
      </c>
      <c r="C365" s="191">
        <v>40087</v>
      </c>
      <c r="D365" s="192">
        <v>3375853</v>
      </c>
      <c r="E365" s="193">
        <v>326962.85000000003</v>
      </c>
      <c r="F365" s="227">
        <f t="shared" si="33"/>
        <v>9.6853402680744702E-2</v>
      </c>
      <c r="G365" s="194">
        <v>50945</v>
      </c>
      <c r="H365" s="193">
        <v>39511.22</v>
      </c>
      <c r="I365" s="193">
        <f t="shared" si="34"/>
        <v>0.77556619884188838</v>
      </c>
      <c r="J365" s="229"/>
      <c r="K365" s="193"/>
      <c r="L365" s="195">
        <v>1911.64</v>
      </c>
      <c r="M365" s="193">
        <v>6070.55</v>
      </c>
      <c r="N365" s="229">
        <v>14.33</v>
      </c>
      <c r="O365" s="193">
        <v>41.53</v>
      </c>
      <c r="P365" s="199"/>
      <c r="Q365" s="196"/>
      <c r="R365" s="194"/>
      <c r="S365" s="193"/>
      <c r="T365" s="193"/>
      <c r="U365" s="197">
        <v>10087</v>
      </c>
      <c r="V365" s="196">
        <v>37193</v>
      </c>
      <c r="W365" s="196">
        <f t="shared" si="32"/>
        <v>3.687221175770794</v>
      </c>
      <c r="X365" s="197">
        <v>3063</v>
      </c>
      <c r="Y365" s="196">
        <v>10100.11</v>
      </c>
      <c r="Z365" s="196">
        <f t="shared" si="35"/>
        <v>3.2974567417564482</v>
      </c>
      <c r="AA365" s="95">
        <v>53.02</v>
      </c>
      <c r="AB365" s="193">
        <v>6690.35</v>
      </c>
      <c r="AC365" s="198">
        <v>0.08</v>
      </c>
      <c r="AD365" s="197">
        <v>2966157.39</v>
      </c>
      <c r="AE365" s="197">
        <f>VLOOKUP(B365,Reference!A:B,2,0)</f>
        <v>16877.5</v>
      </c>
    </row>
    <row r="366" spans="1:31">
      <c r="A366" s="3">
        <v>2009</v>
      </c>
      <c r="B366" s="3" t="s">
        <v>459</v>
      </c>
      <c r="C366" s="191">
        <v>40118</v>
      </c>
      <c r="D366" s="192">
        <v>3067174</v>
      </c>
      <c r="E366" s="193">
        <v>303447.02</v>
      </c>
      <c r="F366" s="227">
        <f t="shared" si="33"/>
        <v>9.8933748134276051E-2</v>
      </c>
      <c r="G366" s="194">
        <v>69490</v>
      </c>
      <c r="H366" s="193">
        <v>53949.41</v>
      </c>
      <c r="I366" s="193">
        <f t="shared" si="34"/>
        <v>0.77636221038998421</v>
      </c>
      <c r="J366" s="229"/>
      <c r="K366" s="193"/>
      <c r="L366" s="195">
        <v>1882.48</v>
      </c>
      <c r="M366" s="193">
        <v>5892.3</v>
      </c>
      <c r="N366" s="229">
        <v>141.69999999999999</v>
      </c>
      <c r="O366" s="193">
        <v>419.28</v>
      </c>
      <c r="P366" s="199"/>
      <c r="Q366" s="196"/>
      <c r="R366" s="194"/>
      <c r="S366" s="193"/>
      <c r="T366" s="193"/>
      <c r="U366" s="197">
        <v>8173</v>
      </c>
      <c r="V366" s="196">
        <v>30133.870000000003</v>
      </c>
      <c r="W366" s="196">
        <f t="shared" si="32"/>
        <v>3.6870023247277626</v>
      </c>
      <c r="X366" s="197">
        <v>2483</v>
      </c>
      <c r="Y366" s="196">
        <v>8187.5999999999995</v>
      </c>
      <c r="Z366" s="196">
        <f t="shared" si="35"/>
        <v>3.297462746677406</v>
      </c>
      <c r="AA366" s="95">
        <v>40.83</v>
      </c>
      <c r="AB366" s="193">
        <v>7015.35</v>
      </c>
      <c r="AC366" s="198">
        <v>0.08</v>
      </c>
      <c r="AD366" s="197">
        <v>2966157.39</v>
      </c>
      <c r="AE366" s="197">
        <f>VLOOKUP(B366,Reference!A:B,2,0)</f>
        <v>16877.5</v>
      </c>
    </row>
    <row r="367" spans="1:31">
      <c r="A367" s="3">
        <v>2009</v>
      </c>
      <c r="B367" s="3" t="s">
        <v>459</v>
      </c>
      <c r="C367" s="191">
        <v>40148</v>
      </c>
      <c r="D367" s="192">
        <v>2794441</v>
      </c>
      <c r="E367" s="193">
        <v>282298.55</v>
      </c>
      <c r="F367" s="227">
        <f t="shared" si="33"/>
        <v>0.10102147442010763</v>
      </c>
      <c r="G367" s="194">
        <v>104882</v>
      </c>
      <c r="H367" s="193">
        <v>79907.560000000012</v>
      </c>
      <c r="I367" s="193">
        <f t="shared" si="34"/>
        <v>0.76188058961499605</v>
      </c>
      <c r="J367" s="229"/>
      <c r="K367" s="193"/>
      <c r="L367" s="195">
        <v>1511.51</v>
      </c>
      <c r="M367" s="193">
        <v>4733.66</v>
      </c>
      <c r="N367" s="229">
        <v>43.63</v>
      </c>
      <c r="O367" s="193">
        <v>129.11000000000001</v>
      </c>
      <c r="P367" s="199"/>
      <c r="Q367" s="196"/>
      <c r="R367" s="194"/>
      <c r="S367" s="193"/>
      <c r="T367" s="193"/>
      <c r="U367" s="197">
        <v>3879</v>
      </c>
      <c r="V367" s="196">
        <v>14578.18</v>
      </c>
      <c r="W367" s="196">
        <f t="shared" si="32"/>
        <v>3.7582315029646818</v>
      </c>
      <c r="X367" s="197">
        <v>1186</v>
      </c>
      <c r="Y367" s="196">
        <v>3910.79</v>
      </c>
      <c r="Z367" s="196">
        <f t="shared" si="35"/>
        <v>3.297462057335582</v>
      </c>
      <c r="AA367" s="95">
        <v>20.94</v>
      </c>
      <c r="AB367" s="193">
        <v>4740.3500000000004</v>
      </c>
      <c r="AC367" s="198">
        <v>0.13</v>
      </c>
      <c r="AD367" s="197">
        <v>2966157.39</v>
      </c>
      <c r="AE367" s="197">
        <f>VLOOKUP(B367,Reference!A:B,2,0)</f>
        <v>16877.5</v>
      </c>
    </row>
    <row r="368" spans="1:31">
      <c r="A368" s="3">
        <v>2010</v>
      </c>
      <c r="B368" s="3" t="s">
        <v>459</v>
      </c>
      <c r="C368" s="191">
        <v>40179</v>
      </c>
      <c r="D368" s="192">
        <v>3041466</v>
      </c>
      <c r="E368" s="193">
        <v>305038.51</v>
      </c>
      <c r="F368" s="227">
        <f t="shared" si="33"/>
        <v>0.10029325003139933</v>
      </c>
      <c r="G368" s="194">
        <v>106252</v>
      </c>
      <c r="H368" s="193">
        <v>86657.91</v>
      </c>
      <c r="I368" s="193">
        <f t="shared" si="34"/>
        <v>0.81558850656928816</v>
      </c>
      <c r="J368" s="229"/>
      <c r="K368" s="193"/>
      <c r="L368" s="195">
        <v>1657.93</v>
      </c>
      <c r="M368" s="193">
        <v>5252.07</v>
      </c>
      <c r="N368" s="229">
        <v>63.39</v>
      </c>
      <c r="O368" s="193">
        <v>193.15</v>
      </c>
      <c r="P368" s="199"/>
      <c r="Q368" s="196"/>
      <c r="R368" s="194"/>
      <c r="S368" s="193"/>
      <c r="T368" s="193"/>
      <c r="U368" s="197">
        <v>7016</v>
      </c>
      <c r="V368" s="196">
        <v>27243.71</v>
      </c>
      <c r="W368" s="196">
        <f t="shared" si="32"/>
        <v>3.8830829532497146</v>
      </c>
      <c r="X368" s="197">
        <v>2137</v>
      </c>
      <c r="Y368" s="196">
        <v>7046.67</v>
      </c>
      <c r="Z368" s="196">
        <f t="shared" si="35"/>
        <v>3.2974590547496492</v>
      </c>
      <c r="AA368" s="95">
        <v>40.17</v>
      </c>
      <c r="AB368" s="193">
        <v>6690.35</v>
      </c>
      <c r="AC368" s="198">
        <v>0</v>
      </c>
      <c r="AD368" s="197">
        <v>2966157.39</v>
      </c>
      <c r="AE368" s="197">
        <f>VLOOKUP(B368,Reference!A:B,2,0)</f>
        <v>16877.5</v>
      </c>
    </row>
    <row r="369" spans="1:31">
      <c r="A369" s="3">
        <v>2010</v>
      </c>
      <c r="B369" s="3" t="s">
        <v>459</v>
      </c>
      <c r="C369" s="191">
        <v>40210</v>
      </c>
      <c r="D369" s="192">
        <v>2847488</v>
      </c>
      <c r="E369" s="193">
        <v>292144.44</v>
      </c>
      <c r="F369" s="227">
        <f t="shared" si="33"/>
        <v>0.10259725062932662</v>
      </c>
      <c r="G369" s="194">
        <v>98988</v>
      </c>
      <c r="H369" s="193">
        <v>82291.16</v>
      </c>
      <c r="I369" s="193">
        <f t="shared" si="34"/>
        <v>0.83132460500262662</v>
      </c>
      <c r="J369" s="229"/>
      <c r="K369" s="193"/>
      <c r="L369" s="195">
        <v>2117.36</v>
      </c>
      <c r="M369" s="193">
        <v>6703.86</v>
      </c>
      <c r="N369" s="229">
        <v>128.16</v>
      </c>
      <c r="O369" s="193">
        <v>385.23</v>
      </c>
      <c r="P369" s="199"/>
      <c r="Q369" s="196"/>
      <c r="R369" s="194"/>
      <c r="S369" s="193"/>
      <c r="T369" s="193"/>
      <c r="U369" s="197">
        <v>7371</v>
      </c>
      <c r="V369" s="196">
        <v>33941.89</v>
      </c>
      <c r="W369" s="196">
        <f t="shared" si="32"/>
        <v>4.604787681454348</v>
      </c>
      <c r="X369" s="197">
        <v>2242</v>
      </c>
      <c r="Y369" s="196">
        <v>7392.91</v>
      </c>
      <c r="Z369" s="196">
        <f t="shared" si="35"/>
        <v>3.2974620874219447</v>
      </c>
      <c r="AA369" s="95">
        <v>32.96</v>
      </c>
      <c r="AB369" s="193">
        <v>5715.35</v>
      </c>
      <c r="AC369" s="198">
        <v>0</v>
      </c>
      <c r="AD369" s="197">
        <v>2966157.39</v>
      </c>
      <c r="AE369" s="197">
        <f>VLOOKUP(B369,Reference!A:B,2,0)</f>
        <v>16877.5</v>
      </c>
    </row>
    <row r="370" spans="1:31">
      <c r="A370" s="3">
        <v>2010</v>
      </c>
      <c r="B370" s="3" t="s">
        <v>459</v>
      </c>
      <c r="C370" s="191">
        <v>40238</v>
      </c>
      <c r="D370" s="192">
        <v>3092246</v>
      </c>
      <c r="E370" s="193">
        <v>310468.47999999998</v>
      </c>
      <c r="F370" s="227">
        <f t="shared" si="33"/>
        <v>0.10040225777638648</v>
      </c>
      <c r="G370" s="194">
        <v>90756</v>
      </c>
      <c r="H370" s="193">
        <v>73157.350000000006</v>
      </c>
      <c r="I370" s="193">
        <f t="shared" si="34"/>
        <v>0.8060883027017498</v>
      </c>
      <c r="J370" s="229"/>
      <c r="K370" s="193"/>
      <c r="L370" s="195">
        <v>2054.65</v>
      </c>
      <c r="M370" s="193">
        <v>6624.34</v>
      </c>
      <c r="N370" s="229">
        <v>146.12</v>
      </c>
      <c r="O370" s="193">
        <v>446.09</v>
      </c>
      <c r="P370" s="199"/>
      <c r="Q370" s="196"/>
      <c r="R370" s="194"/>
      <c r="S370" s="193"/>
      <c r="T370" s="193"/>
      <c r="U370" s="197">
        <v>6948</v>
      </c>
      <c r="V370" s="196">
        <v>26963.54</v>
      </c>
      <c r="W370" s="196">
        <f t="shared" si="32"/>
        <v>3.880762809441566</v>
      </c>
      <c r="X370" s="197">
        <v>1125.576</v>
      </c>
      <c r="Y370" s="196">
        <v>7000.51</v>
      </c>
      <c r="Z370" s="196">
        <f t="shared" si="35"/>
        <v>6.2194911760734062</v>
      </c>
      <c r="AA370" s="95">
        <v>41.39</v>
      </c>
      <c r="AB370" s="193">
        <v>6690.35</v>
      </c>
      <c r="AC370" s="198">
        <v>0.34</v>
      </c>
      <c r="AD370" s="197">
        <v>2966157.39</v>
      </c>
      <c r="AE370" s="197">
        <f>VLOOKUP(B370,Reference!A:B,2,0)</f>
        <v>16877.5</v>
      </c>
    </row>
    <row r="371" spans="1:31">
      <c r="A371" s="3">
        <v>2010</v>
      </c>
      <c r="B371" s="3" t="s">
        <v>459</v>
      </c>
      <c r="C371" s="191">
        <v>40269</v>
      </c>
      <c r="D371" s="192">
        <v>3021378</v>
      </c>
      <c r="E371" s="193">
        <v>303413.31</v>
      </c>
      <c r="F371" s="227">
        <f t="shared" si="33"/>
        <v>0.10042216167589756</v>
      </c>
      <c r="G371" s="194">
        <v>81212</v>
      </c>
      <c r="H371" s="193">
        <v>64384.380000000005</v>
      </c>
      <c r="I371" s="193">
        <f t="shared" si="34"/>
        <v>0.79279392208048083</v>
      </c>
      <c r="J371" s="229"/>
      <c r="K371" s="193"/>
      <c r="L371" s="195">
        <v>1805.58</v>
      </c>
      <c r="M371" s="193">
        <v>5848.41</v>
      </c>
      <c r="N371" s="229">
        <v>146.69999999999999</v>
      </c>
      <c r="O371" s="193">
        <v>471.22</v>
      </c>
      <c r="P371" s="199"/>
      <c r="Q371" s="196"/>
      <c r="R371" s="194"/>
      <c r="S371" s="193"/>
      <c r="T371" s="193"/>
      <c r="U371" s="197">
        <v>8953</v>
      </c>
      <c r="V371" s="196">
        <v>34492.92</v>
      </c>
      <c r="W371" s="196">
        <f t="shared" si="32"/>
        <v>3.852666145426114</v>
      </c>
      <c r="X371" s="197">
        <v>1450.386</v>
      </c>
      <c r="Y371" s="196">
        <v>8978.98</v>
      </c>
      <c r="Z371" s="196">
        <f t="shared" si="35"/>
        <v>6.190751979128315</v>
      </c>
      <c r="AA371" s="95">
        <v>36.78</v>
      </c>
      <c r="AB371" s="193">
        <v>5390.35</v>
      </c>
      <c r="AC371" s="198">
        <v>0.38</v>
      </c>
      <c r="AD371" s="197">
        <v>2966157.39</v>
      </c>
      <c r="AE371" s="197">
        <f>VLOOKUP(B371,Reference!A:B,2,0)</f>
        <v>16877.5</v>
      </c>
    </row>
    <row r="372" spans="1:31">
      <c r="A372" s="3">
        <v>2010</v>
      </c>
      <c r="B372" s="3" t="s">
        <v>459</v>
      </c>
      <c r="C372" s="191">
        <v>40299</v>
      </c>
      <c r="D372" s="192">
        <v>3107126</v>
      </c>
      <c r="E372" s="193">
        <v>309236.36000000004</v>
      </c>
      <c r="F372" s="227">
        <f t="shared" si="33"/>
        <v>9.9524885698230467E-2</v>
      </c>
      <c r="G372" s="194">
        <v>67960</v>
      </c>
      <c r="H372" s="193">
        <v>52528.490000000005</v>
      </c>
      <c r="I372" s="193">
        <f t="shared" si="34"/>
        <v>0.77293246027074758</v>
      </c>
      <c r="J372" s="229"/>
      <c r="K372" s="193"/>
      <c r="L372" s="195">
        <v>1714.77</v>
      </c>
      <c r="M372" s="193">
        <v>5610.63</v>
      </c>
      <c r="N372" s="229">
        <v>22.42</v>
      </c>
      <c r="O372" s="193">
        <v>71.73</v>
      </c>
      <c r="P372" s="199"/>
      <c r="Q372" s="196"/>
      <c r="R372" s="194"/>
      <c r="S372" s="193"/>
      <c r="T372" s="193"/>
      <c r="U372" s="197">
        <v>12020</v>
      </c>
      <c r="V372" s="196">
        <v>46325.729999999996</v>
      </c>
      <c r="W372" s="196">
        <f t="shared" si="32"/>
        <v>3.8540540765391014</v>
      </c>
      <c r="X372" s="197">
        <v>1947.24</v>
      </c>
      <c r="Y372" s="196">
        <v>12039.029999999999</v>
      </c>
      <c r="Z372" s="196">
        <f t="shared" si="35"/>
        <v>6.1826123128119796</v>
      </c>
      <c r="AA372" s="95">
        <v>49.28</v>
      </c>
      <c r="AB372" s="193">
        <v>7015.35</v>
      </c>
      <c r="AC372" s="198">
        <v>0.26</v>
      </c>
      <c r="AD372" s="197">
        <v>2966157.39</v>
      </c>
      <c r="AE372" s="197">
        <f>VLOOKUP(B372,Reference!A:B,2,0)</f>
        <v>16877.5</v>
      </c>
    </row>
    <row r="373" spans="1:31">
      <c r="A373" s="3">
        <v>2010</v>
      </c>
      <c r="B373" s="3" t="s">
        <v>459</v>
      </c>
      <c r="C373" s="191">
        <v>40330</v>
      </c>
      <c r="D373" s="192">
        <v>3030751</v>
      </c>
      <c r="E373" s="193">
        <v>339072.38</v>
      </c>
      <c r="F373" s="227">
        <f t="shared" si="33"/>
        <v>0.11187734657185629</v>
      </c>
      <c r="G373" s="194">
        <v>41597</v>
      </c>
      <c r="H373" s="193">
        <v>33438.800000000003</v>
      </c>
      <c r="I373" s="193">
        <f t="shared" si="34"/>
        <v>0.80387527946726933</v>
      </c>
      <c r="J373" s="229"/>
      <c r="K373" s="193"/>
      <c r="L373" s="195">
        <v>1854.71</v>
      </c>
      <c r="M373" s="193">
        <v>6100.13</v>
      </c>
      <c r="N373" s="229">
        <v>0</v>
      </c>
      <c r="O373" s="193">
        <v>0</v>
      </c>
      <c r="P373" s="199"/>
      <c r="Q373" s="196"/>
      <c r="R373" s="194"/>
      <c r="S373" s="193"/>
      <c r="T373" s="193"/>
      <c r="U373" s="197">
        <v>8549</v>
      </c>
      <c r="V373" s="196">
        <v>33267.67</v>
      </c>
      <c r="W373" s="196">
        <f t="shared" si="32"/>
        <v>3.8914106913089248</v>
      </c>
      <c r="X373" s="197">
        <v>1384.9380000000001</v>
      </c>
      <c r="Y373" s="196">
        <v>8583.2800000000007</v>
      </c>
      <c r="Z373" s="196">
        <f t="shared" si="35"/>
        <v>6.1975915167321567</v>
      </c>
      <c r="AA373" s="95">
        <v>70.47</v>
      </c>
      <c r="AB373" s="193">
        <v>8642.35</v>
      </c>
      <c r="AC373" s="198">
        <v>0.32</v>
      </c>
      <c r="AD373" s="197">
        <v>2966157.39</v>
      </c>
      <c r="AE373" s="197">
        <f>VLOOKUP(B373,Reference!A:B,2,0)</f>
        <v>16877.5</v>
      </c>
    </row>
    <row r="374" spans="1:31">
      <c r="A374" s="3">
        <v>2010</v>
      </c>
      <c r="B374" s="3" t="s">
        <v>460</v>
      </c>
      <c r="C374" s="191">
        <v>40360</v>
      </c>
      <c r="D374" s="192">
        <v>3163787</v>
      </c>
      <c r="E374" s="193">
        <v>363855.68</v>
      </c>
      <c r="F374" s="227">
        <f t="shared" si="33"/>
        <v>0.11500637685153899</v>
      </c>
      <c r="G374" s="194">
        <v>27543</v>
      </c>
      <c r="H374" s="193">
        <v>23845.71</v>
      </c>
      <c r="I374" s="193">
        <f t="shared" si="34"/>
        <v>0.86576298878117852</v>
      </c>
      <c r="J374" s="229"/>
      <c r="K374" s="193"/>
      <c r="L374" s="195">
        <v>1886.13</v>
      </c>
      <c r="M374" s="193">
        <v>6220.31</v>
      </c>
      <c r="N374" s="229">
        <v>22.6</v>
      </c>
      <c r="O374" s="193">
        <v>72.31</v>
      </c>
      <c r="P374" s="199"/>
      <c r="Q374" s="196"/>
      <c r="R374" s="194"/>
      <c r="S374" s="193"/>
      <c r="T374" s="193"/>
      <c r="U374" s="197">
        <v>12404</v>
      </c>
      <c r="V374" s="196">
        <v>49341.93</v>
      </c>
      <c r="W374" s="196">
        <f t="shared" si="32"/>
        <v>3.9779047081586585</v>
      </c>
      <c r="X374" s="197">
        <v>2009.4480000000001</v>
      </c>
      <c r="Y374" s="196">
        <v>12490.769999999999</v>
      </c>
      <c r="Z374" s="196">
        <f t="shared" si="35"/>
        <v>6.2160205190679223</v>
      </c>
      <c r="AA374" s="95">
        <v>87.92</v>
      </c>
      <c r="AB374" s="193">
        <v>11565.35</v>
      </c>
      <c r="AC374" s="198">
        <v>0.25</v>
      </c>
      <c r="AD374" s="197">
        <v>2966157.39</v>
      </c>
      <c r="AE374" s="197">
        <f>VLOOKUP(B374,Reference!A:B,2,0)</f>
        <v>15758.4</v>
      </c>
    </row>
    <row r="375" spans="1:31">
      <c r="A375" s="3">
        <v>2010</v>
      </c>
      <c r="B375" s="3" t="s">
        <v>460</v>
      </c>
      <c r="C375" s="191">
        <v>40391</v>
      </c>
      <c r="D375" s="192">
        <v>3219179</v>
      </c>
      <c r="E375" s="193">
        <v>367973.46</v>
      </c>
      <c r="F375" s="227">
        <f t="shared" si="33"/>
        <v>0.11430661668704972</v>
      </c>
      <c r="G375" s="194">
        <v>20721</v>
      </c>
      <c r="H375" s="193">
        <v>18506.419999999998</v>
      </c>
      <c r="I375" s="193">
        <f t="shared" si="34"/>
        <v>0.89312388398243314</v>
      </c>
      <c r="J375" s="229"/>
      <c r="K375" s="193"/>
      <c r="L375" s="195">
        <v>2168.66</v>
      </c>
      <c r="M375" s="193">
        <v>7129.98</v>
      </c>
      <c r="N375" s="229">
        <v>4.63</v>
      </c>
      <c r="O375" s="193">
        <v>15</v>
      </c>
      <c r="P375" s="199"/>
      <c r="Q375" s="196"/>
      <c r="R375" s="194"/>
      <c r="S375" s="193"/>
      <c r="T375" s="193"/>
      <c r="U375" s="197">
        <v>11536</v>
      </c>
      <c r="V375" s="196">
        <v>45759.979999999996</v>
      </c>
      <c r="W375" s="196">
        <f t="shared" si="32"/>
        <v>3.9667111650485434</v>
      </c>
      <c r="X375" s="197">
        <v>1868.8320000000001</v>
      </c>
      <c r="Y375" s="196">
        <v>11544.41</v>
      </c>
      <c r="Z375" s="196">
        <f t="shared" si="35"/>
        <v>6.1773396431567944</v>
      </c>
      <c r="AA375" s="95">
        <v>95.24</v>
      </c>
      <c r="AB375" s="193">
        <v>10915.35</v>
      </c>
      <c r="AC375" s="198">
        <v>0.2</v>
      </c>
      <c r="AD375" s="197">
        <v>2966157.39</v>
      </c>
      <c r="AE375" s="197">
        <f>VLOOKUP(B375,Reference!A:B,2,0)</f>
        <v>15758.4</v>
      </c>
    </row>
    <row r="376" spans="1:31">
      <c r="A376" s="3">
        <v>2010</v>
      </c>
      <c r="B376" s="3" t="s">
        <v>460</v>
      </c>
      <c r="C376" s="191">
        <v>40422</v>
      </c>
      <c r="D376" s="192">
        <v>3074516</v>
      </c>
      <c r="E376" s="193">
        <v>366595.97</v>
      </c>
      <c r="F376" s="227">
        <f t="shared" si="33"/>
        <v>0.11923696933110772</v>
      </c>
      <c r="G376" s="194">
        <v>17396</v>
      </c>
      <c r="H376" s="193">
        <v>15670.259999999998</v>
      </c>
      <c r="I376" s="193">
        <f t="shared" si="34"/>
        <v>0.90079673488158185</v>
      </c>
      <c r="J376" s="229"/>
      <c r="K376" s="193"/>
      <c r="L376" s="195">
        <v>935.97</v>
      </c>
      <c r="M376" s="193">
        <v>3007.55</v>
      </c>
      <c r="N376" s="229">
        <v>14.79</v>
      </c>
      <c r="O376" s="193">
        <v>47.92</v>
      </c>
      <c r="P376" s="199"/>
      <c r="Q376" s="196"/>
      <c r="R376" s="194"/>
      <c r="S376" s="193"/>
      <c r="T376" s="193"/>
      <c r="U376" s="197">
        <v>12666</v>
      </c>
      <c r="V376" s="196">
        <v>50159.350000000006</v>
      </c>
      <c r="W376" s="196">
        <f t="shared" si="32"/>
        <v>3.9601571135322917</v>
      </c>
      <c r="X376" s="197">
        <v>2051.8919999999998</v>
      </c>
      <c r="Y376" s="196">
        <v>12672.15</v>
      </c>
      <c r="Z376" s="196">
        <f t="shared" si="35"/>
        <v>6.1758367399453773</v>
      </c>
      <c r="AA376" s="95">
        <v>49.230000000000004</v>
      </c>
      <c r="AB376" s="193">
        <v>6660.35</v>
      </c>
      <c r="AC376" s="198">
        <v>0.38</v>
      </c>
      <c r="AD376" s="197">
        <v>2966157.39</v>
      </c>
      <c r="AE376" s="197">
        <f>VLOOKUP(B376,Reference!A:B,2,0)</f>
        <v>15758.4</v>
      </c>
    </row>
    <row r="377" spans="1:31">
      <c r="A377" s="3">
        <v>2010</v>
      </c>
      <c r="B377" s="3" t="s">
        <v>460</v>
      </c>
      <c r="C377" s="191">
        <v>40452</v>
      </c>
      <c r="D377" s="192">
        <v>3246016</v>
      </c>
      <c r="E377" s="193">
        <v>338806.67000000004</v>
      </c>
      <c r="F377" s="227">
        <f t="shared" si="33"/>
        <v>0.10437615526232774</v>
      </c>
      <c r="G377" s="194">
        <v>43927</v>
      </c>
      <c r="H377" s="193">
        <v>35753.79</v>
      </c>
      <c r="I377" s="193">
        <f t="shared" si="34"/>
        <v>0.81393653106289987</v>
      </c>
      <c r="J377" s="229"/>
      <c r="K377" s="193"/>
      <c r="L377" s="195">
        <v>784.27</v>
      </c>
      <c r="M377" s="193">
        <v>2577.3200000000002</v>
      </c>
      <c r="N377" s="229">
        <v>0</v>
      </c>
      <c r="O377" s="193">
        <v>0</v>
      </c>
      <c r="P377" s="199"/>
      <c r="Q377" s="196"/>
      <c r="R377" s="194"/>
      <c r="S377" s="193"/>
      <c r="T377" s="193"/>
      <c r="U377" s="197">
        <v>10377</v>
      </c>
      <c r="V377" s="196">
        <v>40946.160000000003</v>
      </c>
      <c r="W377" s="196">
        <f t="shared" si="32"/>
        <v>3.9458571841572714</v>
      </c>
      <c r="X377" s="197">
        <v>1681.0740000000001</v>
      </c>
      <c r="Y377" s="196">
        <v>11089.36</v>
      </c>
      <c r="Z377" s="196">
        <f t="shared" si="35"/>
        <v>6.5965924165146808</v>
      </c>
      <c r="AA377" s="95">
        <v>37.770000000000003</v>
      </c>
      <c r="AB377" s="193">
        <v>5715.35</v>
      </c>
      <c r="AC377" s="198">
        <v>0.43</v>
      </c>
      <c r="AD377" s="197">
        <v>2966157.39</v>
      </c>
      <c r="AE377" s="197">
        <f>VLOOKUP(B377,Reference!A:B,2,0)</f>
        <v>15758.4</v>
      </c>
    </row>
    <row r="378" spans="1:31">
      <c r="A378" s="3">
        <v>2010</v>
      </c>
      <c r="B378" s="3" t="s">
        <v>460</v>
      </c>
      <c r="C378" s="191">
        <v>40483</v>
      </c>
      <c r="D378" s="192">
        <v>2957467.8</v>
      </c>
      <c r="E378" s="193">
        <v>313981.88</v>
      </c>
      <c r="F378" s="227">
        <f t="shared" si="33"/>
        <v>0.10616578141611552</v>
      </c>
      <c r="G378" s="194">
        <v>80031</v>
      </c>
      <c r="H378" s="193">
        <v>56759.24</v>
      </c>
      <c r="I378" s="193">
        <f t="shared" si="34"/>
        <v>0.70921567892441673</v>
      </c>
      <c r="J378" s="229"/>
      <c r="K378" s="193"/>
      <c r="L378" s="195">
        <v>3207.89</v>
      </c>
      <c r="M378" s="193">
        <v>2097.69</v>
      </c>
      <c r="N378" s="229">
        <v>0</v>
      </c>
      <c r="O378" s="193">
        <v>0</v>
      </c>
      <c r="P378" s="199"/>
      <c r="Q378" s="196"/>
      <c r="R378" s="194"/>
      <c r="S378" s="193"/>
      <c r="T378" s="193"/>
      <c r="U378" s="197">
        <v>9495</v>
      </c>
      <c r="V378" s="196">
        <v>37416</v>
      </c>
      <c r="W378" s="196">
        <f t="shared" si="32"/>
        <v>3.9406003159557663</v>
      </c>
      <c r="X378" s="197">
        <v>1538.19</v>
      </c>
      <c r="Y378" s="196">
        <v>10133.09</v>
      </c>
      <c r="Z378" s="196">
        <f t="shared" si="35"/>
        <v>6.5876712239710304</v>
      </c>
      <c r="AA378" s="95">
        <v>29.89</v>
      </c>
      <c r="AB378" s="193">
        <v>5715.35</v>
      </c>
      <c r="AC378" s="198">
        <v>0.47</v>
      </c>
      <c r="AD378" s="197">
        <v>2966157.39</v>
      </c>
      <c r="AE378" s="197">
        <f>VLOOKUP(B378,Reference!A:B,2,0)</f>
        <v>15758.4</v>
      </c>
    </row>
    <row r="379" spans="1:31">
      <c r="A379" s="3">
        <v>2010</v>
      </c>
      <c r="B379" s="3" t="s">
        <v>460</v>
      </c>
      <c r="C379" s="191">
        <v>40513</v>
      </c>
      <c r="D379" s="192">
        <v>3055101.26</v>
      </c>
      <c r="E379" s="193">
        <v>324336.87</v>
      </c>
      <c r="F379" s="227">
        <f t="shared" si="33"/>
        <v>0.10616239607062976</v>
      </c>
      <c r="G379" s="194">
        <v>99013</v>
      </c>
      <c r="H379" s="193">
        <v>63326.130000000005</v>
      </c>
      <c r="I379" s="193">
        <f t="shared" si="34"/>
        <v>0.63957389433710732</v>
      </c>
      <c r="J379" s="229"/>
      <c r="K379" s="193"/>
      <c r="L379" s="195">
        <v>449.49</v>
      </c>
      <c r="M379" s="193">
        <v>1564.9</v>
      </c>
      <c r="N379" s="229">
        <v>0</v>
      </c>
      <c r="O379" s="193">
        <v>0</v>
      </c>
      <c r="P379" s="199"/>
      <c r="Q379" s="196"/>
      <c r="R379" s="194"/>
      <c r="S379" s="193"/>
      <c r="T379" s="193"/>
      <c r="U379" s="197">
        <v>5704</v>
      </c>
      <c r="V379" s="196">
        <v>22460.629999999997</v>
      </c>
      <c r="W379" s="196">
        <f t="shared" si="32"/>
        <v>3.9376981065918648</v>
      </c>
      <c r="X379" s="197">
        <v>924.048</v>
      </c>
      <c r="Y379" s="196">
        <v>6080.52</v>
      </c>
      <c r="Z379" s="196">
        <f t="shared" si="35"/>
        <v>6.5803075164926499</v>
      </c>
      <c r="AA379" s="95">
        <v>61.400000000000006</v>
      </c>
      <c r="AB379" s="193">
        <v>8965.35</v>
      </c>
      <c r="AC379" s="198">
        <v>0.22</v>
      </c>
      <c r="AD379" s="197">
        <v>2966157.39</v>
      </c>
      <c r="AE379" s="197">
        <f>VLOOKUP(B379,Reference!A:B,2,0)</f>
        <v>15758.4</v>
      </c>
    </row>
    <row r="380" spans="1:31">
      <c r="A380" s="3">
        <v>2011</v>
      </c>
      <c r="B380" s="3" t="s">
        <v>460</v>
      </c>
      <c r="C380" s="191">
        <v>40544</v>
      </c>
      <c r="D380" s="192">
        <v>3056068.26</v>
      </c>
      <c r="E380" s="193">
        <v>324440.49</v>
      </c>
      <c r="F380" s="227">
        <f t="shared" si="33"/>
        <v>0.10616271051484956</v>
      </c>
      <c r="G380" s="194">
        <v>106333</v>
      </c>
      <c r="H380" s="193">
        <v>80118.740000000005</v>
      </c>
      <c r="I380" s="193">
        <f t="shared" si="34"/>
        <v>0.75347013627001969</v>
      </c>
      <c r="J380" s="229"/>
      <c r="K380" s="193"/>
      <c r="L380" s="195">
        <v>613.99</v>
      </c>
      <c r="M380" s="193">
        <v>2181.7600000000002</v>
      </c>
      <c r="N380" s="229">
        <v>0</v>
      </c>
      <c r="O380" s="193">
        <v>0</v>
      </c>
      <c r="P380" s="199"/>
      <c r="Q380" s="196"/>
      <c r="R380" s="194"/>
      <c r="S380" s="193"/>
      <c r="T380" s="193"/>
      <c r="U380" s="197">
        <v>7855</v>
      </c>
      <c r="V380" s="196">
        <v>30952.969999999998</v>
      </c>
      <c r="W380" s="196">
        <f t="shared" si="32"/>
        <v>3.9405436028007634</v>
      </c>
      <c r="X380" s="197">
        <v>1272.51</v>
      </c>
      <c r="Y380" s="196">
        <v>8359.06</v>
      </c>
      <c r="Z380" s="196">
        <f t="shared" si="35"/>
        <v>6.5689542714792024</v>
      </c>
      <c r="AA380" s="95">
        <v>48.32</v>
      </c>
      <c r="AB380" s="193">
        <v>7340.35</v>
      </c>
      <c r="AC380" s="198">
        <v>0.26</v>
      </c>
      <c r="AD380" s="197">
        <v>2966157.39</v>
      </c>
      <c r="AE380" s="197">
        <f>VLOOKUP(B380,Reference!A:B,2,0)</f>
        <v>15758.4</v>
      </c>
    </row>
    <row r="381" spans="1:31">
      <c r="A381" s="3">
        <v>2011</v>
      </c>
      <c r="B381" s="3" t="s">
        <v>460</v>
      </c>
      <c r="C381" s="191">
        <v>40575</v>
      </c>
      <c r="D381" s="192">
        <v>2900033</v>
      </c>
      <c r="E381" s="193">
        <v>310839.99000000005</v>
      </c>
      <c r="F381" s="227">
        <f t="shared" si="33"/>
        <v>0.1071849837570814</v>
      </c>
      <c r="G381" s="194">
        <v>118324</v>
      </c>
      <c r="H381" s="193">
        <v>88350.79</v>
      </c>
      <c r="I381" s="193">
        <f t="shared" si="34"/>
        <v>0.74668528785368982</v>
      </c>
      <c r="J381" s="229"/>
      <c r="K381" s="193"/>
      <c r="L381" s="195">
        <v>647.69000000000005</v>
      </c>
      <c r="M381" s="193">
        <v>2412.4699999999998</v>
      </c>
      <c r="N381" s="229">
        <v>91.83</v>
      </c>
      <c r="O381" s="193">
        <v>346.65</v>
      </c>
      <c r="P381" s="199"/>
      <c r="Q381" s="196"/>
      <c r="R381" s="194"/>
      <c r="S381" s="193"/>
      <c r="T381" s="193"/>
      <c r="U381" s="197">
        <v>6953</v>
      </c>
      <c r="V381" s="196">
        <v>27381.43</v>
      </c>
      <c r="W381" s="196">
        <f t="shared" si="32"/>
        <v>3.9380742125701138</v>
      </c>
      <c r="X381" s="197">
        <v>1126.386</v>
      </c>
      <c r="Y381" s="196">
        <v>7399.49</v>
      </c>
      <c r="Z381" s="196">
        <f t="shared" si="35"/>
        <v>6.5692311516655923</v>
      </c>
      <c r="AA381" s="95">
        <v>43.54</v>
      </c>
      <c r="AB381" s="193">
        <v>6365.35</v>
      </c>
      <c r="AC381" s="198">
        <v>0.33</v>
      </c>
      <c r="AD381" s="197">
        <v>2966157.39</v>
      </c>
      <c r="AE381" s="197">
        <f>VLOOKUP(B381,Reference!A:B,2,0)</f>
        <v>15758.4</v>
      </c>
    </row>
    <row r="382" spans="1:31">
      <c r="A382" s="3">
        <v>2011</v>
      </c>
      <c r="B382" s="3" t="s">
        <v>460</v>
      </c>
      <c r="C382" s="191">
        <v>40603</v>
      </c>
      <c r="D382" s="192">
        <v>3140567</v>
      </c>
      <c r="E382" s="193">
        <v>331568.15999999997</v>
      </c>
      <c r="F382" s="227">
        <f t="shared" si="33"/>
        <v>0.10557589123237937</v>
      </c>
      <c r="G382" s="194">
        <v>109444</v>
      </c>
      <c r="H382" s="193">
        <v>79073.760000000009</v>
      </c>
      <c r="I382" s="193">
        <f t="shared" si="34"/>
        <v>0.72250429443368303</v>
      </c>
      <c r="J382" s="229"/>
      <c r="K382" s="193"/>
      <c r="L382" s="195">
        <v>968.01</v>
      </c>
      <c r="M382" s="193">
        <v>3895.9</v>
      </c>
      <c r="N382" s="229">
        <v>0</v>
      </c>
      <c r="O382" s="193">
        <v>0</v>
      </c>
      <c r="P382" s="199"/>
      <c r="Q382" s="196"/>
      <c r="R382" s="194"/>
      <c r="S382" s="193"/>
      <c r="T382" s="193"/>
      <c r="U382" s="197">
        <v>8645</v>
      </c>
      <c r="V382" s="196">
        <v>33598.519999999997</v>
      </c>
      <c r="W382" s="196">
        <f t="shared" si="32"/>
        <v>3.886468478889531</v>
      </c>
      <c r="X382" s="197">
        <v>1400.4900000000002</v>
      </c>
      <c r="Y382" s="196">
        <v>9183.4199999999983</v>
      </c>
      <c r="Z382" s="196">
        <f t="shared" si="35"/>
        <v>6.5572906625538181</v>
      </c>
      <c r="AA382" s="95">
        <v>29.96</v>
      </c>
      <c r="AB382" s="193">
        <v>5390.35</v>
      </c>
      <c r="AC382" s="198">
        <v>0</v>
      </c>
      <c r="AD382" s="197">
        <v>2966157.39</v>
      </c>
      <c r="AE382" s="197">
        <f>VLOOKUP(B382,Reference!A:B,2,0)</f>
        <v>15758.4</v>
      </c>
    </row>
    <row r="383" spans="1:31">
      <c r="A383" s="3">
        <v>2011</v>
      </c>
      <c r="B383" s="3" t="s">
        <v>460</v>
      </c>
      <c r="C383" s="191">
        <v>40634</v>
      </c>
      <c r="D383" s="192">
        <v>3146603</v>
      </c>
      <c r="E383" s="193">
        <v>331429.33</v>
      </c>
      <c r="F383" s="227">
        <f t="shared" si="33"/>
        <v>0.10532924871679078</v>
      </c>
      <c r="G383" s="194">
        <v>74960</v>
      </c>
      <c r="H383" s="193">
        <v>60282.460000000006</v>
      </c>
      <c r="I383" s="193">
        <f t="shared" si="34"/>
        <v>0.80419503735325515</v>
      </c>
      <c r="J383" s="229"/>
      <c r="K383" s="193"/>
      <c r="L383" s="195">
        <v>1569.52</v>
      </c>
      <c r="M383" s="193">
        <v>6507</v>
      </c>
      <c r="N383" s="229">
        <v>0</v>
      </c>
      <c r="O383" s="193">
        <v>0</v>
      </c>
      <c r="P383" s="199"/>
      <c r="Q383" s="196"/>
      <c r="R383" s="194"/>
      <c r="S383" s="193"/>
      <c r="T383" s="193"/>
      <c r="U383" s="197">
        <v>10982</v>
      </c>
      <c r="V383" s="196">
        <v>41686.36</v>
      </c>
      <c r="W383" s="196">
        <f t="shared" si="32"/>
        <v>3.7958805317792752</v>
      </c>
      <c r="X383" s="197">
        <v>1779.0840000000001</v>
      </c>
      <c r="Y383" s="196">
        <v>11663.119999999999</v>
      </c>
      <c r="Z383" s="196">
        <f t="shared" si="35"/>
        <v>6.5556882080891059</v>
      </c>
      <c r="AA383" s="95">
        <v>30.58</v>
      </c>
      <c r="AB383" s="193">
        <v>6040.35</v>
      </c>
      <c r="AC383" s="198">
        <v>0</v>
      </c>
      <c r="AD383" s="197">
        <v>2966157.39</v>
      </c>
      <c r="AE383" s="197">
        <f>VLOOKUP(B383,Reference!A:B,2,0)</f>
        <v>15758.4</v>
      </c>
    </row>
    <row r="384" spans="1:31">
      <c r="A384" s="3">
        <v>2011</v>
      </c>
      <c r="B384" s="3" t="s">
        <v>460</v>
      </c>
      <c r="C384" s="191">
        <v>40664</v>
      </c>
      <c r="D384" s="192">
        <v>3294755</v>
      </c>
      <c r="E384" s="193">
        <v>350133.35</v>
      </c>
      <c r="F384" s="227">
        <f t="shared" si="33"/>
        <v>0.10626991991817297</v>
      </c>
      <c r="G384" s="194">
        <v>69541</v>
      </c>
      <c r="H384" s="193">
        <v>53348.6</v>
      </c>
      <c r="I384" s="193">
        <f t="shared" si="34"/>
        <v>0.76715319020433992</v>
      </c>
      <c r="J384" s="229"/>
      <c r="K384" s="193"/>
      <c r="L384" s="195">
        <v>845.2</v>
      </c>
      <c r="M384" s="193">
        <v>3734.11</v>
      </c>
      <c r="N384" s="229">
        <v>22.8</v>
      </c>
      <c r="O384" s="193">
        <v>100</v>
      </c>
      <c r="P384" s="199"/>
      <c r="Q384" s="196"/>
      <c r="R384" s="194"/>
      <c r="S384" s="193"/>
      <c r="T384" s="193"/>
      <c r="U384" s="197">
        <v>11701</v>
      </c>
      <c r="V384" s="196">
        <v>44439.98</v>
      </c>
      <c r="W384" s="196">
        <f t="shared" si="32"/>
        <v>3.7979642765575594</v>
      </c>
      <c r="X384" s="197">
        <v>1895.5619999999999</v>
      </c>
      <c r="Y384" s="196">
        <v>12470.989999999998</v>
      </c>
      <c r="Z384" s="196">
        <f t="shared" si="35"/>
        <v>6.5790462142625765</v>
      </c>
      <c r="AA384" s="95">
        <v>34.299999999999997</v>
      </c>
      <c r="AB384" s="193">
        <v>5715.35</v>
      </c>
      <c r="AC384" s="198">
        <v>0</v>
      </c>
      <c r="AD384" s="197">
        <v>2966157.39</v>
      </c>
      <c r="AE384" s="197">
        <f>VLOOKUP(B384,Reference!A:B,2,0)</f>
        <v>15758.4</v>
      </c>
    </row>
    <row r="385" spans="1:31">
      <c r="A385" s="3">
        <v>2011</v>
      </c>
      <c r="B385" s="3" t="s">
        <v>460</v>
      </c>
      <c r="C385" s="191">
        <v>40695</v>
      </c>
      <c r="D385" s="192">
        <v>3111848</v>
      </c>
      <c r="E385" s="193">
        <v>364254.52</v>
      </c>
      <c r="F385" s="227">
        <f t="shared" si="33"/>
        <v>0.11705408490388991</v>
      </c>
      <c r="G385" s="194">
        <v>46089</v>
      </c>
      <c r="H385" s="193">
        <v>36220.11</v>
      </c>
      <c r="I385" s="193">
        <f t="shared" si="34"/>
        <v>0.78587320184859732</v>
      </c>
      <c r="J385" s="229"/>
      <c r="K385" s="193"/>
      <c r="L385" s="195">
        <v>2117.36</v>
      </c>
      <c r="M385" s="193">
        <v>6703.86</v>
      </c>
      <c r="N385" s="229">
        <v>128.16</v>
      </c>
      <c r="O385" s="193">
        <v>385.23</v>
      </c>
      <c r="P385" s="199"/>
      <c r="Q385" s="196"/>
      <c r="R385" s="194"/>
      <c r="S385" s="193"/>
      <c r="T385" s="193"/>
      <c r="U385" s="197">
        <v>14329</v>
      </c>
      <c r="V385" s="196">
        <v>53839.99</v>
      </c>
      <c r="W385" s="196">
        <f t="shared" si="32"/>
        <v>3.7574143345662643</v>
      </c>
      <c r="X385" s="197">
        <v>2321.2980000000002</v>
      </c>
      <c r="Y385" s="196">
        <v>15376.050000000001</v>
      </c>
      <c r="Z385" s="196">
        <f t="shared" si="35"/>
        <v>6.6239017997689222</v>
      </c>
      <c r="AA385" s="95">
        <v>30.01</v>
      </c>
      <c r="AB385" s="193">
        <v>5715.35</v>
      </c>
      <c r="AC385" s="198">
        <v>0</v>
      </c>
      <c r="AD385" s="197">
        <v>2966157.39</v>
      </c>
      <c r="AE385" s="197">
        <f>VLOOKUP(B385,Reference!A:B,2,0)</f>
        <v>15758.4</v>
      </c>
    </row>
    <row r="386" spans="1:31">
      <c r="A386" s="3">
        <v>2011</v>
      </c>
      <c r="B386" s="3" t="s">
        <v>128</v>
      </c>
      <c r="C386" s="191">
        <v>40725</v>
      </c>
      <c r="D386" s="192">
        <v>3582431</v>
      </c>
      <c r="E386" s="193">
        <v>409429.52999999997</v>
      </c>
      <c r="F386" s="227">
        <f t="shared" si="33"/>
        <v>0.11428818308014864</v>
      </c>
      <c r="G386" s="194">
        <v>32269</v>
      </c>
      <c r="H386" s="193">
        <v>24029.67</v>
      </c>
      <c r="I386" s="193">
        <f t="shared" si="34"/>
        <v>0.74466732777588396</v>
      </c>
      <c r="J386" s="229">
        <v>0</v>
      </c>
      <c r="K386" s="193">
        <v>0</v>
      </c>
      <c r="L386" s="195">
        <v>668.83</v>
      </c>
      <c r="M386" s="193">
        <v>2692.01</v>
      </c>
      <c r="N386" s="229">
        <v>0</v>
      </c>
      <c r="O386" s="193">
        <v>0</v>
      </c>
      <c r="P386" s="199">
        <v>0</v>
      </c>
      <c r="Q386" s="196">
        <v>0</v>
      </c>
      <c r="R386" s="194"/>
      <c r="S386" s="193"/>
      <c r="T386" s="193"/>
      <c r="U386" s="197">
        <v>13346</v>
      </c>
      <c r="V386" s="196">
        <v>49038.05</v>
      </c>
      <c r="W386" s="196">
        <f t="shared" si="32"/>
        <v>3.6743631050502024</v>
      </c>
      <c r="X386" s="197">
        <v>2162.0520000000001</v>
      </c>
      <c r="Y386" s="196">
        <v>14403.309999999998</v>
      </c>
      <c r="Z386" s="196">
        <f t="shared" si="35"/>
        <v>6.6618702972916459</v>
      </c>
      <c r="AA386" s="95">
        <v>87.92</v>
      </c>
      <c r="AB386" s="193">
        <v>11565.35</v>
      </c>
      <c r="AC386" s="198">
        <v>0</v>
      </c>
      <c r="AD386" s="197">
        <v>2966157.39</v>
      </c>
      <c r="AE386" s="197">
        <f>VLOOKUP(B386,Reference!A:B,2,0)</f>
        <v>17208.900000000001</v>
      </c>
    </row>
    <row r="387" spans="1:31">
      <c r="A387" s="3">
        <v>2011</v>
      </c>
      <c r="B387" s="3" t="s">
        <v>128</v>
      </c>
      <c r="C387" s="191">
        <v>40756</v>
      </c>
      <c r="D387" s="192">
        <v>3600783</v>
      </c>
      <c r="E387" s="193">
        <v>405687.66000000003</v>
      </c>
      <c r="F387" s="227">
        <f t="shared" si="33"/>
        <v>0.11266651170037184</v>
      </c>
      <c r="G387" s="194">
        <v>33238</v>
      </c>
      <c r="H387" s="193">
        <v>24106.920000000002</v>
      </c>
      <c r="I387" s="193">
        <f t="shared" si="34"/>
        <v>0.72528190625188038</v>
      </c>
      <c r="J387" s="229">
        <v>0</v>
      </c>
      <c r="K387" s="193">
        <v>0</v>
      </c>
      <c r="L387" s="195">
        <v>809.7</v>
      </c>
      <c r="M387" s="193">
        <v>3236.17</v>
      </c>
      <c r="N387" s="229">
        <v>0</v>
      </c>
      <c r="O387" s="193">
        <v>0</v>
      </c>
      <c r="P387" s="199">
        <v>0</v>
      </c>
      <c r="Q387" s="196">
        <v>0</v>
      </c>
      <c r="R387" s="194"/>
      <c r="S387" s="193"/>
      <c r="T387" s="193"/>
      <c r="U387" s="197">
        <v>14538</v>
      </c>
      <c r="V387" s="196">
        <v>53404.83</v>
      </c>
      <c r="W387" s="196">
        <f t="shared" si="32"/>
        <v>3.6734647131654974</v>
      </c>
      <c r="X387" s="197">
        <v>2355.1559999999999</v>
      </c>
      <c r="Y387" s="196">
        <v>15692.61</v>
      </c>
      <c r="Z387" s="196">
        <f t="shared" si="35"/>
        <v>6.6630872859377472</v>
      </c>
      <c r="AA387" s="95">
        <v>95.24</v>
      </c>
      <c r="AB387" s="193">
        <v>10915.35</v>
      </c>
      <c r="AC387" s="198">
        <v>0</v>
      </c>
      <c r="AD387" s="197">
        <v>2966157.39</v>
      </c>
      <c r="AE387" s="197">
        <f>VLOOKUP(B387,Reference!A:B,2,0)</f>
        <v>17208.900000000001</v>
      </c>
    </row>
    <row r="388" spans="1:31">
      <c r="A388" s="3">
        <v>2011</v>
      </c>
      <c r="B388" s="3" t="s">
        <v>128</v>
      </c>
      <c r="C388" s="191">
        <v>40787</v>
      </c>
      <c r="D388" s="192">
        <v>3404850</v>
      </c>
      <c r="E388" s="193">
        <v>391540.1</v>
      </c>
      <c r="F388" s="227">
        <f t="shared" si="33"/>
        <v>0.1149948162180419</v>
      </c>
      <c r="G388" s="194">
        <v>29614</v>
      </c>
      <c r="H388" s="193">
        <v>21897.32</v>
      </c>
      <c r="I388" s="193">
        <f t="shared" si="34"/>
        <v>0.73942459647464032</v>
      </c>
      <c r="J388" s="229">
        <v>0</v>
      </c>
      <c r="K388" s="193">
        <v>0</v>
      </c>
      <c r="L388" s="195">
        <v>931.98</v>
      </c>
      <c r="M388" s="193">
        <v>3862.68</v>
      </c>
      <c r="N388" s="229">
        <v>0</v>
      </c>
      <c r="O388" s="193">
        <v>0</v>
      </c>
      <c r="P388" s="199">
        <v>0</v>
      </c>
      <c r="Q388" s="196">
        <v>0</v>
      </c>
      <c r="R388" s="194"/>
      <c r="S388" s="193"/>
      <c r="T388" s="193"/>
      <c r="U388" s="197">
        <v>13231</v>
      </c>
      <c r="V388" s="196">
        <v>46891.76</v>
      </c>
      <c r="W388" s="196">
        <f t="shared" si="32"/>
        <v>3.5440828357644927</v>
      </c>
      <c r="X388" s="197">
        <v>2143.422</v>
      </c>
      <c r="Y388" s="196">
        <v>14268.11</v>
      </c>
      <c r="Z388" s="196">
        <f t="shared" si="35"/>
        <v>6.656696628102166</v>
      </c>
      <c r="AA388" s="95">
        <v>49.230000000000004</v>
      </c>
      <c r="AB388" s="193">
        <v>6660.35</v>
      </c>
      <c r="AC388" s="198">
        <v>0</v>
      </c>
      <c r="AD388" s="197">
        <v>2966157.39</v>
      </c>
      <c r="AE388" s="197">
        <f>VLOOKUP(B388,Reference!A:B,2,0)</f>
        <v>17208.900000000001</v>
      </c>
    </row>
    <row r="389" spans="1:31">
      <c r="A389" s="3">
        <v>2011</v>
      </c>
      <c r="B389" s="3" t="s">
        <v>128</v>
      </c>
      <c r="C389" s="191">
        <v>40817</v>
      </c>
      <c r="D389" s="192">
        <v>3505376</v>
      </c>
      <c r="E389" s="193">
        <v>363953.34</v>
      </c>
      <c r="F389" s="227">
        <f t="shared" si="33"/>
        <v>0.10382719000757694</v>
      </c>
      <c r="G389" s="194">
        <v>49268</v>
      </c>
      <c r="H389" s="193">
        <v>36293.19</v>
      </c>
      <c r="I389" s="193">
        <f t="shared" si="34"/>
        <v>0.73664833157424703</v>
      </c>
      <c r="J389" s="229">
        <v>0</v>
      </c>
      <c r="K389" s="193">
        <v>0</v>
      </c>
      <c r="L389" s="195">
        <v>898.67</v>
      </c>
      <c r="M389" s="193">
        <v>3747</v>
      </c>
      <c r="N389" s="229">
        <v>27.51</v>
      </c>
      <c r="O389" s="193">
        <v>118.28</v>
      </c>
      <c r="P389" s="199">
        <v>0</v>
      </c>
      <c r="Q389" s="196">
        <v>0</v>
      </c>
      <c r="R389" s="194"/>
      <c r="S389" s="193"/>
      <c r="T389" s="193"/>
      <c r="U389" s="197">
        <v>11631</v>
      </c>
      <c r="V389" s="196">
        <v>36678.559999999998</v>
      </c>
      <c r="W389" s="196">
        <f t="shared" si="32"/>
        <v>3.1535173243917116</v>
      </c>
      <c r="X389" s="197">
        <v>1884.2220000000002</v>
      </c>
      <c r="Y389" s="196">
        <v>12487.48</v>
      </c>
      <c r="Z389" s="196">
        <f t="shared" si="35"/>
        <v>6.6273931628014102</v>
      </c>
      <c r="AA389" s="95">
        <v>37.770000000000003</v>
      </c>
      <c r="AB389" s="193">
        <v>5715.35</v>
      </c>
      <c r="AC389" s="198">
        <v>0</v>
      </c>
      <c r="AD389" s="197">
        <v>2966157.39</v>
      </c>
      <c r="AE389" s="197">
        <f>VLOOKUP(B389,Reference!A:B,2,0)</f>
        <v>17208.900000000001</v>
      </c>
    </row>
    <row r="390" spans="1:31">
      <c r="A390" s="3">
        <v>2011</v>
      </c>
      <c r="B390" s="3" t="s">
        <v>128</v>
      </c>
      <c r="C390" s="191">
        <v>40848</v>
      </c>
      <c r="D390" s="192">
        <v>3176653</v>
      </c>
      <c r="E390" s="193">
        <v>336258.57</v>
      </c>
      <c r="F390" s="227">
        <f t="shared" si="33"/>
        <v>0.10585310073212277</v>
      </c>
      <c r="G390" s="194">
        <v>98264</v>
      </c>
      <c r="H390" s="193">
        <v>64866.409999999996</v>
      </c>
      <c r="I390" s="193">
        <f t="shared" si="34"/>
        <v>0.66012385003663598</v>
      </c>
      <c r="J390" s="229">
        <v>0</v>
      </c>
      <c r="K390" s="193">
        <v>0</v>
      </c>
      <c r="L390" s="195">
        <v>716.91</v>
      </c>
      <c r="M390" s="193">
        <v>2954.85</v>
      </c>
      <c r="N390" s="229">
        <v>0</v>
      </c>
      <c r="O390" s="193">
        <v>0</v>
      </c>
      <c r="P390" s="199">
        <v>0</v>
      </c>
      <c r="Q390" s="196">
        <v>0</v>
      </c>
      <c r="R390" s="194"/>
      <c r="S390" s="193"/>
      <c r="T390" s="193"/>
      <c r="U390" s="197">
        <v>11873</v>
      </c>
      <c r="V390" s="196">
        <v>37320.090000000004</v>
      </c>
      <c r="W390" s="196">
        <f t="shared" si="32"/>
        <v>3.1432738145371855</v>
      </c>
      <c r="X390" s="197">
        <v>1923.4260000000002</v>
      </c>
      <c r="Y390" s="196">
        <v>12747.98</v>
      </c>
      <c r="Z390" s="196">
        <f t="shared" si="35"/>
        <v>6.6277465314496107</v>
      </c>
      <c r="AA390" s="95">
        <v>29.89</v>
      </c>
      <c r="AB390" s="193">
        <v>5715.35</v>
      </c>
      <c r="AC390" s="198">
        <v>0</v>
      </c>
      <c r="AD390" s="197">
        <v>2966157.39</v>
      </c>
      <c r="AE390" s="197">
        <f>VLOOKUP(B390,Reference!A:B,2,0)</f>
        <v>17208.900000000001</v>
      </c>
    </row>
    <row r="391" spans="1:31">
      <c r="A391" s="3">
        <v>2011</v>
      </c>
      <c r="B391" s="3" t="s">
        <v>128</v>
      </c>
      <c r="C391" s="191">
        <v>40878</v>
      </c>
      <c r="D391" s="192">
        <v>2908008</v>
      </c>
      <c r="E391" s="193">
        <v>311031.19</v>
      </c>
      <c r="F391" s="227">
        <f t="shared" si="33"/>
        <v>0.10695678622617269</v>
      </c>
      <c r="G391" s="194">
        <v>114355</v>
      </c>
      <c r="H391" s="193">
        <v>81128.94</v>
      </c>
      <c r="I391" s="193">
        <f t="shared" si="34"/>
        <v>0.70944812207599151</v>
      </c>
      <c r="J391" s="229">
        <v>0</v>
      </c>
      <c r="K391" s="193">
        <v>0</v>
      </c>
      <c r="L391" s="195">
        <v>738.46</v>
      </c>
      <c r="M391" s="193">
        <v>2859.84</v>
      </c>
      <c r="N391" s="229">
        <v>0</v>
      </c>
      <c r="O391" s="193">
        <v>0</v>
      </c>
      <c r="P391" s="199">
        <v>0</v>
      </c>
      <c r="Q391" s="196">
        <v>0</v>
      </c>
      <c r="R391" s="194"/>
      <c r="S391" s="193"/>
      <c r="T391" s="193"/>
      <c r="U391" s="197">
        <v>8844</v>
      </c>
      <c r="V391" s="196">
        <v>28351.840000000004</v>
      </c>
      <c r="W391" s="196">
        <f t="shared" ref="W391:W454" si="36">IF(U391=0,0,V391/U391)</f>
        <v>3.2057711442786072</v>
      </c>
      <c r="X391" s="197">
        <v>1432.7280000000001</v>
      </c>
      <c r="Y391" s="196">
        <v>9499.98</v>
      </c>
      <c r="Z391" s="196">
        <f t="shared" si="35"/>
        <v>6.6306933346734338</v>
      </c>
      <c r="AA391" s="95">
        <v>61.400000000000006</v>
      </c>
      <c r="AB391" s="193">
        <v>8965.35</v>
      </c>
      <c r="AC391" s="198">
        <v>0</v>
      </c>
      <c r="AD391" s="197">
        <v>2966157.39</v>
      </c>
      <c r="AE391" s="197">
        <f>VLOOKUP(B391,Reference!A:B,2,0)</f>
        <v>17208.900000000001</v>
      </c>
    </row>
    <row r="392" spans="1:31">
      <c r="A392" s="3">
        <v>2012</v>
      </c>
      <c r="B392" s="3" t="s">
        <v>128</v>
      </c>
      <c r="C392" s="191">
        <v>40909</v>
      </c>
      <c r="D392" s="192">
        <v>3189602</v>
      </c>
      <c r="E392" s="193">
        <v>336421.02999999997</v>
      </c>
      <c r="F392" s="227">
        <f t="shared" si="33"/>
        <v>0.10547429742017969</v>
      </c>
      <c r="G392" s="194">
        <v>79023.28</v>
      </c>
      <c r="H392" s="193">
        <v>78707.64</v>
      </c>
      <c r="I392" s="193">
        <f t="shared" si="34"/>
        <v>0.99600573400648518</v>
      </c>
      <c r="J392" s="229">
        <v>0</v>
      </c>
      <c r="K392" s="193">
        <v>0</v>
      </c>
      <c r="L392" s="195">
        <v>909.19999999999993</v>
      </c>
      <c r="M392" s="193">
        <v>3510.01</v>
      </c>
      <c r="N392" s="229">
        <v>35</v>
      </c>
      <c r="O392" s="193">
        <v>172.00925000000001</v>
      </c>
      <c r="P392" s="199">
        <v>0</v>
      </c>
      <c r="Q392" s="196">
        <v>0</v>
      </c>
      <c r="R392" s="194"/>
      <c r="S392" s="193"/>
      <c r="T392" s="193"/>
      <c r="U392" s="197">
        <v>8844</v>
      </c>
      <c r="V392" s="196">
        <v>28351.840000000004</v>
      </c>
      <c r="W392" s="196">
        <f t="shared" si="36"/>
        <v>3.2057711442786072</v>
      </c>
      <c r="X392" s="197">
        <v>2881</v>
      </c>
      <c r="Y392" s="196">
        <v>9499.9800000000014</v>
      </c>
      <c r="Z392" s="196">
        <f t="shared" si="35"/>
        <v>3.2974592155501568</v>
      </c>
      <c r="AA392" s="95">
        <v>43</v>
      </c>
      <c r="AB392" s="193">
        <v>6690.35</v>
      </c>
      <c r="AC392" s="198">
        <v>0</v>
      </c>
      <c r="AD392" s="197">
        <v>2966157.39</v>
      </c>
      <c r="AE392" s="197">
        <f>VLOOKUP(B392,Reference!A:B,2,0)</f>
        <v>17208.900000000001</v>
      </c>
    </row>
    <row r="393" spans="1:31">
      <c r="A393" s="3">
        <v>2012</v>
      </c>
      <c r="B393" s="3" t="s">
        <v>128</v>
      </c>
      <c r="C393" s="191">
        <v>40940</v>
      </c>
      <c r="D393" s="192">
        <v>3039812</v>
      </c>
      <c r="E393" s="193">
        <v>324500.82999999996</v>
      </c>
      <c r="F393" s="227">
        <f t="shared" si="33"/>
        <v>0.10675029574197351</v>
      </c>
      <c r="G393" s="194">
        <v>106593</v>
      </c>
      <c r="H393" s="193">
        <v>70315.099999999991</v>
      </c>
      <c r="I393" s="193">
        <f t="shared" si="34"/>
        <v>0.6596596399388327</v>
      </c>
      <c r="J393" s="229">
        <v>0</v>
      </c>
      <c r="K393" s="193">
        <v>0</v>
      </c>
      <c r="L393" s="195">
        <v>2244.9499999999998</v>
      </c>
      <c r="M393" s="193">
        <v>9870.3509750000012</v>
      </c>
      <c r="N393" s="229">
        <v>157.16999999999999</v>
      </c>
      <c r="O393" s="193">
        <v>511.89</v>
      </c>
      <c r="P393" s="199">
        <v>0</v>
      </c>
      <c r="Q393" s="196">
        <v>0</v>
      </c>
      <c r="R393" s="194"/>
      <c r="S393" s="193"/>
      <c r="T393" s="193"/>
      <c r="U393" s="197">
        <v>10818</v>
      </c>
      <c r="V393" s="196">
        <v>36133.89</v>
      </c>
      <c r="W393" s="196">
        <f t="shared" si="36"/>
        <v>3.3401636161952299</v>
      </c>
      <c r="X393" s="197">
        <v>3509</v>
      </c>
      <c r="Y393" s="196">
        <v>10169.380000000001</v>
      </c>
      <c r="Z393" s="196">
        <f t="shared" si="35"/>
        <v>2.898084924479909</v>
      </c>
      <c r="AA393" s="95">
        <v>49.18</v>
      </c>
      <c r="AB393" s="193">
        <v>6690.4</v>
      </c>
      <c r="AC393" s="198">
        <v>0</v>
      </c>
      <c r="AD393" s="197">
        <v>2966157.39</v>
      </c>
      <c r="AE393" s="197">
        <f>VLOOKUP(B393,Reference!A:B,2,0)</f>
        <v>17208.900000000001</v>
      </c>
    </row>
    <row r="394" spans="1:31">
      <c r="A394" s="3">
        <v>2012</v>
      </c>
      <c r="B394" s="3" t="s">
        <v>128</v>
      </c>
      <c r="C394" s="191">
        <v>40969</v>
      </c>
      <c r="D394" s="192">
        <v>3172010</v>
      </c>
      <c r="E394" s="193">
        <v>335225.32</v>
      </c>
      <c r="F394" s="227">
        <f t="shared" si="33"/>
        <v>0.10568230238870621</v>
      </c>
      <c r="G394" s="194">
        <v>114092</v>
      </c>
      <c r="H394" s="193">
        <v>72412.95</v>
      </c>
      <c r="I394" s="193">
        <f t="shared" si="34"/>
        <v>0.63468911054236932</v>
      </c>
      <c r="J394" s="229">
        <v>0</v>
      </c>
      <c r="K394" s="193">
        <v>0</v>
      </c>
      <c r="L394" s="195">
        <v>2217.16</v>
      </c>
      <c r="M394" s="193">
        <v>10256.0532</v>
      </c>
      <c r="N394" s="229">
        <v>374.04</v>
      </c>
      <c r="O394" s="193">
        <v>1697.2955999999999</v>
      </c>
      <c r="P394" s="199">
        <v>0</v>
      </c>
      <c r="Q394" s="196">
        <v>0</v>
      </c>
      <c r="R394" s="194"/>
      <c r="S394" s="193"/>
      <c r="T394" s="193"/>
      <c r="U394" s="197">
        <v>10339</v>
      </c>
      <c r="V394" s="196">
        <v>34548.61</v>
      </c>
      <c r="W394" s="196">
        <f t="shared" si="36"/>
        <v>3.341581390850179</v>
      </c>
      <c r="X394" s="197">
        <v>1674.9180000000001</v>
      </c>
      <c r="Y394" s="196">
        <v>11095.960000000001</v>
      </c>
      <c r="Z394" s="196">
        <f t="shared" si="35"/>
        <v>6.6247780488358234</v>
      </c>
      <c r="AA394" s="95">
        <v>27.81</v>
      </c>
      <c r="AB394" s="193">
        <v>5715.4</v>
      </c>
      <c r="AC394" s="198">
        <v>0</v>
      </c>
      <c r="AD394" s="197">
        <v>2966157.39</v>
      </c>
      <c r="AE394" s="197">
        <f>VLOOKUP(B394,Reference!A:B,2,0)</f>
        <v>17208.900000000001</v>
      </c>
    </row>
    <row r="395" spans="1:31">
      <c r="A395" s="3">
        <v>2012</v>
      </c>
      <c r="B395" s="3" t="s">
        <v>128</v>
      </c>
      <c r="C395" s="191">
        <v>41000</v>
      </c>
      <c r="D395" s="192">
        <v>3194376</v>
      </c>
      <c r="E395" s="193">
        <v>337285.16000000003</v>
      </c>
      <c r="F395" s="227">
        <f t="shared" si="33"/>
        <v>0.10558718197231635</v>
      </c>
      <c r="G395" s="194">
        <v>85297</v>
      </c>
      <c r="H395" s="193">
        <v>57090.850000000006</v>
      </c>
      <c r="I395" s="193">
        <f t="shared" si="34"/>
        <v>0.66931838165468893</v>
      </c>
      <c r="J395" s="229">
        <v>16</v>
      </c>
      <c r="K395" s="193">
        <v>72.64</v>
      </c>
      <c r="L395" s="195">
        <v>2052.19</v>
      </c>
      <c r="M395" s="193">
        <v>9053.25</v>
      </c>
      <c r="N395" s="229">
        <v>61.53</v>
      </c>
      <c r="O395" s="193">
        <v>272.95</v>
      </c>
      <c r="P395" s="199">
        <v>62</v>
      </c>
      <c r="Q395" s="196">
        <v>217</v>
      </c>
      <c r="R395" s="194"/>
      <c r="S395" s="193"/>
      <c r="T395" s="193"/>
      <c r="U395" s="197">
        <v>8265</v>
      </c>
      <c r="V395" s="196">
        <v>30553.62</v>
      </c>
      <c r="W395" s="196">
        <f t="shared" si="36"/>
        <v>3.6967477313974588</v>
      </c>
      <c r="X395" s="197">
        <v>4473</v>
      </c>
      <c r="Y395" s="196">
        <v>14865.62</v>
      </c>
      <c r="Z395" s="196">
        <f t="shared" si="35"/>
        <v>3.3234115805946796</v>
      </c>
      <c r="AA395" s="95">
        <v>27.81</v>
      </c>
      <c r="AB395" s="193">
        <v>6690.4</v>
      </c>
      <c r="AC395" s="198">
        <v>0</v>
      </c>
      <c r="AD395" s="197">
        <v>2966157.39</v>
      </c>
      <c r="AE395" s="197">
        <f>VLOOKUP(B395,Reference!A:B,2,0)</f>
        <v>17208.900000000001</v>
      </c>
    </row>
    <row r="396" spans="1:31">
      <c r="A396" s="3">
        <v>2012</v>
      </c>
      <c r="B396" s="3" t="s">
        <v>128</v>
      </c>
      <c r="C396" s="191">
        <v>41030</v>
      </c>
      <c r="D396" s="192">
        <v>2903046</v>
      </c>
      <c r="E396" s="193">
        <v>312149.54000000004</v>
      </c>
      <c r="F396" s="227">
        <f t="shared" si="33"/>
        <v>0.10752483426029076</v>
      </c>
      <c r="G396" s="194">
        <v>58679</v>
      </c>
      <c r="H396" s="193">
        <v>39092.61</v>
      </c>
      <c r="I396" s="193">
        <f t="shared" si="34"/>
        <v>0.66621125104381462</v>
      </c>
      <c r="J396" s="229">
        <v>30</v>
      </c>
      <c r="K396" s="193">
        <v>135.6</v>
      </c>
      <c r="L396" s="195">
        <v>2881.9399999999996</v>
      </c>
      <c r="M396" s="193">
        <v>12745.38</v>
      </c>
      <c r="N396" s="229">
        <v>71.41</v>
      </c>
      <c r="O396" s="193">
        <v>311.33019999999999</v>
      </c>
      <c r="P396" s="199">
        <v>0</v>
      </c>
      <c r="Q396" s="196">
        <v>0</v>
      </c>
      <c r="R396" s="194"/>
      <c r="S396" s="193"/>
      <c r="T396" s="193"/>
      <c r="U396" s="197">
        <v>10421</v>
      </c>
      <c r="V396" s="196">
        <v>39687.79</v>
      </c>
      <c r="W396" s="196">
        <f t="shared" si="36"/>
        <v>3.808443527492563</v>
      </c>
      <c r="X396" s="197">
        <v>5652</v>
      </c>
      <c r="Y396" s="196">
        <v>19485.04</v>
      </c>
      <c r="Z396" s="196">
        <f t="shared" si="35"/>
        <v>3.4474593064401984</v>
      </c>
      <c r="AA396" s="95">
        <v>55.18</v>
      </c>
      <c r="AB396" s="193">
        <v>6690.4</v>
      </c>
      <c r="AC396" s="198">
        <v>0</v>
      </c>
      <c r="AD396" s="197">
        <v>2966157.39</v>
      </c>
      <c r="AE396" s="197">
        <f>VLOOKUP(B396,Reference!A:B,2,0)</f>
        <v>17208.900000000001</v>
      </c>
    </row>
    <row r="397" spans="1:31">
      <c r="A397" s="3">
        <v>2012</v>
      </c>
      <c r="B397" s="3" t="s">
        <v>128</v>
      </c>
      <c r="C397" s="191">
        <v>41061</v>
      </c>
      <c r="D397" s="192">
        <v>3428784</v>
      </c>
      <c r="E397" s="193">
        <v>396577.41</v>
      </c>
      <c r="F397" s="227">
        <f t="shared" si="33"/>
        <v>0.1156612402531043</v>
      </c>
      <c r="G397" s="194">
        <v>39208</v>
      </c>
      <c r="H397" s="193">
        <v>27470.120000000003</v>
      </c>
      <c r="I397" s="193">
        <f t="shared" si="34"/>
        <v>0.70062538257498475</v>
      </c>
      <c r="J397" s="229">
        <v>0</v>
      </c>
      <c r="K397" s="193">
        <v>0</v>
      </c>
      <c r="L397" s="195">
        <v>1924.19</v>
      </c>
      <c r="M397" s="193">
        <v>8324.59</v>
      </c>
      <c r="N397" s="229">
        <v>0</v>
      </c>
      <c r="O397" s="193">
        <v>0</v>
      </c>
      <c r="P397" s="199">
        <v>38</v>
      </c>
      <c r="Q397" s="196">
        <v>133</v>
      </c>
      <c r="R397" s="194"/>
      <c r="S397" s="193"/>
      <c r="T397" s="193"/>
      <c r="U397" s="197">
        <v>15358</v>
      </c>
      <c r="V397" s="196">
        <v>58304.51</v>
      </c>
      <c r="W397" s="196">
        <f t="shared" si="36"/>
        <v>3.7963608542779008</v>
      </c>
      <c r="X397" s="197">
        <v>8286</v>
      </c>
      <c r="Y397" s="196">
        <v>28565.65</v>
      </c>
      <c r="Z397" s="196">
        <f t="shared" si="35"/>
        <v>3.4474595703596429</v>
      </c>
      <c r="AA397" s="95">
        <v>28.970000000000002</v>
      </c>
      <c r="AB397" s="193">
        <v>5390.4</v>
      </c>
      <c r="AC397" s="198">
        <v>0</v>
      </c>
      <c r="AD397" s="197">
        <v>2966157.39</v>
      </c>
      <c r="AE397" s="197">
        <f>VLOOKUP(B397,Reference!A:B,2,0)</f>
        <v>17208.900000000001</v>
      </c>
    </row>
    <row r="398" spans="1:31">
      <c r="A398" s="3">
        <v>2012</v>
      </c>
      <c r="B398" s="3" t="s">
        <v>129</v>
      </c>
      <c r="C398" s="191">
        <v>41091</v>
      </c>
      <c r="D398" s="192">
        <v>3449031</v>
      </c>
      <c r="E398" s="193">
        <v>392345.29</v>
      </c>
      <c r="F398" s="227">
        <f t="shared" si="33"/>
        <v>0.11375522284374943</v>
      </c>
      <c r="G398" s="194">
        <v>28154</v>
      </c>
      <c r="H398" s="193">
        <v>19064.510000000002</v>
      </c>
      <c r="I398" s="193">
        <f t="shared" si="34"/>
        <v>0.677151026497123</v>
      </c>
      <c r="J398" s="229">
        <v>500</v>
      </c>
      <c r="K398" s="193">
        <v>1807.89</v>
      </c>
      <c r="L398" s="195">
        <v>2255.8000000000002</v>
      </c>
      <c r="M398" s="193">
        <v>8972.7799999999988</v>
      </c>
      <c r="N398" s="229">
        <v>9.25</v>
      </c>
      <c r="O398" s="193">
        <v>38.1</v>
      </c>
      <c r="P398" s="199">
        <v>0</v>
      </c>
      <c r="Q398" s="196">
        <v>0</v>
      </c>
      <c r="R398" s="194"/>
      <c r="S398" s="193"/>
      <c r="T398" s="193"/>
      <c r="U398" s="197">
        <v>15849</v>
      </c>
      <c r="V398" s="196">
        <v>60424.090000000004</v>
      </c>
      <c r="W398" s="196">
        <f t="shared" si="36"/>
        <v>3.8124859612593855</v>
      </c>
      <c r="X398" s="197">
        <v>8538</v>
      </c>
      <c r="Y398" s="196">
        <v>29835.83</v>
      </c>
      <c r="Z398" s="196">
        <f t="shared" si="35"/>
        <v>3.494475286952448</v>
      </c>
      <c r="AA398" s="95">
        <v>28.970000000000002</v>
      </c>
      <c r="AB398" s="193">
        <v>6690.4</v>
      </c>
      <c r="AC398" s="198">
        <v>0</v>
      </c>
      <c r="AD398" s="197">
        <v>2966157.39</v>
      </c>
      <c r="AE398" s="197">
        <f>VLOOKUP(B398,Reference!A:B,2,0)</f>
        <v>17668.3</v>
      </c>
    </row>
    <row r="399" spans="1:31">
      <c r="A399" s="3">
        <v>2012</v>
      </c>
      <c r="B399" s="3" t="s">
        <v>129</v>
      </c>
      <c r="C399" s="191">
        <v>41122</v>
      </c>
      <c r="D399" s="192">
        <v>3867533</v>
      </c>
      <c r="E399" s="193">
        <v>432222.47000000003</v>
      </c>
      <c r="F399" s="227">
        <f t="shared" si="33"/>
        <v>0.11175663400932843</v>
      </c>
      <c r="G399" s="194">
        <v>17927</v>
      </c>
      <c r="H399" s="193">
        <v>4006.3</v>
      </c>
      <c r="I399" s="193">
        <f t="shared" si="34"/>
        <v>0.22347855190494786</v>
      </c>
      <c r="J399" s="229">
        <v>96</v>
      </c>
      <c r="K399" s="193">
        <v>467.98</v>
      </c>
      <c r="L399" s="195">
        <v>1971.35</v>
      </c>
      <c r="M399" s="193">
        <v>8321.9699999999993</v>
      </c>
      <c r="N399" s="229">
        <v>0</v>
      </c>
      <c r="O399" s="193">
        <v>0</v>
      </c>
      <c r="P399" s="199">
        <v>27</v>
      </c>
      <c r="Q399" s="196">
        <v>94.5</v>
      </c>
      <c r="R399" s="194"/>
      <c r="S399" s="193"/>
      <c r="T399" s="193"/>
      <c r="U399" s="197">
        <v>13360</v>
      </c>
      <c r="V399" s="196">
        <v>51457.61</v>
      </c>
      <c r="W399" s="196">
        <f t="shared" si="36"/>
        <v>3.85161751497006</v>
      </c>
      <c r="X399" s="197">
        <v>7224</v>
      </c>
      <c r="Y399" s="196">
        <v>25988.19</v>
      </c>
      <c r="Z399" s="196">
        <f t="shared" si="35"/>
        <v>3.5974792358803986</v>
      </c>
      <c r="AA399" s="95">
        <v>28.61</v>
      </c>
      <c r="AB399" s="193">
        <v>960</v>
      </c>
      <c r="AC399" s="198">
        <v>0</v>
      </c>
      <c r="AD399" s="197">
        <v>2966157.39</v>
      </c>
      <c r="AE399" s="197">
        <f>VLOOKUP(B399,Reference!A:B,2,0)</f>
        <v>17668.3</v>
      </c>
    </row>
    <row r="400" spans="1:31">
      <c r="A400" s="3">
        <v>2012</v>
      </c>
      <c r="B400" s="3" t="s">
        <v>129</v>
      </c>
      <c r="C400" s="191">
        <v>41153</v>
      </c>
      <c r="D400" s="192">
        <v>3700506</v>
      </c>
      <c r="E400" s="193">
        <v>418140.49</v>
      </c>
      <c r="F400" s="227">
        <f t="shared" si="33"/>
        <v>0.11299549034645533</v>
      </c>
      <c r="G400" s="194">
        <v>17185</v>
      </c>
      <c r="H400" s="193">
        <v>13010.34</v>
      </c>
      <c r="I400" s="193">
        <f t="shared" si="34"/>
        <v>0.75707535641547863</v>
      </c>
      <c r="J400" s="229">
        <v>22.42</v>
      </c>
      <c r="K400" s="193">
        <v>102.66</v>
      </c>
      <c r="L400" s="195">
        <v>2088.73</v>
      </c>
      <c r="M400" s="193">
        <v>9185.7000000000007</v>
      </c>
      <c r="N400" s="229">
        <v>0</v>
      </c>
      <c r="O400" s="193">
        <v>0</v>
      </c>
      <c r="P400" s="199">
        <v>0</v>
      </c>
      <c r="Q400" s="196">
        <v>0</v>
      </c>
      <c r="R400" s="194"/>
      <c r="S400" s="193"/>
      <c r="T400" s="193"/>
      <c r="U400" s="197">
        <v>18177</v>
      </c>
      <c r="V400" s="196">
        <v>69900.47</v>
      </c>
      <c r="W400" s="196">
        <f t="shared" si="36"/>
        <v>3.845544919403642</v>
      </c>
      <c r="X400" s="197">
        <v>9802</v>
      </c>
      <c r="Y400" s="196">
        <v>35262.51</v>
      </c>
      <c r="Z400" s="196">
        <f t="shared" si="35"/>
        <v>3.5974811263007553</v>
      </c>
      <c r="AA400" s="95">
        <v>38.119999999999997</v>
      </c>
      <c r="AB400" s="193">
        <v>6150</v>
      </c>
      <c r="AC400" s="198">
        <v>0</v>
      </c>
      <c r="AD400" s="197">
        <v>2966157.39</v>
      </c>
      <c r="AE400" s="197">
        <f>VLOOKUP(B400,Reference!A:B,2,0)</f>
        <v>17668.3</v>
      </c>
    </row>
    <row r="401" spans="1:31">
      <c r="A401" s="3">
        <v>2012</v>
      </c>
      <c r="B401" s="3" t="s">
        <v>129</v>
      </c>
      <c r="C401" s="191">
        <v>41183</v>
      </c>
      <c r="D401" s="192">
        <v>3695410</v>
      </c>
      <c r="E401" s="193">
        <v>384908.84</v>
      </c>
      <c r="F401" s="227">
        <f t="shared" si="33"/>
        <v>0.10415862921840879</v>
      </c>
      <c r="G401" s="194">
        <v>39995</v>
      </c>
      <c r="H401" s="193">
        <v>29699.82</v>
      </c>
      <c r="I401" s="193">
        <f t="shared" si="34"/>
        <v>0.74258832354044257</v>
      </c>
      <c r="J401" s="229">
        <v>0</v>
      </c>
      <c r="K401" s="193">
        <v>0</v>
      </c>
      <c r="L401" s="195">
        <v>2636.7799999999997</v>
      </c>
      <c r="M401" s="193">
        <v>11929.32</v>
      </c>
      <c r="N401" s="229">
        <v>742.34</v>
      </c>
      <c r="O401" s="193">
        <v>2966.98</v>
      </c>
      <c r="P401" s="199">
        <v>81</v>
      </c>
      <c r="Q401" s="196">
        <v>283.5</v>
      </c>
      <c r="R401" s="194"/>
      <c r="S401" s="193"/>
      <c r="T401" s="193"/>
      <c r="U401" s="197">
        <v>15275</v>
      </c>
      <c r="V401" s="196">
        <v>59060.060000000005</v>
      </c>
      <c r="W401" s="196">
        <f t="shared" si="36"/>
        <v>3.8664523731587566</v>
      </c>
      <c r="X401" s="197">
        <v>8234</v>
      </c>
      <c r="Y401" s="196">
        <v>29621.65</v>
      </c>
      <c r="Z401" s="196">
        <f t="shared" si="35"/>
        <v>3.5974799611367501</v>
      </c>
      <c r="AA401" s="95">
        <v>49.17</v>
      </c>
      <c r="AB401" s="193">
        <v>10838.03</v>
      </c>
      <c r="AC401" s="198">
        <v>0</v>
      </c>
      <c r="AD401" s="197">
        <v>2966157.39</v>
      </c>
      <c r="AE401" s="197">
        <f>VLOOKUP(B401,Reference!A:B,2,0)</f>
        <v>17668.3</v>
      </c>
    </row>
    <row r="402" spans="1:31">
      <c r="A402" s="3">
        <v>2012</v>
      </c>
      <c r="B402" s="3" t="s">
        <v>129</v>
      </c>
      <c r="C402" s="191">
        <v>41214</v>
      </c>
      <c r="D402" s="192">
        <v>3233526</v>
      </c>
      <c r="E402" s="193">
        <v>354580.56</v>
      </c>
      <c r="F402" s="227">
        <f t="shared" si="33"/>
        <v>0.10965755648787114</v>
      </c>
      <c r="G402" s="194">
        <v>69680</v>
      </c>
      <c r="H402" s="193">
        <v>49344.6</v>
      </c>
      <c r="I402" s="193">
        <f t="shared" si="34"/>
        <v>0.7081601607347876</v>
      </c>
      <c r="J402" s="229">
        <v>450</v>
      </c>
      <c r="K402" s="193">
        <v>1889.32</v>
      </c>
      <c r="L402" s="195">
        <v>1860.3</v>
      </c>
      <c r="M402" s="193">
        <v>8555.14</v>
      </c>
      <c r="N402" s="229">
        <v>0</v>
      </c>
      <c r="O402" s="193">
        <v>0</v>
      </c>
      <c r="P402" s="199">
        <v>1860.3</v>
      </c>
      <c r="Q402" s="196">
        <v>0</v>
      </c>
      <c r="R402" s="194"/>
      <c r="S402" s="193"/>
      <c r="T402" s="193"/>
      <c r="U402" s="197">
        <v>12775</v>
      </c>
      <c r="V402" s="196">
        <v>50193.59</v>
      </c>
      <c r="W402" s="196">
        <f t="shared" si="36"/>
        <v>3.9290481409001954</v>
      </c>
      <c r="X402" s="197">
        <v>6912</v>
      </c>
      <c r="Y402" s="196">
        <v>24865.780000000002</v>
      </c>
      <c r="Z402" s="196">
        <f t="shared" si="35"/>
        <v>3.5974797453703706</v>
      </c>
      <c r="AA402" s="95">
        <v>52.27</v>
      </c>
      <c r="AB402" s="193">
        <v>9231</v>
      </c>
      <c r="AC402" s="198">
        <v>0</v>
      </c>
      <c r="AD402" s="197">
        <v>2966157.39</v>
      </c>
      <c r="AE402" s="197">
        <f>VLOOKUP(B402,Reference!A:B,2,0)</f>
        <v>17668.3</v>
      </c>
    </row>
    <row r="403" spans="1:31">
      <c r="A403" s="3">
        <v>2012</v>
      </c>
      <c r="B403" s="3" t="s">
        <v>129</v>
      </c>
      <c r="C403" s="191">
        <v>41244</v>
      </c>
      <c r="D403" s="192">
        <v>2916844</v>
      </c>
      <c r="E403" s="193">
        <v>328271.55500000011</v>
      </c>
      <c r="F403" s="227">
        <f t="shared" si="33"/>
        <v>0.11254340478956026</v>
      </c>
      <c r="G403" s="194">
        <v>98868</v>
      </c>
      <c r="H403" s="193">
        <v>73973.25</v>
      </c>
      <c r="I403" s="193">
        <f t="shared" si="34"/>
        <v>0.74820214831897069</v>
      </c>
      <c r="J403" s="229">
        <v>0</v>
      </c>
      <c r="K403" s="193">
        <v>0</v>
      </c>
      <c r="L403" s="195">
        <v>1722.9</v>
      </c>
      <c r="M403" s="193">
        <v>6867.13</v>
      </c>
      <c r="N403" s="229">
        <v>24.57</v>
      </c>
      <c r="O403" s="193">
        <v>105.62</v>
      </c>
      <c r="P403" s="199">
        <v>8</v>
      </c>
      <c r="Q403" s="196">
        <v>28</v>
      </c>
      <c r="R403" s="194"/>
      <c r="S403" s="193"/>
      <c r="T403" s="193"/>
      <c r="U403" s="197">
        <v>12011</v>
      </c>
      <c r="V403" s="196">
        <v>47044.350000000006</v>
      </c>
      <c r="W403" s="196">
        <f t="shared" si="36"/>
        <v>3.9167721255515784</v>
      </c>
      <c r="X403" s="197">
        <v>6470</v>
      </c>
      <c r="Y403" s="196">
        <v>23275.68</v>
      </c>
      <c r="Z403" s="196">
        <f t="shared" si="35"/>
        <v>3.5974775888717159</v>
      </c>
      <c r="AA403" s="95">
        <v>40.89</v>
      </c>
      <c r="AB403" s="193">
        <v>10466</v>
      </c>
      <c r="AC403" s="198">
        <v>0</v>
      </c>
      <c r="AD403" s="197">
        <v>2966157.39</v>
      </c>
      <c r="AE403" s="197">
        <f>VLOOKUP(B403,Reference!A:B,2,0)</f>
        <v>17668.3</v>
      </c>
    </row>
    <row r="404" spans="1:31">
      <c r="A404" s="3">
        <v>2013</v>
      </c>
      <c r="B404" s="3" t="s">
        <v>129</v>
      </c>
      <c r="C404" s="191">
        <v>41275</v>
      </c>
      <c r="D404" s="192">
        <v>3236459</v>
      </c>
      <c r="E404" s="193">
        <v>360009.19000000006</v>
      </c>
      <c r="F404" s="227">
        <f t="shared" si="33"/>
        <v>0.11123551696468272</v>
      </c>
      <c r="G404" s="194">
        <v>125911</v>
      </c>
      <c r="H404" s="193">
        <v>84471.72</v>
      </c>
      <c r="I404" s="193">
        <f t="shared" si="34"/>
        <v>0.67088435482205688</v>
      </c>
      <c r="J404" s="229">
        <v>0</v>
      </c>
      <c r="K404" s="193">
        <v>0</v>
      </c>
      <c r="L404" s="195">
        <v>1533.21</v>
      </c>
      <c r="M404" s="193">
        <v>5973.49</v>
      </c>
      <c r="N404" s="229">
        <v>0</v>
      </c>
      <c r="O404" s="193">
        <v>0</v>
      </c>
      <c r="P404" s="199">
        <v>0</v>
      </c>
      <c r="Q404" s="196">
        <v>0</v>
      </c>
      <c r="R404" s="194"/>
      <c r="S404" s="193"/>
      <c r="T404" s="193"/>
      <c r="U404" s="203">
        <v>12594</v>
      </c>
      <c r="V404" s="232">
        <v>15217.359999999999</v>
      </c>
      <c r="W404" s="232">
        <f t="shared" si="36"/>
        <v>1.2083023662061299</v>
      </c>
      <c r="X404" s="197">
        <v>6752</v>
      </c>
      <c r="Y404" s="196">
        <v>9158.07</v>
      </c>
      <c r="Z404" s="196">
        <f t="shared" si="35"/>
        <v>1.3563492298578199</v>
      </c>
      <c r="AA404" s="95">
        <v>60.300000000000004</v>
      </c>
      <c r="AB404" s="193">
        <v>13391</v>
      </c>
      <c r="AC404" s="198">
        <v>0</v>
      </c>
      <c r="AD404" s="197">
        <v>2966157.39</v>
      </c>
      <c r="AE404" s="197">
        <f>VLOOKUP(B404,Reference!A:B,2,0)</f>
        <v>17668.3</v>
      </c>
    </row>
    <row r="405" spans="1:31">
      <c r="A405" s="3">
        <v>2013</v>
      </c>
      <c r="B405" s="3" t="s">
        <v>129</v>
      </c>
      <c r="C405" s="191">
        <v>41306</v>
      </c>
      <c r="D405" s="192">
        <v>3013886</v>
      </c>
      <c r="E405" s="193">
        <v>339615.91000000003</v>
      </c>
      <c r="F405" s="227">
        <f t="shared" si="33"/>
        <v>0.11268372791804336</v>
      </c>
      <c r="G405" s="194">
        <v>108020</v>
      </c>
      <c r="H405" s="193">
        <v>72718.930000000008</v>
      </c>
      <c r="I405" s="193">
        <f t="shared" si="34"/>
        <v>0.67319875948898356</v>
      </c>
      <c r="J405" s="229">
        <v>0</v>
      </c>
      <c r="K405" s="193">
        <v>0</v>
      </c>
      <c r="L405" s="195">
        <v>1697.47</v>
      </c>
      <c r="M405" s="193">
        <v>7388.92</v>
      </c>
      <c r="N405" s="229">
        <v>643.98</v>
      </c>
      <c r="O405" s="193">
        <v>2541.2399999999998</v>
      </c>
      <c r="P405" s="199">
        <v>0</v>
      </c>
      <c r="Q405" s="196">
        <v>0</v>
      </c>
      <c r="R405" s="194"/>
      <c r="S405" s="193"/>
      <c r="T405" s="193"/>
      <c r="U405" s="197">
        <v>8307</v>
      </c>
      <c r="V405" s="196">
        <v>34533</v>
      </c>
      <c r="W405" s="196">
        <f t="shared" si="36"/>
        <v>4.1570964247020585</v>
      </c>
      <c r="X405" s="197">
        <v>4499</v>
      </c>
      <c r="Y405" s="196">
        <v>16185.060000000001</v>
      </c>
      <c r="Z405" s="196">
        <f t="shared" si="35"/>
        <v>3.5974794398755283</v>
      </c>
      <c r="AA405" s="95">
        <v>40.58</v>
      </c>
      <c r="AB405" s="193">
        <v>11941</v>
      </c>
      <c r="AC405" s="198">
        <v>0</v>
      </c>
      <c r="AD405" s="197">
        <v>2966157.39</v>
      </c>
      <c r="AE405" s="197">
        <f>VLOOKUP(B405,Reference!A:B,2,0)</f>
        <v>17668.3</v>
      </c>
    </row>
    <row r="406" spans="1:31">
      <c r="A406" s="3">
        <v>2013</v>
      </c>
      <c r="B406" s="3" t="s">
        <v>129</v>
      </c>
      <c r="C406" s="191">
        <v>41334</v>
      </c>
      <c r="D406" s="192">
        <v>3274997</v>
      </c>
      <c r="E406" s="193">
        <v>369246.14999999997</v>
      </c>
      <c r="F406" s="227">
        <f t="shared" si="33"/>
        <v>0.11274701931024668</v>
      </c>
      <c r="G406" s="194">
        <v>99717</v>
      </c>
      <c r="H406" s="193">
        <v>68589.31</v>
      </c>
      <c r="I406" s="193">
        <f t="shared" si="34"/>
        <v>0.68783968631226367</v>
      </c>
      <c r="J406" s="229">
        <v>626</v>
      </c>
      <c r="K406" s="193">
        <v>2461.41</v>
      </c>
      <c r="L406" s="195">
        <v>2040.18</v>
      </c>
      <c r="M406" s="193">
        <v>9070.84</v>
      </c>
      <c r="N406" s="229">
        <v>144.67000000000002</v>
      </c>
      <c r="O406" s="193">
        <v>513.33999999999992</v>
      </c>
      <c r="P406" s="199">
        <v>33</v>
      </c>
      <c r="Q406" s="196">
        <v>115.5</v>
      </c>
      <c r="R406" s="194"/>
      <c r="S406" s="193"/>
      <c r="T406" s="193"/>
      <c r="U406" s="197">
        <v>10563</v>
      </c>
      <c r="V406" s="196">
        <v>43916.24</v>
      </c>
      <c r="W406" s="196">
        <f t="shared" si="36"/>
        <v>4.1575537252674426</v>
      </c>
      <c r="X406" s="197">
        <v>5717</v>
      </c>
      <c r="Y406" s="196">
        <v>20658.68</v>
      </c>
      <c r="Z406" s="196">
        <f t="shared" si="35"/>
        <v>3.6135525625327971</v>
      </c>
      <c r="AA406" s="95">
        <v>95.34</v>
      </c>
      <c r="AB406" s="193">
        <v>14330</v>
      </c>
      <c r="AC406" s="198">
        <v>0</v>
      </c>
      <c r="AD406" s="197">
        <v>2966157.39</v>
      </c>
      <c r="AE406" s="197">
        <f>VLOOKUP(B406,Reference!A:B,2,0)</f>
        <v>17668.3</v>
      </c>
    </row>
    <row r="407" spans="1:31">
      <c r="A407" s="3">
        <v>2013</v>
      </c>
      <c r="B407" s="3" t="s">
        <v>129</v>
      </c>
      <c r="C407" s="191">
        <v>41365</v>
      </c>
      <c r="D407" s="192">
        <v>3256532</v>
      </c>
      <c r="E407" s="193">
        <v>363638.11999999994</v>
      </c>
      <c r="F407" s="227">
        <f t="shared" si="33"/>
        <v>0.11166422439576824</v>
      </c>
      <c r="G407" s="194">
        <v>81526</v>
      </c>
      <c r="H407" s="193">
        <v>60367.62</v>
      </c>
      <c r="I407" s="193">
        <f t="shared" si="34"/>
        <v>0.74047077006108486</v>
      </c>
      <c r="J407" s="229">
        <v>0</v>
      </c>
      <c r="K407" s="193">
        <v>0</v>
      </c>
      <c r="L407" s="195">
        <v>1924.6000000000001</v>
      </c>
      <c r="M407" s="193">
        <v>8148.02</v>
      </c>
      <c r="N407" s="229">
        <v>310.3</v>
      </c>
      <c r="O407" s="193">
        <v>1113.98</v>
      </c>
      <c r="P407" s="199">
        <v>0</v>
      </c>
      <c r="Q407" s="196">
        <v>0</v>
      </c>
      <c r="R407" s="194"/>
      <c r="S407" s="193"/>
      <c r="T407" s="193"/>
      <c r="U407" s="197">
        <v>11118</v>
      </c>
      <c r="V407" s="196">
        <v>46586.700000000004</v>
      </c>
      <c r="W407" s="196">
        <f t="shared" si="36"/>
        <v>4.1902050728548303</v>
      </c>
      <c r="X407" s="197">
        <v>6003</v>
      </c>
      <c r="Y407" s="196">
        <v>21599.279999999999</v>
      </c>
      <c r="Z407" s="196">
        <f t="shared" si="35"/>
        <v>3.5980809595202397</v>
      </c>
      <c r="AA407" s="95">
        <v>101.47</v>
      </c>
      <c r="AB407" s="193">
        <v>13117</v>
      </c>
      <c r="AC407" s="198">
        <v>0</v>
      </c>
      <c r="AD407" s="197">
        <v>2966157.39</v>
      </c>
      <c r="AE407" s="197">
        <f>VLOOKUP(B407,Reference!A:B,2,0)</f>
        <v>17668.3</v>
      </c>
    </row>
    <row r="408" spans="1:31">
      <c r="A408" s="3">
        <v>2013</v>
      </c>
      <c r="B408" s="3" t="s">
        <v>129</v>
      </c>
      <c r="C408" s="191">
        <v>41395</v>
      </c>
      <c r="D408" s="192">
        <v>3621716</v>
      </c>
      <c r="E408" s="193">
        <v>404575.39999999997</v>
      </c>
      <c r="F408" s="227">
        <f t="shared" si="33"/>
        <v>0.11170820682792355</v>
      </c>
      <c r="G408" s="194">
        <v>59933</v>
      </c>
      <c r="H408" s="193">
        <v>44040.929999999993</v>
      </c>
      <c r="I408" s="193">
        <f t="shared" si="34"/>
        <v>0.73483606694141779</v>
      </c>
      <c r="J408" s="229">
        <v>1200</v>
      </c>
      <c r="K408" s="193">
        <v>4036.95</v>
      </c>
      <c r="L408" s="195">
        <v>2824.42</v>
      </c>
      <c r="M408" s="193">
        <v>11590.41</v>
      </c>
      <c r="N408" s="229">
        <v>14.1</v>
      </c>
      <c r="O408" s="193">
        <v>59.77</v>
      </c>
      <c r="P408" s="199">
        <v>0</v>
      </c>
      <c r="Q408" s="196">
        <v>0</v>
      </c>
      <c r="R408" s="194"/>
      <c r="S408" s="193"/>
      <c r="T408" s="193"/>
      <c r="U408" s="197">
        <v>11778</v>
      </c>
      <c r="V408" s="196">
        <v>49996.29</v>
      </c>
      <c r="W408" s="196">
        <f t="shared" si="36"/>
        <v>4.2448879266428934</v>
      </c>
      <c r="X408" s="197">
        <v>6358</v>
      </c>
      <c r="Y408" s="196">
        <v>22872.77</v>
      </c>
      <c r="Z408" s="196">
        <f t="shared" si="35"/>
        <v>3.5974787669078325</v>
      </c>
      <c r="AA408" s="95">
        <v>101.47</v>
      </c>
      <c r="AB408" s="193">
        <v>22957</v>
      </c>
      <c r="AC408" s="198">
        <v>0</v>
      </c>
      <c r="AD408" s="197">
        <v>2966157.39</v>
      </c>
      <c r="AE408" s="197">
        <f>VLOOKUP(B408,Reference!A:B,2,0)</f>
        <v>17668.3</v>
      </c>
    </row>
    <row r="409" spans="1:31">
      <c r="A409" s="3">
        <v>2013</v>
      </c>
      <c r="B409" s="3" t="s">
        <v>129</v>
      </c>
      <c r="C409" s="191">
        <v>41426</v>
      </c>
      <c r="D409" s="192">
        <v>3297503</v>
      </c>
      <c r="E409" s="193">
        <v>424972.44000000006</v>
      </c>
      <c r="F409" s="227">
        <f t="shared" si="33"/>
        <v>0.12887704423619936</v>
      </c>
      <c r="G409" s="194">
        <v>51653</v>
      </c>
      <c r="H409" s="193">
        <v>37696.019999999997</v>
      </c>
      <c r="I409" s="193">
        <f t="shared" si="34"/>
        <v>0.72979342922966717</v>
      </c>
      <c r="J409" s="229">
        <v>0</v>
      </c>
      <c r="K409" s="193">
        <v>0</v>
      </c>
      <c r="L409" s="195">
        <v>2320.13</v>
      </c>
      <c r="M409" s="193">
        <v>9303.14</v>
      </c>
      <c r="N409" s="229">
        <v>31.43</v>
      </c>
      <c r="O409" s="193">
        <v>130.69999999999999</v>
      </c>
      <c r="P409" s="199">
        <v>0</v>
      </c>
      <c r="Q409" s="196">
        <v>0</v>
      </c>
      <c r="R409" s="194"/>
      <c r="S409" s="193"/>
      <c r="T409" s="193"/>
      <c r="U409" s="197">
        <v>16781</v>
      </c>
      <c r="V409" s="196">
        <v>71217.429999999993</v>
      </c>
      <c r="W409" s="196">
        <f t="shared" si="36"/>
        <v>4.2439324235742797</v>
      </c>
      <c r="X409" s="197">
        <v>9070</v>
      </c>
      <c r="Y409" s="196">
        <v>32629.15</v>
      </c>
      <c r="Z409" s="196">
        <f t="shared" si="35"/>
        <v>3.597480705622933</v>
      </c>
      <c r="AA409" s="95">
        <v>93.17</v>
      </c>
      <c r="AB409" s="193">
        <v>22957</v>
      </c>
      <c r="AC409" s="198">
        <v>0</v>
      </c>
      <c r="AD409" s="197">
        <v>2966157.39</v>
      </c>
      <c r="AE409" s="197">
        <f>VLOOKUP(B409,Reference!A:B,2,0)</f>
        <v>17668.3</v>
      </c>
    </row>
    <row r="410" spans="1:31">
      <c r="A410" s="3">
        <v>2013</v>
      </c>
      <c r="B410" s="3" t="s">
        <v>9</v>
      </c>
      <c r="C410" s="191">
        <v>41456</v>
      </c>
      <c r="D410" s="192">
        <v>3758993</v>
      </c>
      <c r="E410" s="193">
        <v>472105.19000000006</v>
      </c>
      <c r="F410" s="227">
        <f t="shared" si="33"/>
        <v>0.12559352730904264</v>
      </c>
      <c r="G410" s="194">
        <v>29700</v>
      </c>
      <c r="H410" s="193">
        <v>21270.84</v>
      </c>
      <c r="I410" s="193">
        <f t="shared" si="34"/>
        <v>0.71618989898989904</v>
      </c>
      <c r="J410" s="229">
        <v>0</v>
      </c>
      <c r="K410" s="193">
        <v>0</v>
      </c>
      <c r="L410" s="195">
        <v>1537.28</v>
      </c>
      <c r="M410" s="193">
        <v>6677.01</v>
      </c>
      <c r="N410" s="229">
        <v>24.01</v>
      </c>
      <c r="O410" s="193">
        <v>100.01</v>
      </c>
      <c r="P410" s="199">
        <v>0</v>
      </c>
      <c r="Q410" s="196">
        <v>0</v>
      </c>
      <c r="R410" s="194"/>
      <c r="S410" s="193"/>
      <c r="T410" s="193"/>
      <c r="U410" s="197">
        <v>14713</v>
      </c>
      <c r="V410" s="196">
        <v>63158.07</v>
      </c>
      <c r="W410" s="196">
        <f t="shared" si="36"/>
        <v>4.2926711071841233</v>
      </c>
      <c r="X410" s="197">
        <v>7952</v>
      </c>
      <c r="Y410" s="196">
        <v>29032.14</v>
      </c>
      <c r="Z410" s="196">
        <f t="shared" si="35"/>
        <v>3.6509230382293762</v>
      </c>
      <c r="AA410" s="95">
        <v>83.47999999999999</v>
      </c>
      <c r="AB410" s="193">
        <v>15347</v>
      </c>
      <c r="AC410" s="198">
        <v>0</v>
      </c>
      <c r="AD410" s="197">
        <v>2966157.39</v>
      </c>
      <c r="AE410" s="197">
        <f>VLOOKUP(B410,Reference!A:B,2,0)</f>
        <v>18219.900000000001</v>
      </c>
    </row>
    <row r="411" spans="1:31">
      <c r="A411" s="3">
        <v>2013</v>
      </c>
      <c r="B411" s="3" t="s">
        <v>9</v>
      </c>
      <c r="C411" s="191">
        <v>41487</v>
      </c>
      <c r="D411" s="192">
        <v>3685601</v>
      </c>
      <c r="E411" s="193">
        <v>464586.62000000005</v>
      </c>
      <c r="F411" s="227">
        <f t="shared" si="33"/>
        <v>0.12605450779940641</v>
      </c>
      <c r="G411" s="194">
        <v>27465</v>
      </c>
      <c r="H411" s="193">
        <v>19165.929999999997</v>
      </c>
      <c r="I411" s="193">
        <f t="shared" si="34"/>
        <v>0.69783105770981235</v>
      </c>
      <c r="J411" s="229">
        <v>502</v>
      </c>
      <c r="K411" s="193">
        <v>1942.35</v>
      </c>
      <c r="L411" s="195">
        <v>1504.96</v>
      </c>
      <c r="M411" s="193">
        <v>6822.87</v>
      </c>
      <c r="N411" s="229">
        <v>5.84</v>
      </c>
      <c r="O411" s="193">
        <v>100.01</v>
      </c>
      <c r="P411" s="199">
        <v>0</v>
      </c>
      <c r="Q411" s="196">
        <v>0</v>
      </c>
      <c r="R411" s="194"/>
      <c r="S411" s="193"/>
      <c r="T411" s="193"/>
      <c r="U411" s="197">
        <v>14293</v>
      </c>
      <c r="V411" s="196">
        <v>62835.079999999994</v>
      </c>
      <c r="W411" s="196">
        <f t="shared" si="36"/>
        <v>4.3962135310991393</v>
      </c>
      <c r="X411" s="197">
        <v>7733</v>
      </c>
      <c r="Y411" s="196">
        <v>29057.530000000002</v>
      </c>
      <c r="Z411" s="196">
        <f t="shared" si="35"/>
        <v>3.7576011897064534</v>
      </c>
      <c r="AA411" s="95">
        <v>79.72999999999999</v>
      </c>
      <c r="AB411" s="193">
        <v>18892</v>
      </c>
      <c r="AC411" s="198">
        <v>0</v>
      </c>
      <c r="AD411" s="197">
        <v>2966157.39</v>
      </c>
      <c r="AE411" s="197">
        <f>VLOOKUP(B411,Reference!A:B,2,0)</f>
        <v>18219.900000000001</v>
      </c>
    </row>
    <row r="412" spans="1:31">
      <c r="A412" s="59">
        <v>2013</v>
      </c>
      <c r="B412" s="59" t="s">
        <v>9</v>
      </c>
      <c r="C412" s="366">
        <v>41518</v>
      </c>
      <c r="D412" s="234">
        <v>3483511</v>
      </c>
      <c r="E412" s="235">
        <v>461992.18000000005</v>
      </c>
      <c r="F412" s="233">
        <f t="shared" si="33"/>
        <v>0.13262256958568527</v>
      </c>
      <c r="G412" s="367">
        <v>17688</v>
      </c>
      <c r="H412" s="235">
        <v>13963.59</v>
      </c>
      <c r="I412" s="235">
        <f t="shared" si="34"/>
        <v>0.78943860244233377</v>
      </c>
      <c r="J412" s="368">
        <v>502</v>
      </c>
      <c r="K412" s="235">
        <v>1942.35</v>
      </c>
      <c r="L412" s="368">
        <v>2985.41</v>
      </c>
      <c r="M412" s="235">
        <v>12800.169999999998</v>
      </c>
      <c r="N412" s="368">
        <v>0</v>
      </c>
      <c r="O412" s="235">
        <v>0</v>
      </c>
      <c r="P412" s="250">
        <v>26</v>
      </c>
      <c r="Q412" s="232">
        <v>91</v>
      </c>
      <c r="R412" s="367"/>
      <c r="S412" s="235"/>
      <c r="T412" s="235"/>
      <c r="U412" s="203">
        <v>16288</v>
      </c>
      <c r="V412" s="232">
        <v>72431.16</v>
      </c>
      <c r="W412" s="232">
        <f t="shared" si="36"/>
        <v>4.4469032416502952</v>
      </c>
      <c r="X412" s="203">
        <v>8792.2099999999991</v>
      </c>
      <c r="Y412" s="232">
        <v>33044.049999999996</v>
      </c>
      <c r="Z412" s="232">
        <f t="shared" si="35"/>
        <v>3.7583326603891396</v>
      </c>
      <c r="AA412" s="365">
        <v>50.18</v>
      </c>
      <c r="AB412" s="235">
        <v>11571</v>
      </c>
      <c r="AC412" s="369">
        <v>0</v>
      </c>
      <c r="AD412" s="203">
        <v>2966157.39</v>
      </c>
      <c r="AE412" s="203">
        <f>VLOOKUP(B412,Reference!A:B,2,0)</f>
        <v>18219.900000000001</v>
      </c>
    </row>
    <row r="413" spans="1:31">
      <c r="A413" s="59">
        <v>2013</v>
      </c>
      <c r="B413" s="59" t="s">
        <v>9</v>
      </c>
      <c r="C413" s="366">
        <v>41548</v>
      </c>
      <c r="D413" s="234">
        <v>3483511</v>
      </c>
      <c r="E413" s="235">
        <v>461992.18000000005</v>
      </c>
      <c r="F413" s="233">
        <f t="shared" si="33"/>
        <v>0.13262256958568527</v>
      </c>
      <c r="G413" s="367">
        <v>17688</v>
      </c>
      <c r="H413" s="235">
        <v>13963.59</v>
      </c>
      <c r="I413" s="235">
        <f t="shared" si="34"/>
        <v>0.78943860244233377</v>
      </c>
      <c r="J413" s="368">
        <v>502</v>
      </c>
      <c r="K413" s="235">
        <v>1867.03</v>
      </c>
      <c r="L413" s="368">
        <v>2074.83</v>
      </c>
      <c r="M413" s="235">
        <v>7890.9800000000005</v>
      </c>
      <c r="N413" s="368">
        <v>0</v>
      </c>
      <c r="O413" s="235">
        <v>0</v>
      </c>
      <c r="P413" s="250">
        <v>0</v>
      </c>
      <c r="Q413" s="232">
        <v>0</v>
      </c>
      <c r="R413" s="367"/>
      <c r="S413" s="235"/>
      <c r="T413" s="235"/>
      <c r="U413" s="203">
        <v>16287.5</v>
      </c>
      <c r="V413" s="232">
        <v>72431.16</v>
      </c>
      <c r="W413" s="232">
        <f t="shared" si="36"/>
        <v>4.4470397544128932</v>
      </c>
      <c r="X413" s="203">
        <v>8793</v>
      </c>
      <c r="Y413" s="232">
        <v>33044.049999999996</v>
      </c>
      <c r="Z413" s="232">
        <f t="shared" si="35"/>
        <v>3.7579949960195607</v>
      </c>
      <c r="AA413" s="365">
        <v>50.18</v>
      </c>
      <c r="AB413" s="235">
        <v>11571</v>
      </c>
      <c r="AC413" s="369">
        <v>0</v>
      </c>
      <c r="AD413" s="203">
        <v>2966157.39</v>
      </c>
      <c r="AE413" s="203">
        <f>VLOOKUP(B413,Reference!A:B,2,0)</f>
        <v>18219.900000000001</v>
      </c>
    </row>
    <row r="414" spans="1:31">
      <c r="A414" s="3">
        <v>2013</v>
      </c>
      <c r="B414" s="3" t="s">
        <v>9</v>
      </c>
      <c r="C414" s="191">
        <v>41579</v>
      </c>
      <c r="D414" s="192">
        <v>3501135</v>
      </c>
      <c r="E414" s="193">
        <v>417718.02000000008</v>
      </c>
      <c r="F414" s="227">
        <f t="shared" ref="F414:F471" si="37">IF(D414=0,0,E414/D414)</f>
        <v>0.1193093154077178</v>
      </c>
      <c r="G414" s="194">
        <v>53790</v>
      </c>
      <c r="H414" s="193">
        <v>38215.14</v>
      </c>
      <c r="I414" s="193">
        <f t="shared" si="34"/>
        <v>0.71045064138315672</v>
      </c>
      <c r="J414" s="229">
        <v>450</v>
      </c>
      <c r="K414" s="193">
        <v>1889.32</v>
      </c>
      <c r="L414" s="195">
        <v>1576.9199999999998</v>
      </c>
      <c r="M414" s="193">
        <v>6250.62</v>
      </c>
      <c r="N414" s="229">
        <v>0</v>
      </c>
      <c r="O414" s="193">
        <v>0</v>
      </c>
      <c r="P414" s="199">
        <v>48</v>
      </c>
      <c r="Q414" s="196">
        <v>168</v>
      </c>
      <c r="R414" s="194"/>
      <c r="S414" s="193"/>
      <c r="T414" s="193"/>
      <c r="U414" s="197">
        <v>16245</v>
      </c>
      <c r="V414" s="196">
        <v>72212.3</v>
      </c>
      <c r="W414" s="196">
        <f t="shared" si="36"/>
        <v>4.4452016004924593</v>
      </c>
      <c r="X414" s="197">
        <v>16456.96</v>
      </c>
      <c r="Y414" s="196">
        <v>25187.25</v>
      </c>
      <c r="Z414" s="196">
        <f t="shared" si="35"/>
        <v>1.5304922658862876</v>
      </c>
      <c r="AA414" s="95">
        <v>80.42</v>
      </c>
      <c r="AB414" s="193">
        <v>13226</v>
      </c>
      <c r="AC414" s="198">
        <v>0</v>
      </c>
      <c r="AD414" s="197">
        <v>2966157.39</v>
      </c>
      <c r="AE414" s="197">
        <f>VLOOKUP(B414,Reference!A:B,2,0)</f>
        <v>18219.900000000001</v>
      </c>
    </row>
    <row r="415" spans="1:31">
      <c r="A415" s="3">
        <v>2013</v>
      </c>
      <c r="B415" s="3" t="s">
        <v>9</v>
      </c>
      <c r="C415" s="191">
        <v>41609</v>
      </c>
      <c r="D415" s="192">
        <v>3235174</v>
      </c>
      <c r="E415" s="193">
        <v>381196.54000000004</v>
      </c>
      <c r="F415" s="227">
        <f t="shared" si="37"/>
        <v>0.11782875975140751</v>
      </c>
      <c r="G415" s="194">
        <v>72078</v>
      </c>
      <c r="H415" s="193">
        <v>51388.78</v>
      </c>
      <c r="I415" s="193">
        <f t="shared" si="34"/>
        <v>0.71296068148394798</v>
      </c>
      <c r="J415" s="229">
        <v>0</v>
      </c>
      <c r="K415" s="193">
        <v>0</v>
      </c>
      <c r="L415" s="195">
        <v>1204.98</v>
      </c>
      <c r="M415" s="193">
        <v>4700.1899999999996</v>
      </c>
      <c r="N415" s="229">
        <v>0</v>
      </c>
      <c r="O415" s="193">
        <v>0</v>
      </c>
      <c r="P415" s="199">
        <v>0</v>
      </c>
      <c r="Q415" s="196">
        <v>0</v>
      </c>
      <c r="R415" s="194"/>
      <c r="S415" s="193"/>
      <c r="T415" s="193"/>
      <c r="U415" s="197">
        <v>13489</v>
      </c>
      <c r="V415" s="196">
        <v>64753.1</v>
      </c>
      <c r="W415" s="196">
        <f t="shared" si="36"/>
        <v>4.8004373934316851</v>
      </c>
      <c r="X415" s="197">
        <v>7259</v>
      </c>
      <c r="Y415" s="196">
        <v>27285.75</v>
      </c>
      <c r="Z415" s="196">
        <f t="shared" si="35"/>
        <v>3.7588855214216834</v>
      </c>
      <c r="AA415" s="95">
        <v>73.94</v>
      </c>
      <c r="AB415" s="193">
        <v>11911</v>
      </c>
      <c r="AC415" s="198">
        <v>0</v>
      </c>
      <c r="AD415" s="197">
        <v>2966157.39</v>
      </c>
      <c r="AE415" s="197">
        <f>VLOOKUP(B415,Reference!A:B,2,0)</f>
        <v>18219.900000000001</v>
      </c>
    </row>
    <row r="416" spans="1:31">
      <c r="A416" s="3">
        <v>2014</v>
      </c>
      <c r="B416" s="3" t="s">
        <v>9</v>
      </c>
      <c r="C416" s="191">
        <v>41640</v>
      </c>
      <c r="D416" s="192">
        <v>3018698</v>
      </c>
      <c r="E416" s="193">
        <v>361059.73000000004</v>
      </c>
      <c r="F416" s="227">
        <f t="shared" si="37"/>
        <v>0.11960776798474046</v>
      </c>
      <c r="G416" s="194">
        <v>101498</v>
      </c>
      <c r="H416" s="193">
        <v>75540.319999999992</v>
      </c>
      <c r="I416" s="193">
        <f t="shared" si="34"/>
        <v>0.74425427102011854</v>
      </c>
      <c r="J416" s="229">
        <v>0</v>
      </c>
      <c r="K416" s="193">
        <v>0</v>
      </c>
      <c r="L416" s="195">
        <v>1146.6100000000001</v>
      </c>
      <c r="M416" s="193">
        <v>4542.8</v>
      </c>
      <c r="N416" s="229">
        <v>0</v>
      </c>
      <c r="O416" s="193">
        <v>0</v>
      </c>
      <c r="P416" s="199">
        <v>0</v>
      </c>
      <c r="Q416" s="196">
        <v>0</v>
      </c>
      <c r="R416" s="194"/>
      <c r="S416" s="193"/>
      <c r="T416" s="193"/>
      <c r="U416" s="197">
        <v>12319</v>
      </c>
      <c r="V416" s="196">
        <v>59131.39</v>
      </c>
      <c r="W416" s="196">
        <f t="shared" si="36"/>
        <v>4.8000154233298158</v>
      </c>
      <c r="X416" s="197">
        <v>6643.79</v>
      </c>
      <c r="Y416" s="196">
        <v>24969.229999999996</v>
      </c>
      <c r="Z416" s="196">
        <f t="shared" si="35"/>
        <v>3.7582810413935412</v>
      </c>
      <c r="AA416" s="95">
        <v>101.5</v>
      </c>
      <c r="AB416" s="193">
        <v>12906</v>
      </c>
      <c r="AC416" s="198">
        <v>0</v>
      </c>
      <c r="AD416" s="197">
        <v>2966157.39</v>
      </c>
      <c r="AE416" s="197">
        <f>VLOOKUP(B416,Reference!A:B,2,0)</f>
        <v>18219.900000000001</v>
      </c>
    </row>
    <row r="417" spans="1:31">
      <c r="A417" s="3">
        <v>2014</v>
      </c>
      <c r="B417" s="3" t="s">
        <v>9</v>
      </c>
      <c r="C417" s="191">
        <v>41671</v>
      </c>
      <c r="D417" s="192">
        <v>3274357</v>
      </c>
      <c r="E417" s="193">
        <v>383909.35000000003</v>
      </c>
      <c r="F417" s="227">
        <f t="shared" si="37"/>
        <v>0.11724724884916338</v>
      </c>
      <c r="G417" s="194">
        <v>88482</v>
      </c>
      <c r="H417" s="193">
        <v>13274.48</v>
      </c>
      <c r="I417" s="193">
        <f t="shared" si="34"/>
        <v>0.15002463777943537</v>
      </c>
      <c r="J417" s="229">
        <v>0</v>
      </c>
      <c r="K417" s="193">
        <v>0</v>
      </c>
      <c r="L417" s="195">
        <v>1677.96</v>
      </c>
      <c r="M417" s="193">
        <v>6770.0300000000007</v>
      </c>
      <c r="N417" s="229">
        <v>9.52</v>
      </c>
      <c r="O417" s="193">
        <v>29.51</v>
      </c>
      <c r="P417" s="199">
        <v>0</v>
      </c>
      <c r="Q417" s="196">
        <v>0</v>
      </c>
      <c r="R417" s="194"/>
      <c r="S417" s="193"/>
      <c r="T417" s="193"/>
      <c r="U417" s="197">
        <v>9890</v>
      </c>
      <c r="V417" s="196">
        <v>47564.17</v>
      </c>
      <c r="W417" s="196">
        <f t="shared" si="36"/>
        <v>4.8093195146612739</v>
      </c>
      <c r="X417" s="197">
        <v>5319.57</v>
      </c>
      <c r="Y417" s="196">
        <v>19980.16</v>
      </c>
      <c r="Z417" s="196">
        <f t="shared" si="35"/>
        <v>3.7559727571965404</v>
      </c>
      <c r="AA417" s="95">
        <v>96.93</v>
      </c>
      <c r="AB417" s="193">
        <v>10679.26</v>
      </c>
      <c r="AC417" s="198">
        <v>0</v>
      </c>
      <c r="AD417" s="197">
        <v>2966157.39</v>
      </c>
      <c r="AE417" s="197">
        <f>VLOOKUP(B417,Reference!A:B,2,0)</f>
        <v>18219.900000000001</v>
      </c>
    </row>
    <row r="418" spans="1:31">
      <c r="A418" s="3">
        <v>2014</v>
      </c>
      <c r="B418" s="3" t="s">
        <v>9</v>
      </c>
      <c r="C418" s="191">
        <v>41699</v>
      </c>
      <c r="D418" s="192">
        <v>2699130</v>
      </c>
      <c r="E418" s="193">
        <v>363461.04000000004</v>
      </c>
      <c r="F418" s="227">
        <f t="shared" si="37"/>
        <v>0.13465858999010794</v>
      </c>
      <c r="G418" s="194">
        <v>87522</v>
      </c>
      <c r="H418" s="193">
        <v>69064.02</v>
      </c>
      <c r="I418" s="193">
        <f t="shared" si="34"/>
        <v>0.78910468225131969</v>
      </c>
      <c r="J418" s="229">
        <v>579</v>
      </c>
      <c r="K418" s="193">
        <v>2318.2200000000003</v>
      </c>
      <c r="L418" s="195">
        <v>1302.92</v>
      </c>
      <c r="M418" s="193">
        <v>5599.58</v>
      </c>
      <c r="N418" s="229">
        <v>0</v>
      </c>
      <c r="O418" s="193">
        <v>0</v>
      </c>
      <c r="P418" s="199">
        <v>0</v>
      </c>
      <c r="Q418" s="196">
        <v>0</v>
      </c>
      <c r="R418" s="194"/>
      <c r="S418" s="193"/>
      <c r="T418" s="193"/>
      <c r="U418" s="197">
        <v>10549</v>
      </c>
      <c r="V418" s="196">
        <v>49961.09</v>
      </c>
      <c r="W418" s="196">
        <f t="shared" si="36"/>
        <v>4.7360972604038292</v>
      </c>
      <c r="X418" s="197">
        <v>5693</v>
      </c>
      <c r="Y418" s="196">
        <v>20308.25</v>
      </c>
      <c r="Z418" s="196">
        <f t="shared" si="35"/>
        <v>3.5672316880379413</v>
      </c>
      <c r="AA418" s="95">
        <v>81.62</v>
      </c>
      <c r="AB418" s="193">
        <v>8306</v>
      </c>
      <c r="AC418" s="198">
        <v>0</v>
      </c>
      <c r="AD418" s="197">
        <v>2966157.39</v>
      </c>
      <c r="AE418" s="197">
        <f>VLOOKUP(B418,Reference!A:B,2,0)</f>
        <v>18219.900000000001</v>
      </c>
    </row>
    <row r="419" spans="1:31">
      <c r="A419" s="3">
        <v>2014</v>
      </c>
      <c r="B419" s="3" t="s">
        <v>9</v>
      </c>
      <c r="C419" s="191">
        <v>41730</v>
      </c>
      <c r="D419" s="192">
        <v>3244715</v>
      </c>
      <c r="E419" s="193">
        <v>381007.04000000004</v>
      </c>
      <c r="F419" s="227">
        <f t="shared" si="37"/>
        <v>0.11742388468632839</v>
      </c>
      <c r="G419" s="194">
        <v>77868</v>
      </c>
      <c r="H419" s="193">
        <v>62785.45</v>
      </c>
      <c r="I419" s="193">
        <f t="shared" si="34"/>
        <v>0.80630618482560223</v>
      </c>
      <c r="J419" s="229">
        <v>0</v>
      </c>
      <c r="K419" s="193">
        <v>0</v>
      </c>
      <c r="L419" s="195">
        <v>1450.04</v>
      </c>
      <c r="M419" s="193">
        <v>6538.58</v>
      </c>
      <c r="N419" s="229">
        <v>0</v>
      </c>
      <c r="O419" s="193">
        <v>0</v>
      </c>
      <c r="P419" s="199">
        <v>0</v>
      </c>
      <c r="Q419" s="196">
        <v>0</v>
      </c>
      <c r="R419" s="194"/>
      <c r="S419" s="193"/>
      <c r="T419" s="193"/>
      <c r="U419" s="197">
        <v>10911</v>
      </c>
      <c r="V419" s="196">
        <v>52980.98</v>
      </c>
      <c r="W419" s="196">
        <f t="shared" si="36"/>
        <v>4.8557400788195402</v>
      </c>
      <c r="X419" s="197">
        <v>5904</v>
      </c>
      <c r="Y419" s="196">
        <v>22201.15</v>
      </c>
      <c r="Z419" s="196">
        <f t="shared" si="35"/>
        <v>3.7603573848238483</v>
      </c>
      <c r="AA419" s="95">
        <v>79.19</v>
      </c>
      <c r="AB419" s="193">
        <v>11946</v>
      </c>
      <c r="AC419" s="198">
        <v>0</v>
      </c>
      <c r="AD419" s="197">
        <v>2966157.39</v>
      </c>
      <c r="AE419" s="197">
        <f>VLOOKUP(B419,Reference!A:B,2,0)</f>
        <v>18219.900000000001</v>
      </c>
    </row>
    <row r="420" spans="1:31">
      <c r="A420" s="3">
        <v>2014</v>
      </c>
      <c r="B420" s="3" t="s">
        <v>9</v>
      </c>
      <c r="C420" s="191">
        <v>41760</v>
      </c>
      <c r="D420" s="192">
        <v>3343883</v>
      </c>
      <c r="E420" s="193">
        <v>403404.29</v>
      </c>
      <c r="F420" s="227">
        <f t="shared" si="37"/>
        <v>0.12063947512517632</v>
      </c>
      <c r="G420" s="194">
        <v>70360</v>
      </c>
      <c r="H420" s="193">
        <v>55191.590000000004</v>
      </c>
      <c r="I420" s="193">
        <f t="shared" si="34"/>
        <v>0.78441714042069366</v>
      </c>
      <c r="J420" s="229">
        <v>0</v>
      </c>
      <c r="K420" s="193">
        <v>0</v>
      </c>
      <c r="L420" s="195">
        <v>1576.6100000000001</v>
      </c>
      <c r="M420" s="193">
        <v>6833.0599999999995</v>
      </c>
      <c r="N420" s="229">
        <v>0</v>
      </c>
      <c r="O420" s="193">
        <v>0</v>
      </c>
      <c r="P420" s="199">
        <v>46</v>
      </c>
      <c r="Q420" s="196">
        <v>161</v>
      </c>
      <c r="R420" s="194"/>
      <c r="S420" s="193"/>
      <c r="T420" s="193"/>
      <c r="U420" s="197">
        <v>9895</v>
      </c>
      <c r="V420" s="196">
        <v>48062.659999999996</v>
      </c>
      <c r="W420" s="196">
        <f t="shared" si="36"/>
        <v>4.8572673067205656</v>
      </c>
      <c r="X420" s="197">
        <v>5347.84</v>
      </c>
      <c r="Y420" s="196">
        <v>20094.27</v>
      </c>
      <c r="Z420" s="196">
        <f t="shared" si="35"/>
        <v>3.7574553464576352</v>
      </c>
      <c r="AA420" s="95">
        <v>96.93</v>
      </c>
      <c r="AB420" s="193">
        <v>6951</v>
      </c>
      <c r="AC420" s="198">
        <v>0</v>
      </c>
      <c r="AD420" s="197">
        <v>2966157.39</v>
      </c>
      <c r="AE420" s="197">
        <f>VLOOKUP(B420,Reference!A:B,2,0)</f>
        <v>18219.900000000001</v>
      </c>
    </row>
    <row r="421" spans="1:31">
      <c r="A421" s="3">
        <v>2014</v>
      </c>
      <c r="B421" s="3" t="s">
        <v>9</v>
      </c>
      <c r="C421" s="191">
        <v>41791</v>
      </c>
      <c r="D421" s="192">
        <v>3701502</v>
      </c>
      <c r="E421" s="193">
        <v>435813.74999999994</v>
      </c>
      <c r="F421" s="227">
        <f t="shared" si="37"/>
        <v>0.11773970404446626</v>
      </c>
      <c r="G421" s="194">
        <v>55787</v>
      </c>
      <c r="H421" s="193">
        <v>43480.28</v>
      </c>
      <c r="I421" s="193">
        <f t="shared" si="34"/>
        <v>0.77939806765016939</v>
      </c>
      <c r="J421" s="229">
        <v>0</v>
      </c>
      <c r="K421" s="193">
        <v>0</v>
      </c>
      <c r="L421" s="195">
        <v>1454.8799999999999</v>
      </c>
      <c r="M421" s="193">
        <v>6508.4500000000007</v>
      </c>
      <c r="N421" s="229" t="s">
        <v>237</v>
      </c>
      <c r="O421" s="193">
        <v>0</v>
      </c>
      <c r="P421" s="199">
        <v>0</v>
      </c>
      <c r="Q421" s="196">
        <v>0</v>
      </c>
      <c r="R421" s="194"/>
      <c r="S421" s="193"/>
      <c r="T421" s="193"/>
      <c r="U421" s="197">
        <v>16542</v>
      </c>
      <c r="V421" s="196">
        <v>80782.600000000006</v>
      </c>
      <c r="W421" s="196">
        <f t="shared" si="36"/>
        <v>4.8834844637891432</v>
      </c>
      <c r="X421" s="203">
        <v>8456</v>
      </c>
      <c r="Y421" s="232">
        <v>67735.640000000014</v>
      </c>
      <c r="Z421" s="232">
        <f t="shared" si="35"/>
        <v>8.0103642384105971</v>
      </c>
      <c r="AA421" s="95">
        <v>83.59</v>
      </c>
      <c r="AB421" s="193">
        <v>10020</v>
      </c>
      <c r="AC421" s="198">
        <v>0</v>
      </c>
      <c r="AD421" s="197">
        <v>2966157.39</v>
      </c>
      <c r="AE421" s="197">
        <f>VLOOKUP(B421,Reference!A:B,2,0)</f>
        <v>18219.900000000001</v>
      </c>
    </row>
    <row r="422" spans="1:31">
      <c r="A422" s="3">
        <v>2014</v>
      </c>
      <c r="B422" s="3" t="s">
        <v>10</v>
      </c>
      <c r="C422" s="191">
        <v>41821</v>
      </c>
      <c r="D422" s="234">
        <v>1233796</v>
      </c>
      <c r="E422" s="235">
        <v>240667.88000000003</v>
      </c>
      <c r="F422" s="233">
        <f t="shared" si="37"/>
        <v>0.1950629439550785</v>
      </c>
      <c r="G422" s="194">
        <v>36656</v>
      </c>
      <c r="H422" s="193">
        <v>28767.230000000003</v>
      </c>
      <c r="I422" s="193">
        <f t="shared" si="34"/>
        <v>0.78478912047140992</v>
      </c>
      <c r="J422" s="229">
        <v>756</v>
      </c>
      <c r="K422" s="193">
        <v>2890.73</v>
      </c>
      <c r="L422" s="195">
        <v>1413.61</v>
      </c>
      <c r="M422" s="193">
        <v>6262.6</v>
      </c>
      <c r="N422" s="229">
        <v>0</v>
      </c>
      <c r="O422" s="193">
        <v>0</v>
      </c>
      <c r="P422" s="199">
        <v>0</v>
      </c>
      <c r="Q422" s="196">
        <v>0</v>
      </c>
      <c r="R422" s="194"/>
      <c r="S422" s="193"/>
      <c r="T422" s="193"/>
      <c r="U422" s="197">
        <v>16801</v>
      </c>
      <c r="V422" s="196">
        <v>82061.590000000011</v>
      </c>
      <c r="W422" s="196">
        <f t="shared" si="36"/>
        <v>4.8843277185881799</v>
      </c>
      <c r="X422" s="197">
        <v>9080</v>
      </c>
      <c r="Y422" s="196">
        <v>34120.9</v>
      </c>
      <c r="Z422" s="196">
        <f t="shared" si="35"/>
        <v>3.757808370044053</v>
      </c>
      <c r="AA422" s="95">
        <v>96.03</v>
      </c>
      <c r="AB422" s="193">
        <v>10020</v>
      </c>
      <c r="AC422" s="198">
        <v>0</v>
      </c>
      <c r="AD422" s="197">
        <v>2966157.39</v>
      </c>
      <c r="AE422" s="197">
        <f>VLOOKUP(B422,Reference!A:B,2,0)</f>
        <v>19980.900000000001</v>
      </c>
    </row>
    <row r="423" spans="1:31">
      <c r="A423" s="3">
        <v>2014</v>
      </c>
      <c r="B423" s="3" t="s">
        <v>10</v>
      </c>
      <c r="C423" s="191">
        <v>41852</v>
      </c>
      <c r="D423" s="192">
        <v>3739407</v>
      </c>
      <c r="E423" s="193">
        <v>498535.83999999997</v>
      </c>
      <c r="F423" s="227">
        <f t="shared" si="37"/>
        <v>0.13331949156644354</v>
      </c>
      <c r="G423" s="194">
        <v>24081</v>
      </c>
      <c r="H423" s="193">
        <v>16610.88</v>
      </c>
      <c r="I423" s="193">
        <f t="shared" si="34"/>
        <v>0.68979195216145517</v>
      </c>
      <c r="J423" s="229">
        <v>0</v>
      </c>
      <c r="K423" s="193">
        <v>0</v>
      </c>
      <c r="L423" s="195">
        <v>1432.54</v>
      </c>
      <c r="M423" s="193">
        <v>6056.34</v>
      </c>
      <c r="N423" s="229">
        <v>0</v>
      </c>
      <c r="O423" s="193">
        <v>0</v>
      </c>
      <c r="P423" s="199">
        <v>0</v>
      </c>
      <c r="Q423" s="196">
        <v>0</v>
      </c>
      <c r="R423" s="194"/>
      <c r="S423" s="193"/>
      <c r="T423" s="193"/>
      <c r="U423" s="197">
        <v>18056</v>
      </c>
      <c r="V423" s="196">
        <v>90617.73000000001</v>
      </c>
      <c r="W423" s="196">
        <f t="shared" si="36"/>
        <v>5.0187045857332748</v>
      </c>
      <c r="X423" s="197">
        <v>9464.74</v>
      </c>
      <c r="Y423" s="196">
        <v>37959.119999999995</v>
      </c>
      <c r="Z423" s="196">
        <f t="shared" si="35"/>
        <v>4.0105824354393249</v>
      </c>
      <c r="AA423" s="95">
        <v>47.849999999999994</v>
      </c>
      <c r="AB423" s="193">
        <v>10546</v>
      </c>
      <c r="AC423" s="198">
        <v>0</v>
      </c>
      <c r="AD423" s="197">
        <v>2966157.39</v>
      </c>
      <c r="AE423" s="197">
        <f>VLOOKUP(B423,Reference!A:B,2,0)</f>
        <v>19980.900000000001</v>
      </c>
    </row>
    <row r="424" spans="1:31">
      <c r="A424" s="3">
        <v>2014</v>
      </c>
      <c r="B424" s="3" t="s">
        <v>10</v>
      </c>
      <c r="C424" s="191">
        <v>41883</v>
      </c>
      <c r="D424" s="192">
        <v>3745982</v>
      </c>
      <c r="E424" s="193">
        <v>499583.89999999997</v>
      </c>
      <c r="F424" s="227">
        <f t="shared" si="37"/>
        <v>0.13336526977438759</v>
      </c>
      <c r="G424" s="194">
        <v>23520</v>
      </c>
      <c r="H424" s="193">
        <v>15083.66</v>
      </c>
      <c r="I424" s="193">
        <f t="shared" si="34"/>
        <v>0.64131207482993202</v>
      </c>
      <c r="J424" s="229">
        <v>1000</v>
      </c>
      <c r="K424" s="193">
        <v>3382.97</v>
      </c>
      <c r="L424" s="195">
        <v>2102.17</v>
      </c>
      <c r="M424" s="193">
        <v>8297.65</v>
      </c>
      <c r="N424" s="229">
        <v>0</v>
      </c>
      <c r="O424" s="193">
        <v>0</v>
      </c>
      <c r="P424" s="199">
        <v>0</v>
      </c>
      <c r="Q424" s="196">
        <v>0</v>
      </c>
      <c r="R424" s="194"/>
      <c r="S424" s="193"/>
      <c r="T424" s="193"/>
      <c r="U424" s="197">
        <v>13585</v>
      </c>
      <c r="V424" s="196">
        <v>72910.63</v>
      </c>
      <c r="W424" s="196">
        <f t="shared" si="36"/>
        <v>5.3669952153110048</v>
      </c>
      <c r="X424" s="197">
        <v>7344</v>
      </c>
      <c r="Y424" s="196">
        <v>29363.219999999998</v>
      </c>
      <c r="Z424" s="196">
        <f t="shared" si="35"/>
        <v>3.9982598039215684</v>
      </c>
      <c r="AA424" s="95">
        <v>53.42</v>
      </c>
      <c r="AB424" s="193">
        <v>13746</v>
      </c>
      <c r="AC424" s="198">
        <v>0</v>
      </c>
      <c r="AD424" s="197">
        <v>2966157.39</v>
      </c>
      <c r="AE424" s="197">
        <f>VLOOKUP(B424,Reference!A:B,2,0)</f>
        <v>19980.900000000001</v>
      </c>
    </row>
    <row r="425" spans="1:31">
      <c r="A425" s="3">
        <v>2014</v>
      </c>
      <c r="B425" s="3" t="s">
        <v>10</v>
      </c>
      <c r="C425" s="191">
        <v>41913</v>
      </c>
      <c r="D425" s="192">
        <v>3737669</v>
      </c>
      <c r="E425" s="193">
        <v>509860.21</v>
      </c>
      <c r="F425" s="227">
        <f t="shared" si="37"/>
        <v>0.13641127932944302</v>
      </c>
      <c r="G425" s="194">
        <v>19343</v>
      </c>
      <c r="H425" s="193">
        <v>17060.21</v>
      </c>
      <c r="I425" s="193">
        <f t="shared" si="34"/>
        <v>0.88198366334074341</v>
      </c>
      <c r="J425" s="229">
        <v>0</v>
      </c>
      <c r="K425" s="193">
        <v>0</v>
      </c>
      <c r="L425" s="195">
        <v>1760.94</v>
      </c>
      <c r="M425" s="193">
        <v>7008.92</v>
      </c>
      <c r="N425" s="229">
        <v>0</v>
      </c>
      <c r="O425" s="193">
        <v>0</v>
      </c>
      <c r="P425" s="199">
        <v>0</v>
      </c>
      <c r="Q425" s="196">
        <v>0</v>
      </c>
      <c r="R425" s="194"/>
      <c r="S425" s="193"/>
      <c r="T425" s="193"/>
      <c r="U425" s="197">
        <v>12782</v>
      </c>
      <c r="V425" s="196">
        <v>68603.87</v>
      </c>
      <c r="W425" s="196">
        <f t="shared" si="36"/>
        <v>5.3672250039117504</v>
      </c>
      <c r="X425" s="197">
        <v>6907</v>
      </c>
      <c r="Y425" s="196">
        <v>27614.219999999998</v>
      </c>
      <c r="Z425" s="196">
        <f t="shared" si="35"/>
        <v>3.9980049225423482</v>
      </c>
      <c r="AA425" s="95">
        <v>49.51</v>
      </c>
      <c r="AB425" s="193">
        <v>15346</v>
      </c>
      <c r="AC425" s="198">
        <v>0</v>
      </c>
      <c r="AD425" s="197">
        <v>2966157.39</v>
      </c>
      <c r="AE425" s="197">
        <f>VLOOKUP(B425,Reference!A:B,2,0)</f>
        <v>19980.900000000001</v>
      </c>
    </row>
    <row r="426" spans="1:31">
      <c r="A426" s="3">
        <v>2014</v>
      </c>
      <c r="B426" s="3" t="s">
        <v>10</v>
      </c>
      <c r="C426" s="191">
        <v>41944</v>
      </c>
      <c r="D426" s="192">
        <v>3880991</v>
      </c>
      <c r="E426" s="193">
        <v>484667.27999999997</v>
      </c>
      <c r="F426" s="227">
        <f t="shared" si="37"/>
        <v>0.12488235092531778</v>
      </c>
      <c r="G426" s="194">
        <v>40237</v>
      </c>
      <c r="H426" s="193">
        <v>24045.190000000002</v>
      </c>
      <c r="I426" s="193">
        <f t="shared" ref="I426:I471" si="38">IF(G426=0,0,H426/G426)</f>
        <v>0.59758903496781579</v>
      </c>
      <c r="J426" s="229">
        <v>0</v>
      </c>
      <c r="K426" s="193">
        <v>0</v>
      </c>
      <c r="L426" s="195">
        <v>1709.3400000000001</v>
      </c>
      <c r="M426" s="193">
        <v>6317.04</v>
      </c>
      <c r="N426" s="229">
        <v>0</v>
      </c>
      <c r="O426" s="193">
        <v>0</v>
      </c>
      <c r="P426" s="199">
        <v>0</v>
      </c>
      <c r="Q426" s="196">
        <v>0</v>
      </c>
      <c r="R426" s="194"/>
      <c r="S426" s="193"/>
      <c r="T426" s="193"/>
      <c r="U426" s="197">
        <v>15040</v>
      </c>
      <c r="V426" s="196">
        <v>79654.8</v>
      </c>
      <c r="W426" s="196">
        <f t="shared" si="36"/>
        <v>5.2961968085106381</v>
      </c>
      <c r="X426" s="197">
        <v>8244</v>
      </c>
      <c r="Y426" s="196">
        <v>32958.14</v>
      </c>
      <c r="Z426" s="196">
        <f t="shared" si="35"/>
        <v>3.9978335759340125</v>
      </c>
      <c r="AA426" s="95">
        <v>144.01</v>
      </c>
      <c r="AB426" s="193">
        <v>12146</v>
      </c>
      <c r="AC426" s="198">
        <v>0</v>
      </c>
      <c r="AD426" s="197">
        <v>2966157.39</v>
      </c>
      <c r="AE426" s="197">
        <f>VLOOKUP(B426,Reference!A:B,2,0)</f>
        <v>19980.900000000001</v>
      </c>
    </row>
    <row r="427" spans="1:31">
      <c r="A427" s="3">
        <v>2014</v>
      </c>
      <c r="B427" s="3" t="s">
        <v>10</v>
      </c>
      <c r="C427" s="191">
        <v>41974</v>
      </c>
      <c r="D427" s="192">
        <v>3320525</v>
      </c>
      <c r="E427" s="193">
        <v>429230.42000000004</v>
      </c>
      <c r="F427" s="227">
        <f t="shared" si="37"/>
        <v>0.129265829951589</v>
      </c>
      <c r="G427" s="194">
        <v>69136</v>
      </c>
      <c r="H427" s="193">
        <v>37963.709999999992</v>
      </c>
      <c r="I427" s="193">
        <f t="shared" si="38"/>
        <v>0.54911637931034474</v>
      </c>
      <c r="J427" s="229">
        <v>0</v>
      </c>
      <c r="K427" s="193">
        <v>0</v>
      </c>
      <c r="L427" s="195">
        <v>1378.21</v>
      </c>
      <c r="M427" s="193">
        <v>4685.12</v>
      </c>
      <c r="N427" s="229">
        <v>0</v>
      </c>
      <c r="O427" s="193">
        <v>0</v>
      </c>
      <c r="P427" s="199">
        <v>0</v>
      </c>
      <c r="Q427" s="196">
        <v>0</v>
      </c>
      <c r="R427" s="194"/>
      <c r="S427" s="193"/>
      <c r="T427" s="193"/>
      <c r="U427" s="197">
        <v>13396</v>
      </c>
      <c r="V427" s="196">
        <v>68484.570000000007</v>
      </c>
      <c r="W427" s="196">
        <f t="shared" si="36"/>
        <v>5.112314870110481</v>
      </c>
      <c r="X427" s="197">
        <v>7259</v>
      </c>
      <c r="Y427" s="196">
        <v>29156.880000000001</v>
      </c>
      <c r="Z427" s="196">
        <f t="shared" ref="Z427:Z471" si="39">Y427/X427</f>
        <v>4.0166524314643892</v>
      </c>
      <c r="AA427" s="95">
        <v>41.44</v>
      </c>
      <c r="AB427" s="193">
        <v>9776</v>
      </c>
      <c r="AC427" s="198">
        <v>0</v>
      </c>
      <c r="AD427" s="197">
        <v>2966157.39</v>
      </c>
      <c r="AE427" s="197">
        <f>VLOOKUP(B427,Reference!A:B,2,0)</f>
        <v>19980.900000000001</v>
      </c>
    </row>
    <row r="428" spans="1:31">
      <c r="A428" s="3">
        <v>2015</v>
      </c>
      <c r="B428" s="3" t="s">
        <v>10</v>
      </c>
      <c r="C428" s="191">
        <v>42005</v>
      </c>
      <c r="D428" s="192">
        <v>3028289</v>
      </c>
      <c r="E428" s="193">
        <v>392245.73000000004</v>
      </c>
      <c r="F428" s="227">
        <f t="shared" si="37"/>
        <v>0.12952717854867882</v>
      </c>
      <c r="G428" s="194">
        <v>100222</v>
      </c>
      <c r="H428" s="193">
        <v>13176.46</v>
      </c>
      <c r="I428" s="193">
        <f t="shared" si="38"/>
        <v>0.13147273053820518</v>
      </c>
      <c r="J428" s="229">
        <v>0</v>
      </c>
      <c r="K428" s="193">
        <v>0</v>
      </c>
      <c r="L428" s="195">
        <v>1245.26</v>
      </c>
      <c r="M428" s="193">
        <v>3819.95</v>
      </c>
      <c r="N428" s="229">
        <v>0</v>
      </c>
      <c r="O428" s="193">
        <v>0</v>
      </c>
      <c r="P428" s="199">
        <v>0</v>
      </c>
      <c r="Q428" s="196">
        <v>0</v>
      </c>
      <c r="R428" s="194"/>
      <c r="S428" s="193"/>
      <c r="T428" s="193"/>
      <c r="U428" s="197">
        <v>11285</v>
      </c>
      <c r="V428" s="196">
        <v>57692.18</v>
      </c>
      <c r="W428" s="196">
        <f t="shared" si="36"/>
        <v>5.1122888790429775</v>
      </c>
      <c r="X428" s="197">
        <v>6169.7199999999993</v>
      </c>
      <c r="Y428" s="196">
        <v>24661.350000000002</v>
      </c>
      <c r="Z428" s="196">
        <f t="shared" si="39"/>
        <v>3.9971587041227163</v>
      </c>
      <c r="AA428" s="95">
        <v>51.67</v>
      </c>
      <c r="AB428" s="193">
        <v>12786</v>
      </c>
      <c r="AC428" s="198">
        <v>0</v>
      </c>
      <c r="AD428" s="197">
        <v>2966157.39</v>
      </c>
      <c r="AE428" s="197">
        <f>VLOOKUP(B428,Reference!A:B,2,0)</f>
        <v>19980.900000000001</v>
      </c>
    </row>
    <row r="429" spans="1:31">
      <c r="A429" s="3">
        <v>2015</v>
      </c>
      <c r="B429" s="3" t="s">
        <v>10</v>
      </c>
      <c r="C429" s="191">
        <v>42036</v>
      </c>
      <c r="D429" s="192">
        <v>3248766</v>
      </c>
      <c r="E429" s="193">
        <v>405828.64999999997</v>
      </c>
      <c r="F429" s="227">
        <f t="shared" si="37"/>
        <v>0.12491778416789635</v>
      </c>
      <c r="G429" s="194">
        <v>94320</v>
      </c>
      <c r="H429" s="193">
        <v>47334.1</v>
      </c>
      <c r="I429" s="193">
        <f t="shared" si="38"/>
        <v>0.50184584393553855</v>
      </c>
      <c r="J429" s="229">
        <v>0</v>
      </c>
      <c r="K429" s="193">
        <v>0</v>
      </c>
      <c r="L429" s="195">
        <v>1899.1699999999998</v>
      </c>
      <c r="M429" s="193">
        <v>5761.7000000000007</v>
      </c>
      <c r="N429" s="229">
        <v>0</v>
      </c>
      <c r="O429" s="193">
        <v>0</v>
      </c>
      <c r="P429" s="199">
        <v>0</v>
      </c>
      <c r="Q429" s="196">
        <v>0</v>
      </c>
      <c r="R429" s="194"/>
      <c r="S429" s="193"/>
      <c r="T429" s="193"/>
      <c r="U429" s="197">
        <v>5414</v>
      </c>
      <c r="V429" s="196">
        <v>27525.5</v>
      </c>
      <c r="W429" s="196">
        <f t="shared" si="36"/>
        <v>5.0841337273734766</v>
      </c>
      <c r="X429" s="197">
        <v>2972</v>
      </c>
      <c r="Y429" s="196">
        <v>11885.609999999999</v>
      </c>
      <c r="Z429" s="196">
        <f t="shared" si="39"/>
        <v>3.9991958277254369</v>
      </c>
      <c r="AA429" s="95">
        <v>47.47</v>
      </c>
      <c r="AB429" s="193">
        <v>10735</v>
      </c>
      <c r="AC429" s="198">
        <v>0</v>
      </c>
      <c r="AD429" s="197">
        <v>2966157.39</v>
      </c>
      <c r="AE429" s="197">
        <f>VLOOKUP(B429,Reference!A:B,2,0)</f>
        <v>19980.900000000001</v>
      </c>
    </row>
    <row r="430" spans="1:31">
      <c r="A430" s="3">
        <v>2015</v>
      </c>
      <c r="B430" s="3" t="s">
        <v>10</v>
      </c>
      <c r="C430" s="191">
        <v>42064</v>
      </c>
      <c r="D430" s="192">
        <v>3077531</v>
      </c>
      <c r="E430" s="193">
        <v>391866.53</v>
      </c>
      <c r="F430" s="227">
        <f t="shared" si="37"/>
        <v>0.12733146473585483</v>
      </c>
      <c r="G430" s="194">
        <v>76553</v>
      </c>
      <c r="H430" s="193">
        <v>36064.5</v>
      </c>
      <c r="I430" s="193">
        <f t="shared" si="38"/>
        <v>0.47110498608806972</v>
      </c>
      <c r="J430" s="229">
        <v>0</v>
      </c>
      <c r="K430" s="193">
        <v>0</v>
      </c>
      <c r="L430" s="195">
        <v>1592.75</v>
      </c>
      <c r="M430" s="193">
        <v>6097.2699999999995</v>
      </c>
      <c r="N430" s="229">
        <v>0</v>
      </c>
      <c r="O430" s="193">
        <v>0</v>
      </c>
      <c r="P430" s="199">
        <v>44</v>
      </c>
      <c r="Q430" s="196">
        <v>154</v>
      </c>
      <c r="R430" s="194"/>
      <c r="S430" s="193"/>
      <c r="T430" s="193"/>
      <c r="U430" s="197">
        <v>8947</v>
      </c>
      <c r="V430" s="196">
        <v>44988.89</v>
      </c>
      <c r="W430" s="196">
        <f t="shared" si="36"/>
        <v>5.0283771096456915</v>
      </c>
      <c r="X430" s="197">
        <v>4894.79</v>
      </c>
      <c r="Y430" s="196">
        <v>19569.77</v>
      </c>
      <c r="Z430" s="196">
        <f t="shared" si="39"/>
        <v>3.9980816337370961</v>
      </c>
      <c r="AA430" s="95">
        <v>103.43</v>
      </c>
      <c r="AB430" s="193">
        <v>13036</v>
      </c>
      <c r="AC430" s="198">
        <v>0</v>
      </c>
      <c r="AD430" s="197">
        <v>2966157.39</v>
      </c>
      <c r="AE430" s="197">
        <f>VLOOKUP(B430,Reference!A:B,2,0)</f>
        <v>19980.900000000001</v>
      </c>
    </row>
    <row r="431" spans="1:31">
      <c r="A431" s="3">
        <v>2015</v>
      </c>
      <c r="B431" s="3" t="s">
        <v>10</v>
      </c>
      <c r="C431" s="191">
        <v>42095</v>
      </c>
      <c r="D431" s="192">
        <v>3545142</v>
      </c>
      <c r="E431" s="193">
        <v>440757.95999999996</v>
      </c>
      <c r="F431" s="227">
        <f t="shared" si="37"/>
        <v>0.12432730762265658</v>
      </c>
      <c r="G431" s="194">
        <v>66534</v>
      </c>
      <c r="H431" s="193">
        <v>31127.89</v>
      </c>
      <c r="I431" s="193">
        <f t="shared" si="38"/>
        <v>0.46784937024679113</v>
      </c>
      <c r="J431" s="229">
        <v>0</v>
      </c>
      <c r="K431" s="193">
        <v>0</v>
      </c>
      <c r="L431" s="195">
        <v>2169.88</v>
      </c>
      <c r="M431" s="193">
        <v>7881.72</v>
      </c>
      <c r="N431" s="229">
        <v>0</v>
      </c>
      <c r="O431" s="193">
        <v>0</v>
      </c>
      <c r="P431" s="199">
        <v>0</v>
      </c>
      <c r="Q431" s="196">
        <v>0</v>
      </c>
      <c r="R431" s="194"/>
      <c r="S431" s="193"/>
      <c r="T431" s="193"/>
      <c r="U431" s="197">
        <v>9863</v>
      </c>
      <c r="V431" s="196">
        <v>49584.56</v>
      </c>
      <c r="W431" s="196">
        <f t="shared" si="36"/>
        <v>5.0273304268478149</v>
      </c>
      <c r="X431" s="197">
        <v>5400</v>
      </c>
      <c r="Y431" s="196">
        <v>21583.65</v>
      </c>
      <c r="Z431" s="196">
        <f t="shared" si="39"/>
        <v>3.9969722222222224</v>
      </c>
      <c r="AA431" s="95">
        <v>105.69</v>
      </c>
      <c r="AB431" s="193">
        <v>14661</v>
      </c>
      <c r="AC431" s="198">
        <v>0</v>
      </c>
      <c r="AD431" s="197">
        <v>2966157.39</v>
      </c>
      <c r="AE431" s="197">
        <f>VLOOKUP(B431,Reference!A:B,2,0)</f>
        <v>19980.900000000001</v>
      </c>
    </row>
    <row r="432" spans="1:31">
      <c r="A432" s="3">
        <v>2015</v>
      </c>
      <c r="B432" s="3" t="s">
        <v>10</v>
      </c>
      <c r="C432" s="191">
        <v>42125</v>
      </c>
      <c r="D432" s="192">
        <v>3423807</v>
      </c>
      <c r="E432" s="193">
        <v>426097.06999999995</v>
      </c>
      <c r="F432" s="227">
        <f t="shared" si="37"/>
        <v>0.12445125265530445</v>
      </c>
      <c r="G432" s="194">
        <v>72301</v>
      </c>
      <c r="H432" s="193">
        <v>32112.800000000003</v>
      </c>
      <c r="I432" s="193">
        <f t="shared" si="38"/>
        <v>0.44415429938728374</v>
      </c>
      <c r="J432" s="229">
        <v>0</v>
      </c>
      <c r="K432" s="193">
        <v>0</v>
      </c>
      <c r="L432" s="195">
        <v>1990.67</v>
      </c>
      <c r="M432" s="193">
        <v>8102.1</v>
      </c>
      <c r="N432" s="229">
        <v>0</v>
      </c>
      <c r="O432" s="193">
        <v>0</v>
      </c>
      <c r="P432" s="199">
        <v>0</v>
      </c>
      <c r="Q432" s="196">
        <v>0</v>
      </c>
      <c r="R432" s="194"/>
      <c r="S432" s="193"/>
      <c r="T432" s="193"/>
      <c r="U432" s="197">
        <v>11024</v>
      </c>
      <c r="V432" s="196">
        <v>55323.180000000008</v>
      </c>
      <c r="W432" s="196">
        <f t="shared" si="36"/>
        <v>5.0184306966618291</v>
      </c>
      <c r="X432" s="197">
        <v>6050</v>
      </c>
      <c r="Y432" s="196">
        <v>24191.119999999999</v>
      </c>
      <c r="Z432" s="196">
        <f t="shared" si="39"/>
        <v>3.9985322314049587</v>
      </c>
      <c r="AA432" s="95">
        <v>92.08</v>
      </c>
      <c r="AB432" s="193">
        <v>13306</v>
      </c>
      <c r="AC432" s="198">
        <v>0</v>
      </c>
      <c r="AD432" s="197">
        <v>2966157.39</v>
      </c>
      <c r="AE432" s="197">
        <f>VLOOKUP(B432,Reference!A:B,2,0)</f>
        <v>19980.900000000001</v>
      </c>
    </row>
    <row r="433" spans="1:31">
      <c r="A433" s="3">
        <v>2015</v>
      </c>
      <c r="B433" s="3" t="s">
        <v>10</v>
      </c>
      <c r="C433" s="191">
        <v>42156</v>
      </c>
      <c r="D433" s="192">
        <v>3457352</v>
      </c>
      <c r="E433" s="193">
        <v>429078.88000000006</v>
      </c>
      <c r="F433" s="227">
        <f t="shared" si="37"/>
        <v>0.1241062177064991</v>
      </c>
      <c r="G433" s="194">
        <v>78690</v>
      </c>
      <c r="H433" s="193">
        <v>34252.39</v>
      </c>
      <c r="I433" s="193">
        <f t="shared" si="38"/>
        <v>0.43528262803405771</v>
      </c>
      <c r="J433" s="229">
        <v>0</v>
      </c>
      <c r="K433" s="193">
        <v>0</v>
      </c>
      <c r="L433" s="195">
        <v>1624.67</v>
      </c>
      <c r="M433" s="193">
        <v>6683.8099999999995</v>
      </c>
      <c r="N433" s="229">
        <v>0</v>
      </c>
      <c r="O433" s="193">
        <v>0</v>
      </c>
      <c r="P433" s="199">
        <v>0</v>
      </c>
      <c r="Q433" s="196">
        <v>0</v>
      </c>
      <c r="R433" s="194"/>
      <c r="S433" s="193"/>
      <c r="T433" s="193"/>
      <c r="U433" s="197">
        <v>11410</v>
      </c>
      <c r="V433" s="196">
        <v>62131.829999999994</v>
      </c>
      <c r="W433" s="196">
        <f t="shared" si="36"/>
        <v>5.4453838737949161</v>
      </c>
      <c r="X433" s="197">
        <v>6768.76</v>
      </c>
      <c r="Y433" s="196">
        <v>27058.04</v>
      </c>
      <c r="Z433" s="196">
        <f t="shared" si="39"/>
        <v>3.9974884616975634</v>
      </c>
      <c r="AA433" s="95">
        <v>107.81</v>
      </c>
      <c r="AB433" s="193">
        <v>18846</v>
      </c>
      <c r="AC433" s="198">
        <v>0</v>
      </c>
      <c r="AD433" s="197">
        <v>2966157.39</v>
      </c>
      <c r="AE433" s="197">
        <f>VLOOKUP(B433,Reference!A:B,2,0)</f>
        <v>19980.900000000001</v>
      </c>
    </row>
    <row r="434" spans="1:31">
      <c r="A434" s="3">
        <v>2015</v>
      </c>
      <c r="B434" s="3" t="s">
        <v>11</v>
      </c>
      <c r="C434" s="191">
        <v>42186</v>
      </c>
      <c r="D434" s="192">
        <v>3602201</v>
      </c>
      <c r="E434" s="193">
        <v>501263.78</v>
      </c>
      <c r="F434" s="227">
        <f t="shared" si="37"/>
        <v>0.13915486115294512</v>
      </c>
      <c r="G434" s="194">
        <v>37894</v>
      </c>
      <c r="H434" s="193">
        <v>18755.199999999997</v>
      </c>
      <c r="I434" s="193">
        <f t="shared" si="38"/>
        <v>0.4949385126933023</v>
      </c>
      <c r="J434" s="229">
        <v>0</v>
      </c>
      <c r="K434" s="193">
        <v>0</v>
      </c>
      <c r="L434" s="195">
        <v>1565.04</v>
      </c>
      <c r="M434" s="193">
        <v>6940.7199999999993</v>
      </c>
      <c r="N434" s="229">
        <v>0</v>
      </c>
      <c r="O434" s="193">
        <v>0</v>
      </c>
      <c r="P434" s="199">
        <v>0</v>
      </c>
      <c r="Q434" s="196">
        <v>0</v>
      </c>
      <c r="R434" s="194"/>
      <c r="S434" s="193"/>
      <c r="T434" s="193"/>
      <c r="U434" s="197">
        <v>8382</v>
      </c>
      <c r="V434" s="196">
        <v>41959.55</v>
      </c>
      <c r="W434" s="196">
        <f t="shared" si="36"/>
        <v>5.005911476974469</v>
      </c>
      <c r="X434" s="197">
        <v>4546</v>
      </c>
      <c r="Y434" s="196">
        <v>18176.310000000001</v>
      </c>
      <c r="Z434" s="196">
        <f t="shared" si="39"/>
        <v>3.9983084029916411</v>
      </c>
      <c r="AA434" s="95">
        <v>124.66</v>
      </c>
      <c r="AB434" s="193">
        <v>18426</v>
      </c>
      <c r="AC434" s="33">
        <v>0.71659346385766398</v>
      </c>
      <c r="AD434" s="197">
        <v>2966157.39</v>
      </c>
      <c r="AE434" s="197">
        <f>VLOOKUP(B434,Reference!A:B,2,0)</f>
        <v>22469</v>
      </c>
    </row>
    <row r="435" spans="1:31">
      <c r="A435" s="3">
        <v>2015</v>
      </c>
      <c r="B435" s="3" t="s">
        <v>11</v>
      </c>
      <c r="C435" s="191">
        <v>42217</v>
      </c>
      <c r="D435" s="192">
        <v>3747191</v>
      </c>
      <c r="E435" s="193">
        <v>507220.68000000005</v>
      </c>
      <c r="F435" s="227">
        <f t="shared" si="37"/>
        <v>0.13536024184515816</v>
      </c>
      <c r="G435" s="194">
        <v>20109</v>
      </c>
      <c r="H435" s="193">
        <v>11086.930000000002</v>
      </c>
      <c r="I435" s="193">
        <f t="shared" si="38"/>
        <v>0.55134168780148207</v>
      </c>
      <c r="J435" s="229">
        <v>236.5</v>
      </c>
      <c r="K435" s="193">
        <v>507.48</v>
      </c>
      <c r="L435" s="195">
        <v>1814.19</v>
      </c>
      <c r="M435" s="193">
        <v>7705.8</v>
      </c>
      <c r="N435" s="229">
        <v>0</v>
      </c>
      <c r="O435" s="193">
        <v>0</v>
      </c>
      <c r="P435" s="250">
        <v>0</v>
      </c>
      <c r="Q435" s="196">
        <v>56</v>
      </c>
      <c r="R435" s="194"/>
      <c r="S435" s="193"/>
      <c r="T435" s="193"/>
      <c r="U435" s="197">
        <v>6024</v>
      </c>
      <c r="V435" s="196">
        <v>30522.73</v>
      </c>
      <c r="W435" s="196">
        <f t="shared" si="36"/>
        <v>5.0668542496679949</v>
      </c>
      <c r="X435" s="197">
        <v>3303</v>
      </c>
      <c r="Y435" s="196">
        <v>13488.869999999999</v>
      </c>
      <c r="Z435" s="196">
        <f t="shared" si="39"/>
        <v>4.0838237965485922</v>
      </c>
      <c r="AA435" s="95">
        <v>150.86000000000001</v>
      </c>
      <c r="AB435" s="193">
        <v>18142.23</v>
      </c>
      <c r="AC435" s="33">
        <v>0.7294306621452793</v>
      </c>
      <c r="AD435" s="197">
        <v>2966157.39</v>
      </c>
      <c r="AE435" s="197">
        <f>VLOOKUP(B435,Reference!A:B,2,0)</f>
        <v>22469</v>
      </c>
    </row>
    <row r="436" spans="1:31">
      <c r="A436" s="3">
        <v>2015</v>
      </c>
      <c r="B436" s="3" t="s">
        <v>11</v>
      </c>
      <c r="C436" s="191">
        <v>42248</v>
      </c>
      <c r="D436" s="192">
        <v>3838143</v>
      </c>
      <c r="E436" s="193">
        <v>516895.97999999992</v>
      </c>
      <c r="F436" s="227">
        <f t="shared" si="37"/>
        <v>0.13467345536630604</v>
      </c>
      <c r="G436" s="194">
        <v>12085</v>
      </c>
      <c r="H436" s="193">
        <v>4248.0999999999995</v>
      </c>
      <c r="I436" s="193">
        <f t="shared" si="38"/>
        <v>0.35151841125362016</v>
      </c>
      <c r="J436" s="229">
        <v>0</v>
      </c>
      <c r="K436" s="193">
        <v>0</v>
      </c>
      <c r="L436" s="195">
        <v>2019.85</v>
      </c>
      <c r="M436" s="193">
        <v>7619.41</v>
      </c>
      <c r="N436" s="229">
        <v>0</v>
      </c>
      <c r="O436" s="193">
        <v>0</v>
      </c>
      <c r="P436" s="199">
        <v>32.86</v>
      </c>
      <c r="Q436" s="196">
        <v>115</v>
      </c>
      <c r="R436" s="194"/>
      <c r="S436" s="193"/>
      <c r="T436" s="193"/>
      <c r="U436" s="197">
        <v>5704</v>
      </c>
      <c r="V436" s="196">
        <v>29589.81</v>
      </c>
      <c r="W436" s="196">
        <f t="shared" si="36"/>
        <v>5.1875543478260875</v>
      </c>
      <c r="X436" s="197">
        <v>3091.79</v>
      </c>
      <c r="Y436" s="196">
        <v>13280.399999999998</v>
      </c>
      <c r="Z436" s="196">
        <f t="shared" si="39"/>
        <v>4.2953758178918999</v>
      </c>
      <c r="AA436" s="95">
        <v>123.53</v>
      </c>
      <c r="AB436" s="193">
        <v>20056</v>
      </c>
      <c r="AC436" s="33">
        <v>0.62001133327936531</v>
      </c>
      <c r="AD436" s="197">
        <v>2966157.39</v>
      </c>
      <c r="AE436" s="197">
        <f>VLOOKUP(B436,Reference!A:B,2,0)</f>
        <v>22469</v>
      </c>
    </row>
    <row r="437" spans="1:31">
      <c r="A437" s="3">
        <v>2015</v>
      </c>
      <c r="B437" s="3" t="s">
        <v>11</v>
      </c>
      <c r="C437" s="191">
        <v>42278</v>
      </c>
      <c r="D437" s="192">
        <v>3884550</v>
      </c>
      <c r="E437" s="193">
        <v>532472.59</v>
      </c>
      <c r="F437" s="227">
        <f t="shared" si="37"/>
        <v>0.13707445907505372</v>
      </c>
      <c r="G437" s="194">
        <v>12155</v>
      </c>
      <c r="H437" s="193">
        <v>6527.4799999999987</v>
      </c>
      <c r="I437" s="193">
        <f t="shared" si="38"/>
        <v>0.5370201563142738</v>
      </c>
      <c r="J437" s="229">
        <v>179.3</v>
      </c>
      <c r="K437" s="193">
        <v>537.90000000000009</v>
      </c>
      <c r="L437" s="195">
        <v>2098.9699999999998</v>
      </c>
      <c r="M437" s="193">
        <v>7149.4400000000005</v>
      </c>
      <c r="N437" s="229">
        <v>0</v>
      </c>
      <c r="O437" s="193">
        <v>0</v>
      </c>
      <c r="P437" s="199">
        <v>31</v>
      </c>
      <c r="Q437" s="196">
        <v>108.5</v>
      </c>
      <c r="R437" s="194"/>
      <c r="S437" s="193"/>
      <c r="T437" s="193"/>
      <c r="U437" s="197">
        <v>9028</v>
      </c>
      <c r="V437" s="196">
        <v>46752.84</v>
      </c>
      <c r="W437" s="196">
        <f t="shared" si="36"/>
        <v>5.1786486486486485</v>
      </c>
      <c r="X437" s="197">
        <v>4946</v>
      </c>
      <c r="Y437" s="196">
        <v>21059.34</v>
      </c>
      <c r="Z437" s="196">
        <f t="shared" si="39"/>
        <v>4.2578528103517996</v>
      </c>
      <c r="AA437" s="95">
        <v>139.14000000000001</v>
      </c>
      <c r="AB437" s="193">
        <v>17466</v>
      </c>
      <c r="AC437" s="33">
        <v>0.637703032916487</v>
      </c>
      <c r="AD437" s="197">
        <v>2966157.39</v>
      </c>
      <c r="AE437" s="197">
        <f>VLOOKUP(B437,Reference!A:B,2,0)</f>
        <v>22469</v>
      </c>
    </row>
    <row r="438" spans="1:31">
      <c r="A438" s="3">
        <v>2015</v>
      </c>
      <c r="B438" s="3" t="s">
        <v>11</v>
      </c>
      <c r="C438" s="191">
        <v>42309</v>
      </c>
      <c r="D438" s="192">
        <v>4034263</v>
      </c>
      <c r="E438" s="193">
        <v>495702.60999999993</v>
      </c>
      <c r="F438" s="227">
        <f t="shared" si="37"/>
        <v>0.1228731517999694</v>
      </c>
      <c r="G438" s="194">
        <v>19830</v>
      </c>
      <c r="H438" s="193">
        <v>9873.7099999999991</v>
      </c>
      <c r="I438" s="193">
        <f t="shared" si="38"/>
        <v>0.49791780131114466</v>
      </c>
      <c r="J438" s="229">
        <v>149.69999999999999</v>
      </c>
      <c r="K438" s="193">
        <v>350.82194999999996</v>
      </c>
      <c r="L438" s="195">
        <v>2104.85</v>
      </c>
      <c r="M438" s="193">
        <v>6582.8899000000001</v>
      </c>
      <c r="N438" s="229">
        <v>0</v>
      </c>
      <c r="O438" s="193">
        <v>0</v>
      </c>
      <c r="P438" s="199">
        <v>31</v>
      </c>
      <c r="Q438" s="196">
        <v>108.5</v>
      </c>
      <c r="R438" s="194"/>
      <c r="S438" s="193"/>
      <c r="T438" s="193"/>
      <c r="U438" s="197">
        <v>11495</v>
      </c>
      <c r="V438" s="196">
        <v>58088.5</v>
      </c>
      <c r="W438" s="196">
        <f t="shared" si="36"/>
        <v>5.0533710308829924</v>
      </c>
      <c r="X438" s="197">
        <v>6219</v>
      </c>
      <c r="Y438" s="196">
        <v>26581.040000000001</v>
      </c>
      <c r="Z438" s="196">
        <f t="shared" si="39"/>
        <v>4.2741662646727772</v>
      </c>
      <c r="AA438" s="95">
        <v>108.62</v>
      </c>
      <c r="AB438" s="193">
        <v>15546</v>
      </c>
      <c r="AC438" s="33">
        <v>0.57309887681826543</v>
      </c>
      <c r="AD438" s="197">
        <v>2966157.39</v>
      </c>
      <c r="AE438" s="197">
        <f>VLOOKUP(B438,Reference!A:B,2,0)</f>
        <v>22469</v>
      </c>
    </row>
    <row r="439" spans="1:31">
      <c r="A439" s="3">
        <v>2015</v>
      </c>
      <c r="B439" s="3" t="s">
        <v>11</v>
      </c>
      <c r="C439" s="191">
        <v>42339</v>
      </c>
      <c r="D439" s="192">
        <v>3250943</v>
      </c>
      <c r="E439" s="193">
        <v>415755.69000000006</v>
      </c>
      <c r="F439" s="227">
        <f t="shared" si="37"/>
        <v>0.12788772057830608</v>
      </c>
      <c r="G439" s="194">
        <v>59999</v>
      </c>
      <c r="H439" s="193">
        <v>16566.050000000003</v>
      </c>
      <c r="I439" s="193">
        <f t="shared" si="38"/>
        <v>0.27610543509058488</v>
      </c>
      <c r="J439" s="229">
        <v>157.4</v>
      </c>
      <c r="K439" s="193">
        <v>338.41</v>
      </c>
      <c r="L439" s="195">
        <v>1705.1799999999998</v>
      </c>
      <c r="M439" s="193">
        <v>5049.34</v>
      </c>
      <c r="N439" s="229">
        <v>0</v>
      </c>
      <c r="O439" s="193">
        <v>0</v>
      </c>
      <c r="P439" s="199">
        <v>0</v>
      </c>
      <c r="Q439" s="196">
        <v>0</v>
      </c>
      <c r="R439" s="194"/>
      <c r="S439" s="193"/>
      <c r="T439" s="193"/>
      <c r="U439" s="197">
        <v>12135</v>
      </c>
      <c r="V439" s="196">
        <v>57525.43</v>
      </c>
      <c r="W439" s="196">
        <f t="shared" si="36"/>
        <v>4.7404557066337043</v>
      </c>
      <c r="X439" s="197">
        <v>6570</v>
      </c>
      <c r="Y439" s="196">
        <v>27977.829999999998</v>
      </c>
      <c r="Z439" s="196">
        <f t="shared" si="39"/>
        <v>4.2584216133942157</v>
      </c>
      <c r="AA439" s="95">
        <v>101.16</v>
      </c>
      <c r="AB439" s="193">
        <v>14906</v>
      </c>
      <c r="AC439" s="33">
        <v>0.6296955318307631</v>
      </c>
      <c r="AD439" s="197">
        <v>2966157.39</v>
      </c>
      <c r="AE439" s="197">
        <f>VLOOKUP(B439,Reference!A:B,2,0)</f>
        <v>22469</v>
      </c>
    </row>
    <row r="440" spans="1:31">
      <c r="A440" s="3">
        <v>2016</v>
      </c>
      <c r="B440" s="3" t="s">
        <v>11</v>
      </c>
      <c r="C440" s="191">
        <v>42370</v>
      </c>
      <c r="D440" s="192">
        <v>3003197</v>
      </c>
      <c r="E440" s="193">
        <v>385478.75</v>
      </c>
      <c r="F440" s="227">
        <f t="shared" si="37"/>
        <v>0.12835613181552857</v>
      </c>
      <c r="G440" s="194">
        <v>71033</v>
      </c>
      <c r="H440" s="193">
        <v>30511.05</v>
      </c>
      <c r="I440" s="193">
        <f t="shared" si="38"/>
        <v>0.42953345628088352</v>
      </c>
      <c r="J440" s="229">
        <v>0</v>
      </c>
      <c r="K440" s="193">
        <v>0</v>
      </c>
      <c r="L440" s="195">
        <v>1788.3400000000001</v>
      </c>
      <c r="M440" s="193">
        <v>5511.48</v>
      </c>
      <c r="N440" s="229">
        <v>131.69999999999999</v>
      </c>
      <c r="O440" s="193">
        <v>294.76</v>
      </c>
      <c r="P440" s="199">
        <v>32</v>
      </c>
      <c r="Q440" s="196">
        <v>112</v>
      </c>
      <c r="R440" s="194"/>
      <c r="S440" s="193"/>
      <c r="T440" s="193"/>
      <c r="U440" s="197">
        <v>11026</v>
      </c>
      <c r="V440" s="196">
        <v>52240.969999999994</v>
      </c>
      <c r="W440" s="196">
        <f t="shared" si="36"/>
        <v>4.7379802285506978</v>
      </c>
      <c r="X440" s="197">
        <v>5987</v>
      </c>
      <c r="Y440" s="196">
        <v>25484.85</v>
      </c>
      <c r="Z440" s="196">
        <f t="shared" si="39"/>
        <v>4.2566978453315514</v>
      </c>
      <c r="AA440" s="95">
        <v>88.39</v>
      </c>
      <c r="AB440" s="193">
        <v>10746</v>
      </c>
      <c r="AC440" s="33">
        <v>0.49620997850435566</v>
      </c>
      <c r="AD440" s="197">
        <v>2966157.39</v>
      </c>
      <c r="AE440" s="197">
        <f>VLOOKUP(B440,Reference!A:B,2,0)</f>
        <v>22469</v>
      </c>
    </row>
    <row r="441" spans="1:31">
      <c r="A441" s="3">
        <v>2016</v>
      </c>
      <c r="B441" s="3" t="s">
        <v>11</v>
      </c>
      <c r="C441" s="191">
        <v>42401</v>
      </c>
      <c r="D441" s="192">
        <v>3262268</v>
      </c>
      <c r="E441" s="193">
        <v>397981.69</v>
      </c>
      <c r="F441" s="227">
        <f t="shared" si="37"/>
        <v>0.12199540013266844</v>
      </c>
      <c r="G441" s="194">
        <v>89671</v>
      </c>
      <c r="H441" s="193">
        <v>38486.499999999993</v>
      </c>
      <c r="I441" s="193">
        <f t="shared" si="38"/>
        <v>0.4291967302695408</v>
      </c>
      <c r="J441" s="229">
        <v>498.7</v>
      </c>
      <c r="K441" s="193">
        <v>1112.1009999999999</v>
      </c>
      <c r="L441" s="195">
        <v>2559.84</v>
      </c>
      <c r="M441" s="193">
        <v>6897.494999999999</v>
      </c>
      <c r="N441" s="229">
        <v>0</v>
      </c>
      <c r="O441" s="193">
        <v>0</v>
      </c>
      <c r="P441" s="199">
        <v>0</v>
      </c>
      <c r="Q441" s="196">
        <v>0</v>
      </c>
      <c r="R441" s="194"/>
      <c r="S441" s="193"/>
      <c r="T441" s="193"/>
      <c r="U441" s="197">
        <v>6272</v>
      </c>
      <c r="V441" s="196">
        <v>29974.1</v>
      </c>
      <c r="W441" s="196">
        <f t="shared" si="36"/>
        <v>4.7790338010204083</v>
      </c>
      <c r="X441" s="197">
        <v>3414</v>
      </c>
      <c r="Y441" s="196">
        <v>14571.199999999999</v>
      </c>
      <c r="Z441" s="196">
        <f t="shared" si="39"/>
        <v>4.2680726420620969</v>
      </c>
      <c r="AA441" s="95">
        <v>108.87</v>
      </c>
      <c r="AB441" s="193">
        <v>12836</v>
      </c>
      <c r="AC441" s="33">
        <v>0.63975383484890236</v>
      </c>
      <c r="AD441" s="197">
        <v>2966157.39</v>
      </c>
      <c r="AE441" s="197">
        <f>VLOOKUP(B441,Reference!A:B,2,0)</f>
        <v>22469</v>
      </c>
    </row>
    <row r="442" spans="1:31">
      <c r="A442" s="3">
        <v>2016</v>
      </c>
      <c r="B442" s="3" t="s">
        <v>11</v>
      </c>
      <c r="C442" s="191">
        <v>42430</v>
      </c>
      <c r="D442" s="192">
        <v>3353334</v>
      </c>
      <c r="E442" s="193">
        <v>403463.25999999995</v>
      </c>
      <c r="F442" s="227">
        <f t="shared" si="37"/>
        <v>0.12031705162682869</v>
      </c>
      <c r="G442" s="194">
        <v>47167</v>
      </c>
      <c r="H442" s="193">
        <v>19439.180000000004</v>
      </c>
      <c r="I442" s="193">
        <f t="shared" si="38"/>
        <v>0.4121351792566838</v>
      </c>
      <c r="J442" s="229">
        <v>487.8</v>
      </c>
      <c r="K442" s="193">
        <v>878.04</v>
      </c>
      <c r="L442" s="195">
        <v>2377.6799999999998</v>
      </c>
      <c r="M442" s="193">
        <v>6226.11</v>
      </c>
      <c r="N442" s="229">
        <v>0</v>
      </c>
      <c r="O442" s="193">
        <v>0</v>
      </c>
      <c r="P442" s="199">
        <v>15</v>
      </c>
      <c r="Q442" s="196">
        <v>52.5</v>
      </c>
      <c r="R442" s="194"/>
      <c r="S442" s="193"/>
      <c r="T442" s="193"/>
      <c r="U442" s="197">
        <v>8232</v>
      </c>
      <c r="V442" s="196">
        <v>39911.759999999995</v>
      </c>
      <c r="W442" s="196">
        <f t="shared" si="36"/>
        <v>4.8483673469387751</v>
      </c>
      <c r="X442" s="197">
        <v>4489</v>
      </c>
      <c r="Y442" s="196">
        <v>19127.400000000001</v>
      </c>
      <c r="Z442" s="196">
        <f t="shared" si="39"/>
        <v>4.2609489864112282</v>
      </c>
      <c r="AA442" s="95">
        <v>87.539999999999992</v>
      </c>
      <c r="AB442" s="193">
        <v>15829.86</v>
      </c>
      <c r="AC442" s="33">
        <v>0.66638711841663878</v>
      </c>
      <c r="AD442" s="197">
        <v>2966157.39</v>
      </c>
      <c r="AE442" s="197">
        <f>VLOOKUP(B442,Reference!A:B,2,0)</f>
        <v>22469</v>
      </c>
    </row>
    <row r="443" spans="1:31">
      <c r="A443" s="3">
        <v>2016</v>
      </c>
      <c r="B443" s="3" t="s">
        <v>11</v>
      </c>
      <c r="C443" s="191">
        <v>42461</v>
      </c>
      <c r="D443" s="192">
        <v>3377332</v>
      </c>
      <c r="E443" s="193">
        <v>407768.64000000007</v>
      </c>
      <c r="F443" s="227">
        <f t="shared" si="37"/>
        <v>0.12073691304260288</v>
      </c>
      <c r="G443" s="194">
        <v>77455</v>
      </c>
      <c r="H443" s="193">
        <v>27658.609999999997</v>
      </c>
      <c r="I443" s="193">
        <f t="shared" si="38"/>
        <v>0.35709263443289646</v>
      </c>
      <c r="J443" s="229">
        <v>276.60000000000002</v>
      </c>
      <c r="K443" s="193">
        <v>616.8180000000001</v>
      </c>
      <c r="L443" s="195">
        <v>2298.94</v>
      </c>
      <c r="M443" s="193">
        <v>6410.26</v>
      </c>
      <c r="N443" s="229">
        <v>0</v>
      </c>
      <c r="O443" s="193">
        <v>0</v>
      </c>
      <c r="P443" s="199">
        <v>0</v>
      </c>
      <c r="Q443" s="196">
        <v>0</v>
      </c>
      <c r="R443" s="194"/>
      <c r="S443" s="193"/>
      <c r="T443" s="193"/>
      <c r="U443" s="197">
        <v>9577</v>
      </c>
      <c r="V443" s="196">
        <v>46399.92</v>
      </c>
      <c r="W443" s="196">
        <f t="shared" si="36"/>
        <v>4.8449326511433641</v>
      </c>
      <c r="X443" s="197">
        <v>5209.3099999999995</v>
      </c>
      <c r="Y443" s="196">
        <v>22179.97</v>
      </c>
      <c r="Z443" s="196">
        <f t="shared" si="39"/>
        <v>4.2577558256275791</v>
      </c>
      <c r="AA443" s="95">
        <v>117.98</v>
      </c>
      <c r="AB443" s="193">
        <v>14605.66</v>
      </c>
      <c r="AC443" s="33">
        <v>0.58416680793354814</v>
      </c>
      <c r="AD443" s="197">
        <v>2966157.39</v>
      </c>
      <c r="AE443" s="197">
        <f>VLOOKUP(B443,Reference!A:B,2,0)</f>
        <v>22469</v>
      </c>
    </row>
    <row r="444" spans="1:31">
      <c r="A444" s="3">
        <v>2016</v>
      </c>
      <c r="B444" s="3" t="s">
        <v>11</v>
      </c>
      <c r="C444" s="191">
        <v>42491</v>
      </c>
      <c r="D444" s="192">
        <v>3424122</v>
      </c>
      <c r="E444" s="193">
        <v>348347.76999999996</v>
      </c>
      <c r="F444" s="227">
        <f t="shared" si="37"/>
        <v>0.10173345751115176</v>
      </c>
      <c r="G444" s="194">
        <v>59387</v>
      </c>
      <c r="H444" s="193">
        <v>13335.530000000002</v>
      </c>
      <c r="I444" s="193">
        <f t="shared" si="38"/>
        <v>0.22455301665347638</v>
      </c>
      <c r="J444" s="229">
        <v>119.8</v>
      </c>
      <c r="K444" s="193">
        <v>233.60999999999999</v>
      </c>
      <c r="L444" s="195">
        <v>2171.71</v>
      </c>
      <c r="M444" s="193">
        <v>6282.5</v>
      </c>
      <c r="N444" s="229">
        <v>0</v>
      </c>
      <c r="O444" s="193">
        <v>0</v>
      </c>
      <c r="P444" s="199">
        <v>0</v>
      </c>
      <c r="Q444" s="196">
        <v>0</v>
      </c>
      <c r="R444" s="194"/>
      <c r="S444" s="193"/>
      <c r="T444" s="193"/>
      <c r="U444" s="197">
        <v>8482</v>
      </c>
      <c r="V444" s="196">
        <v>41035.5</v>
      </c>
      <c r="W444" s="196">
        <f t="shared" si="36"/>
        <v>4.8379509549634516</v>
      </c>
      <c r="X444" s="197">
        <v>4620</v>
      </c>
      <c r="Y444" s="196">
        <v>19679.669999999998</v>
      </c>
      <c r="Z444" s="196">
        <f t="shared" si="39"/>
        <v>4.2596688311688311</v>
      </c>
      <c r="AA444" s="95">
        <v>140.42000000000002</v>
      </c>
      <c r="AB444" s="193">
        <v>17961.489999999998</v>
      </c>
      <c r="AC444" s="33">
        <v>0.55056259792052409</v>
      </c>
      <c r="AD444" s="197">
        <v>2966157.39</v>
      </c>
      <c r="AE444" s="197">
        <f>VLOOKUP(B444,Reference!A:B,2,0)</f>
        <v>22469</v>
      </c>
    </row>
    <row r="445" spans="1:31">
      <c r="A445" s="3">
        <v>2016</v>
      </c>
      <c r="B445" s="3" t="s">
        <v>11</v>
      </c>
      <c r="C445" s="191">
        <v>42522</v>
      </c>
      <c r="D445" s="192">
        <v>3391704</v>
      </c>
      <c r="E445" s="193">
        <v>440474.36999999994</v>
      </c>
      <c r="F445" s="227">
        <f t="shared" si="37"/>
        <v>0.12986816361333417</v>
      </c>
      <c r="G445" s="194">
        <v>63281</v>
      </c>
      <c r="H445" s="193">
        <v>21692.210000000003</v>
      </c>
      <c r="I445" s="193">
        <f t="shared" si="38"/>
        <v>0.34279183325168694</v>
      </c>
      <c r="J445" s="229">
        <v>0</v>
      </c>
      <c r="K445" s="193">
        <v>0</v>
      </c>
      <c r="L445" s="195">
        <v>2097.8000000000002</v>
      </c>
      <c r="M445" s="193">
        <v>6063.09</v>
      </c>
      <c r="N445" s="229">
        <v>0</v>
      </c>
      <c r="O445" s="193">
        <v>0</v>
      </c>
      <c r="P445" s="199">
        <v>0</v>
      </c>
      <c r="Q445" s="196">
        <v>0</v>
      </c>
      <c r="R445" s="194"/>
      <c r="S445" s="193"/>
      <c r="T445" s="193"/>
      <c r="U445" s="197">
        <v>10333</v>
      </c>
      <c r="V445" s="196">
        <v>57908.149999999994</v>
      </c>
      <c r="W445" s="196">
        <f t="shared" si="36"/>
        <v>5.6041952966224713</v>
      </c>
      <c r="X445" s="197">
        <v>5618</v>
      </c>
      <c r="Y445" s="196">
        <v>23942.15</v>
      </c>
      <c r="Z445" s="196">
        <f t="shared" si="39"/>
        <v>4.2616856532573868</v>
      </c>
      <c r="AA445" s="95">
        <v>164.15</v>
      </c>
      <c r="AB445" s="193">
        <v>36541</v>
      </c>
      <c r="AC445" s="33">
        <v>0.60917096872153043</v>
      </c>
      <c r="AD445" s="197">
        <v>2966157.39</v>
      </c>
      <c r="AE445" s="197">
        <f>VLOOKUP(B445,Reference!A:B,2,0)</f>
        <v>22469</v>
      </c>
    </row>
    <row r="446" spans="1:31">
      <c r="A446" s="3">
        <v>2016</v>
      </c>
      <c r="B446" s="3" t="s">
        <v>103</v>
      </c>
      <c r="C446" s="191">
        <v>42552</v>
      </c>
      <c r="D446" s="192">
        <v>3544247</v>
      </c>
      <c r="E446" s="193">
        <v>456393.62999999995</v>
      </c>
      <c r="F446" s="227">
        <f t="shared" si="37"/>
        <v>0.12877026629351734</v>
      </c>
      <c r="G446" s="194">
        <v>38372</v>
      </c>
      <c r="H446" s="193">
        <v>15939.75</v>
      </c>
      <c r="I446" s="193">
        <f t="shared" si="38"/>
        <v>0.41540055248618785</v>
      </c>
      <c r="J446" s="229">
        <v>0</v>
      </c>
      <c r="K446" s="193">
        <v>0</v>
      </c>
      <c r="L446" s="195">
        <v>1518.15</v>
      </c>
      <c r="M446" s="193">
        <v>4470.72</v>
      </c>
      <c r="N446" s="229">
        <v>0</v>
      </c>
      <c r="O446" s="193">
        <v>0</v>
      </c>
      <c r="P446" s="199">
        <v>5</v>
      </c>
      <c r="Q446" s="196">
        <v>17.5</v>
      </c>
      <c r="R446" s="194"/>
      <c r="S446" s="193"/>
      <c r="T446" s="193"/>
      <c r="U446" s="197">
        <v>10829</v>
      </c>
      <c r="V446" s="196">
        <v>61690.030000000006</v>
      </c>
      <c r="W446" s="196">
        <f t="shared" si="36"/>
        <v>5.696743004894266</v>
      </c>
      <c r="X446" s="197">
        <v>5893.54</v>
      </c>
      <c r="Y446" s="196">
        <v>25091.91</v>
      </c>
      <c r="Z446" s="196">
        <f t="shared" si="39"/>
        <v>4.2575277337559427</v>
      </c>
      <c r="AA446" s="95">
        <v>265.28000000000003</v>
      </c>
      <c r="AB446" s="193">
        <v>25386</v>
      </c>
      <c r="AC446" s="33">
        <v>0.79022165259348598</v>
      </c>
      <c r="AD446" s="197">
        <v>2966157.39</v>
      </c>
      <c r="AE446" s="197">
        <f>VLOOKUP(B446,Reference!A:B,2,0)</f>
        <v>22166.7</v>
      </c>
    </row>
    <row r="447" spans="1:31">
      <c r="A447" s="3">
        <v>2016</v>
      </c>
      <c r="B447" s="3" t="s">
        <v>103</v>
      </c>
      <c r="C447" s="191">
        <v>42583</v>
      </c>
      <c r="D447" s="192">
        <v>3835962</v>
      </c>
      <c r="E447" s="193">
        <v>505467.5</v>
      </c>
      <c r="F447" s="227">
        <f t="shared" si="37"/>
        <v>0.13177072661303735</v>
      </c>
      <c r="G447" s="194">
        <v>25078</v>
      </c>
      <c r="H447" s="193">
        <v>12456.74</v>
      </c>
      <c r="I447" s="193">
        <f t="shared" si="38"/>
        <v>0.49671983411755322</v>
      </c>
      <c r="J447" s="229">
        <v>0</v>
      </c>
      <c r="K447" s="193">
        <v>0</v>
      </c>
      <c r="L447" s="195">
        <v>1809.8500000000001</v>
      </c>
      <c r="M447" s="193">
        <v>5075.5599999999995</v>
      </c>
      <c r="N447" s="229">
        <v>0</v>
      </c>
      <c r="O447" s="193">
        <v>0</v>
      </c>
      <c r="P447" s="199">
        <v>7</v>
      </c>
      <c r="Q447" s="196">
        <v>24.5</v>
      </c>
      <c r="R447" s="194"/>
      <c r="S447" s="193"/>
      <c r="T447" s="193"/>
      <c r="U447" s="197">
        <v>12113</v>
      </c>
      <c r="V447" s="196">
        <v>65250.92</v>
      </c>
      <c r="W447" s="196">
        <f t="shared" si="36"/>
        <v>5.3868504912077935</v>
      </c>
      <c r="X447" s="197">
        <v>6546</v>
      </c>
      <c r="Y447" s="196">
        <v>28612.87</v>
      </c>
      <c r="Z447" s="196">
        <f t="shared" si="39"/>
        <v>4.3710464405743963</v>
      </c>
      <c r="AA447" s="95">
        <v>155.31</v>
      </c>
      <c r="AB447" s="193">
        <v>46332</v>
      </c>
      <c r="AC447" s="33">
        <v>0.59004571502156977</v>
      </c>
      <c r="AD447" s="197">
        <v>2966157.39</v>
      </c>
      <c r="AE447" s="197">
        <f>VLOOKUP(B447,Reference!A:B,2,0)</f>
        <v>22166.7</v>
      </c>
    </row>
    <row r="448" spans="1:31">
      <c r="A448" s="3">
        <v>2016</v>
      </c>
      <c r="B448" s="3" t="s">
        <v>103</v>
      </c>
      <c r="C448" s="191">
        <v>42614</v>
      </c>
      <c r="D448" s="192">
        <v>3832749</v>
      </c>
      <c r="E448" s="193">
        <v>516545.61000000004</v>
      </c>
      <c r="F448" s="227">
        <f t="shared" si="37"/>
        <v>0.13477157257101888</v>
      </c>
      <c r="G448" s="194">
        <v>19185</v>
      </c>
      <c r="H448" s="193">
        <v>9700.52</v>
      </c>
      <c r="I448" s="193">
        <f t="shared" si="38"/>
        <v>0.50563044044826688</v>
      </c>
      <c r="J448" s="229">
        <v>0</v>
      </c>
      <c r="K448" s="193">
        <v>0</v>
      </c>
      <c r="L448" s="195">
        <v>1805.79</v>
      </c>
      <c r="M448" s="193">
        <v>5140.6799999999994</v>
      </c>
      <c r="N448" s="229">
        <v>0</v>
      </c>
      <c r="O448" s="193">
        <v>0</v>
      </c>
      <c r="P448" s="199">
        <v>0</v>
      </c>
      <c r="Q448" s="196">
        <v>0</v>
      </c>
      <c r="R448" s="194"/>
      <c r="S448" s="193"/>
      <c r="T448" s="193"/>
      <c r="U448" s="197">
        <v>13470</v>
      </c>
      <c r="V448" s="196">
        <v>64350.360000000008</v>
      </c>
      <c r="W448" s="196">
        <f t="shared" si="36"/>
        <v>4.7773095768374167</v>
      </c>
      <c r="X448" s="197">
        <v>7277.59</v>
      </c>
      <c r="Y448" s="196">
        <v>33021.599999999999</v>
      </c>
      <c r="Z448" s="196">
        <f t="shared" si="39"/>
        <v>4.5374361567496928</v>
      </c>
      <c r="AA448" s="95">
        <v>124.79</v>
      </c>
      <c r="AB448" s="193">
        <v>17516</v>
      </c>
      <c r="AC448" s="33">
        <v>0.59083259876592664</v>
      </c>
      <c r="AD448" s="197">
        <v>2966157.39</v>
      </c>
      <c r="AE448" s="197">
        <f>VLOOKUP(B448,Reference!A:B,2,0)</f>
        <v>22166.7</v>
      </c>
    </row>
    <row r="449" spans="1:31">
      <c r="A449" s="3">
        <v>2016</v>
      </c>
      <c r="B449" s="3" t="s">
        <v>103</v>
      </c>
      <c r="C449" s="191">
        <v>42644</v>
      </c>
      <c r="D449" s="192">
        <v>3742548</v>
      </c>
      <c r="E449" s="193">
        <v>508811.43999999994</v>
      </c>
      <c r="F449" s="227">
        <f t="shared" si="37"/>
        <v>0.13595321689928891</v>
      </c>
      <c r="G449" s="194">
        <v>23055</v>
      </c>
      <c r="H449" s="193">
        <v>11631.77</v>
      </c>
      <c r="I449" s="193">
        <f t="shared" si="38"/>
        <v>0.50452266319670358</v>
      </c>
      <c r="J449" s="229">
        <v>0</v>
      </c>
      <c r="K449" s="193">
        <v>0</v>
      </c>
      <c r="L449" s="195">
        <v>1883.1100000000001</v>
      </c>
      <c r="M449" s="193">
        <v>5455.81</v>
      </c>
      <c r="N449" s="229">
        <v>0</v>
      </c>
      <c r="O449" s="193">
        <v>0</v>
      </c>
      <c r="P449" s="199">
        <v>0</v>
      </c>
      <c r="Q449" s="196">
        <v>0</v>
      </c>
      <c r="R449" s="194"/>
      <c r="S449" s="193"/>
      <c r="T449" s="193"/>
      <c r="U449" s="197">
        <v>14503</v>
      </c>
      <c r="V449" s="196">
        <v>69382.179999999993</v>
      </c>
      <c r="W449" s="196">
        <f t="shared" si="36"/>
        <v>4.7839881403847473</v>
      </c>
      <c r="X449" s="197">
        <v>7805.53</v>
      </c>
      <c r="Y449" s="196">
        <v>35417.33</v>
      </c>
      <c r="Z449" s="196">
        <f t="shared" si="39"/>
        <v>4.5374663860109443</v>
      </c>
      <c r="AA449" s="95">
        <v>132.76999999999998</v>
      </c>
      <c r="AB449" s="193">
        <v>17026</v>
      </c>
      <c r="AC449" s="33">
        <v>0.59057015892144316</v>
      </c>
      <c r="AD449" s="197">
        <v>2966157.39</v>
      </c>
      <c r="AE449" s="197">
        <f>VLOOKUP(B449,Reference!A:B,2,0)</f>
        <v>22166.7</v>
      </c>
    </row>
    <row r="450" spans="1:31">
      <c r="A450" s="3">
        <v>2016</v>
      </c>
      <c r="B450" s="3" t="s">
        <v>103</v>
      </c>
      <c r="C450" s="191">
        <v>42675</v>
      </c>
      <c r="D450" s="192">
        <v>3656626</v>
      </c>
      <c r="E450" s="193">
        <v>453959.36</v>
      </c>
      <c r="F450" s="227">
        <f t="shared" si="37"/>
        <v>0.12414705797092729</v>
      </c>
      <c r="G450" s="194">
        <v>36384</v>
      </c>
      <c r="H450" s="193">
        <v>17544.870000000003</v>
      </c>
      <c r="I450" s="193">
        <f t="shared" si="38"/>
        <v>0.4822138852242745</v>
      </c>
      <c r="J450" s="229">
        <v>0</v>
      </c>
      <c r="K450" s="193">
        <v>0</v>
      </c>
      <c r="L450" s="195">
        <v>1660.73</v>
      </c>
      <c r="M450" s="193">
        <v>4977.28</v>
      </c>
      <c r="N450" s="229">
        <v>0</v>
      </c>
      <c r="O450" s="193">
        <v>0</v>
      </c>
      <c r="P450" s="199">
        <v>0</v>
      </c>
      <c r="Q450" s="196">
        <v>0</v>
      </c>
      <c r="R450" s="194"/>
      <c r="S450" s="193"/>
      <c r="T450" s="193"/>
      <c r="U450" s="197">
        <v>13761</v>
      </c>
      <c r="V450" s="196">
        <v>64772.800000000003</v>
      </c>
      <c r="W450" s="196">
        <f t="shared" si="36"/>
        <v>4.7069835041058061</v>
      </c>
      <c r="X450" s="197">
        <v>7403.6200000000008</v>
      </c>
      <c r="Y450" s="196">
        <v>33594.25</v>
      </c>
      <c r="Z450" s="196">
        <f t="shared" si="39"/>
        <v>4.537543796142967</v>
      </c>
      <c r="AA450" s="95">
        <v>118.18</v>
      </c>
      <c r="AB450" s="193">
        <v>11830</v>
      </c>
      <c r="AC450" s="33">
        <v>0.5245388390590624</v>
      </c>
      <c r="AD450" s="197">
        <v>2966157.39</v>
      </c>
      <c r="AE450" s="197">
        <f>VLOOKUP(B450,Reference!A:B,2,0)</f>
        <v>22166.7</v>
      </c>
    </row>
    <row r="451" spans="1:31">
      <c r="A451" s="3">
        <v>2016</v>
      </c>
      <c r="B451" s="3" t="s">
        <v>103</v>
      </c>
      <c r="C451" s="191">
        <v>42705</v>
      </c>
      <c r="D451" s="192">
        <v>3262197</v>
      </c>
      <c r="E451" s="193">
        <v>417233.24999999994</v>
      </c>
      <c r="F451" s="227">
        <f t="shared" si="37"/>
        <v>0.12789946468591565</v>
      </c>
      <c r="G451" s="194">
        <v>53196</v>
      </c>
      <c r="H451" s="193">
        <v>24531.390000000003</v>
      </c>
      <c r="I451" s="193">
        <f t="shared" si="38"/>
        <v>0.46115102639296196</v>
      </c>
      <c r="J451" s="229">
        <v>0</v>
      </c>
      <c r="K451" s="193">
        <v>0</v>
      </c>
      <c r="L451" s="195">
        <v>1653.7300000000002</v>
      </c>
      <c r="M451" s="193">
        <v>4571.6449999999995</v>
      </c>
      <c r="N451" s="229">
        <v>72.3</v>
      </c>
      <c r="O451" s="193">
        <v>157.614</v>
      </c>
      <c r="P451" s="199">
        <v>0</v>
      </c>
      <c r="Q451" s="196">
        <v>0</v>
      </c>
      <c r="R451" s="194"/>
      <c r="S451" s="193"/>
      <c r="T451" s="193"/>
      <c r="U451" s="197">
        <v>12205</v>
      </c>
      <c r="V451" s="196">
        <v>58346.95</v>
      </c>
      <c r="W451" s="196">
        <f t="shared" si="36"/>
        <v>4.7805776321179838</v>
      </c>
      <c r="X451" s="197">
        <v>6571.77</v>
      </c>
      <c r="Y451" s="196">
        <v>29821.529999999995</v>
      </c>
      <c r="Z451" s="196">
        <f t="shared" si="39"/>
        <v>4.5378231435366718</v>
      </c>
      <c r="AA451" s="95">
        <v>97</v>
      </c>
      <c r="AB451" s="193">
        <v>14251</v>
      </c>
      <c r="AC451" s="33">
        <v>0.52756311179804216</v>
      </c>
      <c r="AD451" s="197">
        <v>2966157.39</v>
      </c>
      <c r="AE451" s="197">
        <f>VLOOKUP(B451,Reference!A:B,2,0)</f>
        <v>22166.7</v>
      </c>
    </row>
    <row r="452" spans="1:31">
      <c r="A452" s="3">
        <v>2017</v>
      </c>
      <c r="B452" s="3" t="s">
        <v>103</v>
      </c>
      <c r="C452" s="191">
        <v>42736</v>
      </c>
      <c r="D452" s="192">
        <v>2789569</v>
      </c>
      <c r="E452" s="193">
        <v>358036.13999999996</v>
      </c>
      <c r="F452" s="227">
        <f t="shared" si="37"/>
        <v>0.12834819285703275</v>
      </c>
      <c r="G452" s="194">
        <v>78713</v>
      </c>
      <c r="H452" s="193">
        <v>40823.94</v>
      </c>
      <c r="I452" s="193">
        <f t="shared" si="38"/>
        <v>0.51864291794239836</v>
      </c>
      <c r="J452" s="229">
        <v>0</v>
      </c>
      <c r="K452" s="193">
        <v>0</v>
      </c>
      <c r="L452" s="195">
        <v>1320.3600000000001</v>
      </c>
      <c r="M452" s="193">
        <v>3743.98</v>
      </c>
      <c r="N452" s="229">
        <v>0</v>
      </c>
      <c r="O452" s="193">
        <v>0</v>
      </c>
      <c r="P452" s="199">
        <v>0</v>
      </c>
      <c r="Q452" s="196">
        <v>0</v>
      </c>
      <c r="R452" s="194"/>
      <c r="S452" s="193"/>
      <c r="T452" s="193"/>
      <c r="U452" s="197">
        <v>9735</v>
      </c>
      <c r="V452" s="196">
        <v>46576.5</v>
      </c>
      <c r="W452" s="196">
        <f t="shared" si="36"/>
        <v>4.7844375963020029</v>
      </c>
      <c r="X452" s="197">
        <v>5252.83</v>
      </c>
      <c r="Y452" s="196">
        <v>23835.89</v>
      </c>
      <c r="Z452" s="196">
        <f t="shared" si="39"/>
        <v>4.5377234747745501</v>
      </c>
      <c r="AA452" s="95">
        <v>111.03</v>
      </c>
      <c r="AB452" s="193">
        <v>16066</v>
      </c>
      <c r="AC452" s="33">
        <v>0.55111231198775101</v>
      </c>
      <c r="AD452" s="197">
        <v>2966157.39</v>
      </c>
      <c r="AE452" s="197">
        <f>VLOOKUP(B452,Reference!A:B,2,0)</f>
        <v>22166.7</v>
      </c>
    </row>
    <row r="453" spans="1:31">
      <c r="A453" s="3">
        <v>2017</v>
      </c>
      <c r="B453" s="3" t="s">
        <v>103</v>
      </c>
      <c r="C453" s="191">
        <v>42767</v>
      </c>
      <c r="D453" s="192">
        <v>2882196</v>
      </c>
      <c r="E453" s="193">
        <v>381756.83</v>
      </c>
      <c r="F453" s="227">
        <f t="shared" si="37"/>
        <v>0.13245345909854847</v>
      </c>
      <c r="G453" s="194">
        <v>109688</v>
      </c>
      <c r="H453" s="193">
        <v>58973.959999999992</v>
      </c>
      <c r="I453" s="193">
        <f t="shared" si="38"/>
        <v>0.53765188534753106</v>
      </c>
      <c r="J453" s="229">
        <v>0</v>
      </c>
      <c r="K453" s="193">
        <v>0</v>
      </c>
      <c r="L453" s="195">
        <v>1909.99</v>
      </c>
      <c r="M453" s="193">
        <v>5462.34</v>
      </c>
      <c r="N453" s="229">
        <v>0</v>
      </c>
      <c r="O453" s="193">
        <v>0</v>
      </c>
      <c r="P453" s="199">
        <v>0</v>
      </c>
      <c r="Q453" s="196">
        <v>0</v>
      </c>
      <c r="R453" s="194"/>
      <c r="S453" s="193"/>
      <c r="T453" s="193"/>
      <c r="U453" s="197">
        <v>3825</v>
      </c>
      <c r="V453" s="196">
        <v>20055.310000000001</v>
      </c>
      <c r="W453" s="196">
        <f t="shared" si="36"/>
        <v>5.2432183006535951</v>
      </c>
      <c r="X453" s="197">
        <v>2134.0500000000002</v>
      </c>
      <c r="Y453" s="196">
        <v>9683.18</v>
      </c>
      <c r="Z453" s="196">
        <f t="shared" si="39"/>
        <v>4.5374663199081553</v>
      </c>
      <c r="AA453" s="95">
        <v>104</v>
      </c>
      <c r="AB453" s="193">
        <v>14106</v>
      </c>
      <c r="AC453" s="33">
        <v>0.58046859996159017</v>
      </c>
      <c r="AD453" s="197">
        <v>2966157.39</v>
      </c>
      <c r="AE453" s="197">
        <f>VLOOKUP(B453,Reference!A:B,2,0)</f>
        <v>22166.7</v>
      </c>
    </row>
    <row r="454" spans="1:31">
      <c r="A454" s="3">
        <v>2017</v>
      </c>
      <c r="B454" s="3" t="s">
        <v>103</v>
      </c>
      <c r="C454" s="191">
        <v>42795</v>
      </c>
      <c r="D454" s="192">
        <v>2899559</v>
      </c>
      <c r="E454" s="193">
        <v>381062.93999999994</v>
      </c>
      <c r="F454" s="227">
        <f t="shared" si="37"/>
        <v>0.13142099884844555</v>
      </c>
      <c r="G454" s="194">
        <v>98696</v>
      </c>
      <c r="H454" s="193">
        <v>49861.579999999994</v>
      </c>
      <c r="I454" s="193">
        <f t="shared" si="38"/>
        <v>0.50520365566993586</v>
      </c>
      <c r="J454" s="229">
        <v>0</v>
      </c>
      <c r="K454" s="193">
        <v>0</v>
      </c>
      <c r="L454" s="195">
        <v>1555.69</v>
      </c>
      <c r="M454" s="193">
        <v>4716.78</v>
      </c>
      <c r="N454" s="229">
        <v>0</v>
      </c>
      <c r="O454" s="193">
        <v>0</v>
      </c>
      <c r="P454" s="199">
        <v>0</v>
      </c>
      <c r="Q454" s="196">
        <v>0</v>
      </c>
      <c r="R454" s="194"/>
      <c r="S454" s="193"/>
      <c r="T454" s="193"/>
      <c r="U454" s="197">
        <v>5154</v>
      </c>
      <c r="V454" s="196">
        <v>30511.65</v>
      </c>
      <c r="W454" s="196">
        <f t="shared" si="36"/>
        <v>5.9199941792782305</v>
      </c>
      <c r="X454" s="197">
        <v>2797.72</v>
      </c>
      <c r="Y454" s="196">
        <v>12693.760000000002</v>
      </c>
      <c r="Z454" s="196">
        <f t="shared" si="39"/>
        <v>4.5371802753670858</v>
      </c>
      <c r="AA454" s="95">
        <v>101.44</v>
      </c>
      <c r="AB454" s="193">
        <v>15306</v>
      </c>
      <c r="AC454" s="33">
        <v>0.57107649842271291</v>
      </c>
      <c r="AD454" s="197">
        <v>2966157.39</v>
      </c>
      <c r="AE454" s="197">
        <f>VLOOKUP(B454,Reference!A:B,2,0)</f>
        <v>22166.7</v>
      </c>
    </row>
    <row r="455" spans="1:31">
      <c r="A455" s="3">
        <v>2017</v>
      </c>
      <c r="B455" s="3" t="s">
        <v>103</v>
      </c>
      <c r="C455" s="191">
        <v>42826</v>
      </c>
      <c r="D455" s="192">
        <v>3274487</v>
      </c>
      <c r="E455" s="193">
        <v>431622.01</v>
      </c>
      <c r="F455" s="227">
        <f t="shared" si="37"/>
        <v>0.1318136276002928</v>
      </c>
      <c r="G455" s="194">
        <v>76100</v>
      </c>
      <c r="H455" s="193">
        <v>47374.83</v>
      </c>
      <c r="I455" s="193">
        <f t="shared" si="38"/>
        <v>0.62253390275952691</v>
      </c>
      <c r="J455" s="229">
        <v>0</v>
      </c>
      <c r="K455" s="193">
        <v>0</v>
      </c>
      <c r="L455" s="195">
        <v>1591.29</v>
      </c>
      <c r="M455" s="193">
        <v>4780.66</v>
      </c>
      <c r="N455" s="229">
        <v>0</v>
      </c>
      <c r="O455" s="193">
        <v>0</v>
      </c>
      <c r="P455" s="199">
        <v>0</v>
      </c>
      <c r="Q455" s="196">
        <v>0</v>
      </c>
      <c r="R455" s="194"/>
      <c r="S455" s="193"/>
      <c r="T455" s="193"/>
      <c r="U455" s="197">
        <v>7136</v>
      </c>
      <c r="V455" s="196">
        <v>42233.64</v>
      </c>
      <c r="W455" s="196">
        <f t="shared" ref="W455:W471" si="40">IF(U455=0,0,V455/U455)</f>
        <v>5.918391255605381</v>
      </c>
      <c r="X455" s="197">
        <v>3877.6299999999997</v>
      </c>
      <c r="Y455" s="196">
        <v>17596.57</v>
      </c>
      <c r="Z455" s="196">
        <f t="shared" si="39"/>
        <v>4.5379703581827044</v>
      </c>
      <c r="AA455" s="95">
        <v>97.410000000000011</v>
      </c>
      <c r="AB455" s="193">
        <v>15826</v>
      </c>
      <c r="AC455" s="33">
        <v>0.54542654758238363</v>
      </c>
      <c r="AD455" s="197">
        <v>2966157.39</v>
      </c>
      <c r="AE455" s="197">
        <f>VLOOKUP(B455,Reference!A:B,2,0)</f>
        <v>22166.7</v>
      </c>
    </row>
    <row r="456" spans="1:31">
      <c r="A456" s="3">
        <v>2017</v>
      </c>
      <c r="B456" s="3" t="s">
        <v>103</v>
      </c>
      <c r="C456" s="191">
        <v>42856</v>
      </c>
      <c r="D456" s="192">
        <v>3279115</v>
      </c>
      <c r="E456" s="193">
        <v>500951.48</v>
      </c>
      <c r="F456" s="227">
        <f t="shared" si="37"/>
        <v>0.15277032979935135</v>
      </c>
      <c r="G456" s="194">
        <v>66531</v>
      </c>
      <c r="H456" s="193">
        <v>31160.81</v>
      </c>
      <c r="I456" s="193">
        <f t="shared" si="38"/>
        <v>0.46836527333122907</v>
      </c>
      <c r="J456" s="229">
        <v>0</v>
      </c>
      <c r="K456" s="193">
        <v>0</v>
      </c>
      <c r="L456" s="195">
        <v>1810.67</v>
      </c>
      <c r="M456" s="193">
        <v>5385.79</v>
      </c>
      <c r="N456" s="229">
        <v>0</v>
      </c>
      <c r="O456" s="193">
        <v>0</v>
      </c>
      <c r="P456" s="199">
        <v>0</v>
      </c>
      <c r="Q456" s="196">
        <v>0</v>
      </c>
      <c r="R456" s="194"/>
      <c r="S456" s="193"/>
      <c r="T456" s="193"/>
      <c r="U456" s="197">
        <v>8429</v>
      </c>
      <c r="V456" s="196">
        <v>49927.86</v>
      </c>
      <c r="W456" s="196">
        <f t="shared" si="40"/>
        <v>5.9233432198362799</v>
      </c>
      <c r="X456" s="197">
        <v>4561</v>
      </c>
      <c r="Y456" s="196">
        <v>20693.7</v>
      </c>
      <c r="Z456" s="196">
        <f t="shared" si="39"/>
        <v>4.5370971278228458</v>
      </c>
      <c r="AA456" s="95">
        <v>140</v>
      </c>
      <c r="AB456" s="193">
        <v>43696</v>
      </c>
      <c r="AC456" s="33">
        <v>0.50003574236900417</v>
      </c>
      <c r="AD456" s="197">
        <v>2966157.39</v>
      </c>
      <c r="AE456" s="197">
        <f>VLOOKUP(B456,Reference!A:B,2,0)</f>
        <v>22166.7</v>
      </c>
    </row>
    <row r="457" spans="1:31">
      <c r="A457" s="3">
        <v>2017</v>
      </c>
      <c r="B457" s="3" t="s">
        <v>103</v>
      </c>
      <c r="C457" s="191">
        <v>42887</v>
      </c>
      <c r="D457" s="192">
        <v>3373168</v>
      </c>
      <c r="E457" s="193">
        <v>499556.37</v>
      </c>
      <c r="F457" s="227">
        <f t="shared" si="37"/>
        <v>0.14809709151752892</v>
      </c>
      <c r="G457" s="194">
        <v>49701</v>
      </c>
      <c r="H457" s="193">
        <v>30626.25</v>
      </c>
      <c r="I457" s="193">
        <f t="shared" si="38"/>
        <v>0.61620993541377433</v>
      </c>
      <c r="J457" s="229">
        <v>0</v>
      </c>
      <c r="K457" s="193">
        <v>0</v>
      </c>
      <c r="L457" s="195">
        <v>1658.8600000000001</v>
      </c>
      <c r="M457" s="193">
        <v>4951.22</v>
      </c>
      <c r="N457" s="229">
        <v>0</v>
      </c>
      <c r="O457" s="193">
        <v>0</v>
      </c>
      <c r="P457" s="199">
        <v>0</v>
      </c>
      <c r="Q457" s="196">
        <v>0</v>
      </c>
      <c r="R457" s="194"/>
      <c r="S457" s="193"/>
      <c r="T457" s="193"/>
      <c r="U457" s="197">
        <v>11653</v>
      </c>
      <c r="V457" s="196">
        <v>69240.67</v>
      </c>
      <c r="W457" s="196">
        <f t="shared" si="40"/>
        <v>5.9418750536342575</v>
      </c>
      <c r="X457" s="197">
        <v>6325</v>
      </c>
      <c r="Y457" s="196">
        <v>28701.51</v>
      </c>
      <c r="Z457" s="196">
        <f t="shared" si="39"/>
        <v>4.5377881422924897</v>
      </c>
      <c r="AA457" s="95">
        <v>126.16</v>
      </c>
      <c r="AB457" s="193">
        <v>21666</v>
      </c>
      <c r="AC457" s="33">
        <v>0.56680675600666086</v>
      </c>
      <c r="AD457" s="197">
        <v>2966157.39</v>
      </c>
      <c r="AE457" s="197">
        <f>VLOOKUP(B457,Reference!A:B,2,0)</f>
        <v>22166.7</v>
      </c>
    </row>
    <row r="458" spans="1:31">
      <c r="A458" s="3">
        <v>2017</v>
      </c>
      <c r="B458" s="3" t="s">
        <v>118</v>
      </c>
      <c r="C458" s="191">
        <v>42917</v>
      </c>
      <c r="D458" s="22">
        <v>3327004</v>
      </c>
      <c r="E458" s="183">
        <v>381025.01</v>
      </c>
      <c r="F458" s="256">
        <f t="shared" si="37"/>
        <v>0.11452496299974392</v>
      </c>
      <c r="G458" s="22">
        <v>28217</v>
      </c>
      <c r="H458" s="183">
        <v>14897.089999999998</v>
      </c>
      <c r="I458" s="193">
        <f t="shared" si="38"/>
        <v>0.52794733671191119</v>
      </c>
      <c r="J458" s="229">
        <v>0</v>
      </c>
      <c r="K458" s="193">
        <v>0</v>
      </c>
      <c r="L458" s="118">
        <v>1702.0800000000002</v>
      </c>
      <c r="M458" s="183">
        <v>4881.835</v>
      </c>
      <c r="N458" s="118">
        <v>280.10000000000002</v>
      </c>
      <c r="O458" s="183">
        <v>560.20000000000005</v>
      </c>
      <c r="P458" s="199">
        <v>0</v>
      </c>
      <c r="Q458" s="196">
        <v>0</v>
      </c>
      <c r="R458" s="3"/>
      <c r="S458" s="196"/>
      <c r="T458" s="196"/>
      <c r="U458" s="22">
        <v>8642</v>
      </c>
      <c r="V458" s="183">
        <v>51176.97</v>
      </c>
      <c r="W458" s="196">
        <f t="shared" si="40"/>
        <v>5.9218896088868318</v>
      </c>
      <c r="X458" s="22">
        <v>4689</v>
      </c>
      <c r="Y458" s="183">
        <v>21275.1</v>
      </c>
      <c r="Z458" s="196">
        <f t="shared" si="39"/>
        <v>4.5372360844529744</v>
      </c>
      <c r="AA458" s="95">
        <v>270.01</v>
      </c>
      <c r="AB458" s="193">
        <v>16800.400000000001</v>
      </c>
      <c r="AC458" s="33">
        <v>0.66641235509795937</v>
      </c>
      <c r="AD458" s="197">
        <v>2966157.39</v>
      </c>
      <c r="AE458" s="197">
        <f>VLOOKUP(B458,Reference!A:B,2,0)</f>
        <v>22745.599999999999</v>
      </c>
    </row>
    <row r="459" spans="1:31">
      <c r="A459" s="3">
        <v>2017</v>
      </c>
      <c r="B459" s="3" t="s">
        <v>118</v>
      </c>
      <c r="C459" s="191">
        <v>42948</v>
      </c>
      <c r="D459" s="22">
        <v>3625614</v>
      </c>
      <c r="E459" s="183">
        <v>520483.68000000011</v>
      </c>
      <c r="F459" s="227">
        <f t="shared" si="37"/>
        <v>0.14355738917601271</v>
      </c>
      <c r="G459" s="22">
        <v>15470</v>
      </c>
      <c r="H459" s="183">
        <v>8392.6200000000008</v>
      </c>
      <c r="I459" s="193">
        <f t="shared" si="38"/>
        <v>0.54250937297996127</v>
      </c>
      <c r="J459" s="229">
        <v>0</v>
      </c>
      <c r="K459" s="193">
        <v>0</v>
      </c>
      <c r="L459" s="118">
        <v>1810.2700000000002</v>
      </c>
      <c r="M459" s="183">
        <v>5488.4000000000005</v>
      </c>
      <c r="N459" s="118">
        <v>247.3</v>
      </c>
      <c r="O459" s="183">
        <v>529.22200000000009</v>
      </c>
      <c r="P459" s="199">
        <v>0</v>
      </c>
      <c r="Q459" s="196">
        <v>0</v>
      </c>
      <c r="R459" s="3"/>
      <c r="S459" s="196"/>
      <c r="T459" s="196"/>
      <c r="U459" s="22">
        <v>9754</v>
      </c>
      <c r="V459" s="183">
        <v>57032.7</v>
      </c>
      <c r="W459" s="196">
        <f t="shared" si="40"/>
        <v>5.8471088784088572</v>
      </c>
      <c r="X459" s="22">
        <v>5288</v>
      </c>
      <c r="Y459" s="183">
        <v>24524.880000000001</v>
      </c>
      <c r="Z459" s="196">
        <f t="shared" si="39"/>
        <v>4.6378366111951594</v>
      </c>
      <c r="AA459" s="95">
        <v>283.58</v>
      </c>
      <c r="AB459" s="193">
        <v>30365.57</v>
      </c>
      <c r="AC459" s="33">
        <v>0.64045066647859505</v>
      </c>
      <c r="AD459" s="197">
        <v>2966157.39</v>
      </c>
      <c r="AE459" s="197">
        <f>VLOOKUP(B459,Reference!A:B,2,0)</f>
        <v>22745.599999999999</v>
      </c>
    </row>
    <row r="460" spans="1:31">
      <c r="A460" s="3">
        <v>2017</v>
      </c>
      <c r="B460" s="3" t="s">
        <v>118</v>
      </c>
      <c r="C460" s="191">
        <v>42979</v>
      </c>
      <c r="D460" s="22">
        <v>3780169</v>
      </c>
      <c r="E460" s="183">
        <v>547810.04999999993</v>
      </c>
      <c r="F460" s="227">
        <f t="shared" si="37"/>
        <v>0.14491681456569797</v>
      </c>
      <c r="G460" s="22">
        <v>14059</v>
      </c>
      <c r="H460" s="183">
        <v>7655.22</v>
      </c>
      <c r="I460" s="193">
        <f t="shared" si="38"/>
        <v>0.54450672167294978</v>
      </c>
      <c r="J460" s="229">
        <v>0</v>
      </c>
      <c r="K460" s="193">
        <v>0</v>
      </c>
      <c r="L460" s="118">
        <v>2365.7399999999998</v>
      </c>
      <c r="M460" s="183">
        <v>7368.1050000000005</v>
      </c>
      <c r="N460" s="118">
        <v>145.5</v>
      </c>
      <c r="O460" s="183">
        <v>311.37</v>
      </c>
      <c r="P460" s="199">
        <v>0</v>
      </c>
      <c r="Q460" s="196">
        <v>0</v>
      </c>
      <c r="R460" s="3"/>
      <c r="S460" s="196"/>
      <c r="T460" s="196"/>
      <c r="U460" s="22">
        <v>10460</v>
      </c>
      <c r="V460" s="183">
        <v>59699.920000000006</v>
      </c>
      <c r="W460" s="196">
        <f t="shared" si="40"/>
        <v>5.7074493307839393</v>
      </c>
      <c r="X460" s="22">
        <v>5661.33</v>
      </c>
      <c r="Y460" s="183">
        <v>27330.65</v>
      </c>
      <c r="Z460" s="196">
        <f t="shared" si="39"/>
        <v>4.8276023478581891</v>
      </c>
      <c r="AA460" s="95">
        <v>238.26999999999998</v>
      </c>
      <c r="AB460" s="193">
        <v>28508.639999999999</v>
      </c>
      <c r="AC460" s="33">
        <v>0.6073068367818022</v>
      </c>
      <c r="AD460" s="197">
        <v>2966157.39</v>
      </c>
      <c r="AE460" s="197">
        <f>VLOOKUP(B460,Reference!A:B,2,0)</f>
        <v>22745.599999999999</v>
      </c>
    </row>
    <row r="461" spans="1:31">
      <c r="A461" s="3">
        <v>2017</v>
      </c>
      <c r="B461" s="3" t="s">
        <v>118</v>
      </c>
      <c r="C461" s="191">
        <v>43009</v>
      </c>
      <c r="D461" s="22">
        <v>3622482</v>
      </c>
      <c r="E461" s="183">
        <v>526312.06999999995</v>
      </c>
      <c r="F461" s="227">
        <f t="shared" si="37"/>
        <v>0.14529045831007578</v>
      </c>
      <c r="G461" s="22">
        <v>17714</v>
      </c>
      <c r="H461" s="183">
        <v>9560.33</v>
      </c>
      <c r="I461" s="193">
        <f t="shared" si="38"/>
        <v>0.53970475330247258</v>
      </c>
      <c r="J461" s="229">
        <v>0</v>
      </c>
      <c r="K461" s="193">
        <v>0</v>
      </c>
      <c r="L461" s="200">
        <v>2298.9100000000003</v>
      </c>
      <c r="M461" s="183">
        <v>7195.01</v>
      </c>
      <c r="N461" s="118">
        <v>164.9</v>
      </c>
      <c r="O461" s="183">
        <v>412.25</v>
      </c>
      <c r="P461" s="199">
        <v>0</v>
      </c>
      <c r="Q461" s="196">
        <v>0</v>
      </c>
      <c r="R461" s="3"/>
      <c r="S461" s="196"/>
      <c r="T461" s="196"/>
      <c r="U461" s="22">
        <v>11907</v>
      </c>
      <c r="V461" s="183">
        <v>67895.53</v>
      </c>
      <c r="W461" s="196">
        <f t="shared" si="40"/>
        <v>5.7021525153271186</v>
      </c>
      <c r="X461" s="22">
        <v>6421.49</v>
      </c>
      <c r="Y461" s="183">
        <v>30998.679999999997</v>
      </c>
      <c r="Z461" s="196">
        <f t="shared" si="39"/>
        <v>4.8273344659884225</v>
      </c>
      <c r="AA461" s="95">
        <v>259.92</v>
      </c>
      <c r="AB461" s="193">
        <v>67446.38</v>
      </c>
      <c r="AC461" s="33">
        <v>0.6597029855340103</v>
      </c>
      <c r="AD461" s="197">
        <v>2966157.39</v>
      </c>
      <c r="AE461" s="197">
        <f>VLOOKUP(B461,Reference!A:B,2,0)</f>
        <v>22745.599999999999</v>
      </c>
    </row>
    <row r="462" spans="1:31">
      <c r="A462" s="3">
        <v>2017</v>
      </c>
      <c r="B462" s="3" t="s">
        <v>118</v>
      </c>
      <c r="C462" s="191">
        <v>43040</v>
      </c>
      <c r="D462" s="22">
        <v>3641765</v>
      </c>
      <c r="E462" s="183">
        <v>490894.6</v>
      </c>
      <c r="F462" s="227">
        <f t="shared" si="37"/>
        <v>0.1347957926994191</v>
      </c>
      <c r="G462" s="22">
        <v>26408</v>
      </c>
      <c r="H462" s="183">
        <v>13016.61</v>
      </c>
      <c r="I462" s="193">
        <f t="shared" si="38"/>
        <v>0.49290404422902151</v>
      </c>
      <c r="J462" s="229">
        <v>0</v>
      </c>
      <c r="K462" s="193">
        <v>0</v>
      </c>
      <c r="L462" s="200">
        <v>1943.7</v>
      </c>
      <c r="M462" s="183">
        <v>6277.4830000000002</v>
      </c>
      <c r="N462" s="118">
        <v>33.200000000000003</v>
      </c>
      <c r="O462" s="183">
        <v>90.47</v>
      </c>
      <c r="P462" s="199">
        <v>0</v>
      </c>
      <c r="Q462" s="196">
        <v>0</v>
      </c>
      <c r="R462" s="3"/>
      <c r="S462" s="196"/>
      <c r="T462" s="196"/>
      <c r="U462" s="22">
        <v>12831</v>
      </c>
      <c r="V462" s="183">
        <v>73180.240000000005</v>
      </c>
      <c r="W462" s="196">
        <f t="shared" si="40"/>
        <v>5.7033933442444082</v>
      </c>
      <c r="X462" s="22">
        <v>6914</v>
      </c>
      <c r="Y462" s="183">
        <v>33370.99</v>
      </c>
      <c r="Z462" s="196">
        <f t="shared" si="39"/>
        <v>4.8265822967891232</v>
      </c>
      <c r="AA462" s="95">
        <v>243.87</v>
      </c>
      <c r="AB462" s="193">
        <v>22985.25</v>
      </c>
      <c r="AC462" s="33">
        <v>0.63972608356911465</v>
      </c>
      <c r="AD462" s="197">
        <v>2966157.39</v>
      </c>
      <c r="AE462" s="197">
        <f>VLOOKUP(B462,Reference!A:B,2,0)</f>
        <v>22745.599999999999</v>
      </c>
    </row>
    <row r="463" spans="1:31">
      <c r="A463" s="3">
        <v>2017</v>
      </c>
      <c r="B463" s="3" t="s">
        <v>118</v>
      </c>
      <c r="C463" s="191">
        <v>43070</v>
      </c>
      <c r="D463" s="22">
        <v>3150298</v>
      </c>
      <c r="E463" s="183">
        <v>430575.12000000005</v>
      </c>
      <c r="F463" s="227">
        <f t="shared" si="37"/>
        <v>0.1366775841523564</v>
      </c>
      <c r="G463" s="22">
        <v>55047</v>
      </c>
      <c r="H463" s="183">
        <v>27441.5</v>
      </c>
      <c r="I463" s="193">
        <f t="shared" si="38"/>
        <v>0.498510363870874</v>
      </c>
      <c r="J463" s="229">
        <v>0</v>
      </c>
      <c r="K463" s="193">
        <v>0</v>
      </c>
      <c r="L463" s="118">
        <v>1908.8</v>
      </c>
      <c r="M463" s="183">
        <v>6228.4350000000004</v>
      </c>
      <c r="N463" s="118">
        <v>123.6</v>
      </c>
      <c r="O463" s="183">
        <v>414.06</v>
      </c>
      <c r="P463" s="199">
        <v>0</v>
      </c>
      <c r="Q463" s="196">
        <v>0</v>
      </c>
      <c r="R463" s="3"/>
      <c r="S463" s="196"/>
      <c r="T463" s="196"/>
      <c r="U463" s="22">
        <v>10511</v>
      </c>
      <c r="V463" s="183">
        <v>59971.35</v>
      </c>
      <c r="W463" s="196">
        <f t="shared" si="40"/>
        <v>5.7055798687089716</v>
      </c>
      <c r="X463" s="22">
        <v>5667.38</v>
      </c>
      <c r="Y463" s="183">
        <v>27352.14</v>
      </c>
      <c r="Z463" s="196">
        <f t="shared" si="39"/>
        <v>4.8262406967593492</v>
      </c>
      <c r="AA463" s="95">
        <v>218.22</v>
      </c>
      <c r="AB463" s="193">
        <v>29093.08</v>
      </c>
      <c r="AC463" s="33">
        <v>0.62766932453487301</v>
      </c>
      <c r="AD463" s="197">
        <v>2966157.39</v>
      </c>
      <c r="AE463" s="197">
        <f>VLOOKUP(B463,Reference!A:B,2,0)</f>
        <v>22745.599999999999</v>
      </c>
    </row>
    <row r="464" spans="1:31">
      <c r="A464" s="3">
        <v>2018</v>
      </c>
      <c r="B464" s="3" t="s">
        <v>118</v>
      </c>
      <c r="C464" s="191">
        <v>43101</v>
      </c>
      <c r="D464" s="22">
        <v>2802018</v>
      </c>
      <c r="E464" s="183">
        <v>391205.81000000006</v>
      </c>
      <c r="F464" s="227">
        <f t="shared" si="37"/>
        <v>0.13961573765764534</v>
      </c>
      <c r="G464" s="22">
        <v>59153</v>
      </c>
      <c r="H464" s="183">
        <v>36479.379999999997</v>
      </c>
      <c r="I464" s="193">
        <f t="shared" si="38"/>
        <v>0.61669534934830017</v>
      </c>
      <c r="J464" s="229">
        <v>0</v>
      </c>
      <c r="K464" s="193">
        <v>0</v>
      </c>
      <c r="L464" s="118">
        <v>1577.57</v>
      </c>
      <c r="M464" s="183">
        <v>5078.0139999999992</v>
      </c>
      <c r="N464" s="118">
        <v>251.9</v>
      </c>
      <c r="O464" s="183">
        <v>851.42200000000003</v>
      </c>
      <c r="P464" s="199">
        <v>0</v>
      </c>
      <c r="Q464" s="196">
        <v>0</v>
      </c>
      <c r="R464" s="3"/>
      <c r="S464" s="196"/>
      <c r="T464" s="196"/>
      <c r="U464" s="22">
        <v>9551</v>
      </c>
      <c r="V464" s="183">
        <v>54164.219999999994</v>
      </c>
      <c r="W464" s="196">
        <f t="shared" si="40"/>
        <v>5.6710522458381316</v>
      </c>
      <c r="X464" s="22">
        <v>5164.53</v>
      </c>
      <c r="Y464" s="183">
        <v>24926.809999999998</v>
      </c>
      <c r="Z464" s="196">
        <f t="shared" si="39"/>
        <v>4.8265398787498572</v>
      </c>
      <c r="AA464" s="95">
        <v>208.87999999999997</v>
      </c>
      <c r="AB464" s="193">
        <v>8010.5</v>
      </c>
      <c r="AC464" s="33">
        <v>0.61959019532746096</v>
      </c>
      <c r="AD464" s="197">
        <v>2966157.39</v>
      </c>
      <c r="AE464" s="197">
        <f>VLOOKUP(B464,Reference!A:B,2,0)</f>
        <v>22745.599999999999</v>
      </c>
    </row>
    <row r="465" spans="1:31">
      <c r="A465" s="3">
        <v>2018</v>
      </c>
      <c r="B465" s="3" t="s">
        <v>118</v>
      </c>
      <c r="C465" s="191">
        <v>43132</v>
      </c>
      <c r="D465" s="22">
        <v>2951128</v>
      </c>
      <c r="E465" s="183">
        <v>418694.13999999996</v>
      </c>
      <c r="F465" s="227">
        <f t="shared" si="37"/>
        <v>0.14187596742669242</v>
      </c>
      <c r="G465" s="22">
        <v>67923</v>
      </c>
      <c r="H465" s="183">
        <v>34515.71</v>
      </c>
      <c r="I465" s="193">
        <f t="shared" si="38"/>
        <v>0.50815938636397096</v>
      </c>
      <c r="J465" s="229">
        <v>0</v>
      </c>
      <c r="K465" s="193">
        <v>0</v>
      </c>
      <c r="L465" s="118">
        <v>2441.98</v>
      </c>
      <c r="M465" s="183">
        <v>8394.8919999999998</v>
      </c>
      <c r="N465" s="118">
        <v>133.30000000000001</v>
      </c>
      <c r="O465" s="183">
        <v>378.572</v>
      </c>
      <c r="P465" s="199">
        <v>0</v>
      </c>
      <c r="Q465" s="196">
        <v>0</v>
      </c>
      <c r="R465" s="3"/>
      <c r="S465" s="196"/>
      <c r="T465" s="196"/>
      <c r="U465" s="22">
        <v>4765</v>
      </c>
      <c r="V465" s="183">
        <v>26877.03</v>
      </c>
      <c r="W465" s="196">
        <f t="shared" si="40"/>
        <v>5.6405099685204618</v>
      </c>
      <c r="X465" s="22">
        <v>2600</v>
      </c>
      <c r="Y465" s="183">
        <v>12553.440000000002</v>
      </c>
      <c r="Z465" s="196">
        <f t="shared" si="39"/>
        <v>4.8282461538461545</v>
      </c>
      <c r="AA465" s="95">
        <v>193.74999999999997</v>
      </c>
      <c r="AB465" s="193">
        <v>26003.78</v>
      </c>
      <c r="AC465" s="33">
        <v>0.60805161290322596</v>
      </c>
      <c r="AD465" s="197">
        <v>2966157.39</v>
      </c>
      <c r="AE465" s="197">
        <f>VLOOKUP(B465,Reference!A:B,2,0)</f>
        <v>22745.599999999999</v>
      </c>
    </row>
    <row r="466" spans="1:31">
      <c r="A466" s="3">
        <v>2018</v>
      </c>
      <c r="B466" s="3" t="s">
        <v>118</v>
      </c>
      <c r="C466" s="191">
        <v>43160</v>
      </c>
      <c r="D466" s="22">
        <v>2860387</v>
      </c>
      <c r="E466" s="183">
        <v>404919.51</v>
      </c>
      <c r="F466" s="227">
        <f t="shared" si="37"/>
        <v>0.14156109295700198</v>
      </c>
      <c r="G466" s="22">
        <v>77212</v>
      </c>
      <c r="H466" s="183">
        <v>38009.230000000003</v>
      </c>
      <c r="I466" s="193">
        <f t="shared" si="38"/>
        <v>0.49227102004869716</v>
      </c>
      <c r="J466" s="229">
        <v>0</v>
      </c>
      <c r="K466" s="193">
        <v>0</v>
      </c>
      <c r="L466" s="118">
        <v>2236.63</v>
      </c>
      <c r="M466" s="183">
        <v>7678.2740000000003</v>
      </c>
      <c r="N466" s="118">
        <v>135.4</v>
      </c>
      <c r="O466" s="183">
        <v>384.536</v>
      </c>
      <c r="P466" s="199">
        <v>0</v>
      </c>
      <c r="Q466" s="196">
        <v>0</v>
      </c>
      <c r="R466" s="3"/>
      <c r="S466" s="196"/>
      <c r="T466" s="196"/>
      <c r="U466" s="22">
        <v>7159</v>
      </c>
      <c r="V466" s="183">
        <v>39317.99</v>
      </c>
      <c r="W466" s="196">
        <f t="shared" si="40"/>
        <v>5.4921064394468502</v>
      </c>
      <c r="X466" s="22">
        <v>3879</v>
      </c>
      <c r="Y466" s="183">
        <v>18731.84</v>
      </c>
      <c r="Z466" s="196">
        <f t="shared" si="39"/>
        <v>4.8290384119618457</v>
      </c>
      <c r="AA466" s="95">
        <v>229.52999999999997</v>
      </c>
      <c r="AB466" s="193">
        <v>8010.5</v>
      </c>
      <c r="AC466" s="33">
        <v>0.58502156580839115</v>
      </c>
      <c r="AD466" s="197">
        <v>2966157.39</v>
      </c>
      <c r="AE466" s="197">
        <f>VLOOKUP(B466,Reference!A:B,2,0)</f>
        <v>22745.599999999999</v>
      </c>
    </row>
    <row r="467" spans="1:31">
      <c r="A467" s="3">
        <v>2018</v>
      </c>
      <c r="B467" s="3" t="s">
        <v>118</v>
      </c>
      <c r="C467" s="191">
        <v>43191</v>
      </c>
      <c r="D467" s="22">
        <v>3012811</v>
      </c>
      <c r="E467" s="183">
        <v>423882.61000000004</v>
      </c>
      <c r="F467" s="227">
        <f t="shared" si="37"/>
        <v>0.14069339563616837</v>
      </c>
      <c r="G467" s="22">
        <v>80393</v>
      </c>
      <c r="H467" s="183">
        <v>35930.04</v>
      </c>
      <c r="I467" s="193">
        <f t="shared" si="38"/>
        <v>0.44692995658826018</v>
      </c>
      <c r="J467" s="229">
        <v>0</v>
      </c>
      <c r="K467" s="193">
        <v>0</v>
      </c>
      <c r="L467" s="118">
        <v>2383.48</v>
      </c>
      <c r="M467" s="183">
        <v>8620.39</v>
      </c>
      <c r="N467" s="118">
        <v>191</v>
      </c>
      <c r="O467" s="183">
        <v>613.11</v>
      </c>
      <c r="P467" s="199">
        <v>0</v>
      </c>
      <c r="Q467" s="196">
        <v>0</v>
      </c>
      <c r="R467" s="3"/>
      <c r="S467" s="196"/>
      <c r="T467" s="196"/>
      <c r="U467" s="22">
        <v>7477</v>
      </c>
      <c r="V467" s="183">
        <v>41068.099999999991</v>
      </c>
      <c r="W467" s="196">
        <f t="shared" si="40"/>
        <v>5.4925906112077021</v>
      </c>
      <c r="X467" s="22">
        <v>4055.75</v>
      </c>
      <c r="Y467" s="183">
        <v>19577.309999999998</v>
      </c>
      <c r="Z467" s="196">
        <f t="shared" si="39"/>
        <v>4.8270504838809094</v>
      </c>
      <c r="AA467" s="95">
        <v>231.26</v>
      </c>
      <c r="AB467" s="193">
        <v>32773.11</v>
      </c>
      <c r="AC467" s="33">
        <v>0.5876502637723775</v>
      </c>
      <c r="AD467" s="197">
        <v>2966157.39</v>
      </c>
      <c r="AE467" s="197">
        <f>VLOOKUP(B467,Reference!A:B,2,0)</f>
        <v>22745.599999999999</v>
      </c>
    </row>
    <row r="468" spans="1:31">
      <c r="A468" s="3">
        <v>2018</v>
      </c>
      <c r="B468" s="3" t="s">
        <v>118</v>
      </c>
      <c r="C468" s="191">
        <v>43221</v>
      </c>
      <c r="D468" s="22">
        <v>3076307</v>
      </c>
      <c r="E468" s="183">
        <v>431429.43000000005</v>
      </c>
      <c r="F468" s="227">
        <f t="shared" si="37"/>
        <v>0.14024264483356183</v>
      </c>
      <c r="G468" s="22">
        <v>62439</v>
      </c>
      <c r="H468" s="183">
        <v>26138.720000000001</v>
      </c>
      <c r="I468" s="193">
        <f t="shared" si="38"/>
        <v>0.41862810102660197</v>
      </c>
      <c r="J468" s="229">
        <v>0</v>
      </c>
      <c r="K468" s="193">
        <v>0</v>
      </c>
      <c r="L468" s="118">
        <v>2363.8200000000002</v>
      </c>
      <c r="M468" s="183">
        <v>8839.8979999999992</v>
      </c>
      <c r="N468" s="118">
        <v>308.2</v>
      </c>
      <c r="O468" s="183">
        <v>875.2879999999999</v>
      </c>
      <c r="P468" s="199">
        <v>0</v>
      </c>
      <c r="Q468" s="196">
        <v>0</v>
      </c>
      <c r="R468" s="3"/>
      <c r="S468" s="196"/>
      <c r="T468" s="196"/>
      <c r="U468" s="22">
        <v>8053</v>
      </c>
      <c r="V468" s="183">
        <v>44219.66</v>
      </c>
      <c r="W468" s="196">
        <f t="shared" si="40"/>
        <v>5.4910791009561661</v>
      </c>
      <c r="X468" s="22">
        <v>4355</v>
      </c>
      <c r="Y468" s="183">
        <v>21019.759999999998</v>
      </c>
      <c r="Z468" s="196">
        <f t="shared" si="39"/>
        <v>4.826580941446613</v>
      </c>
      <c r="AA468" s="95">
        <f>240+33.02</f>
        <v>273.02</v>
      </c>
      <c r="AB468" s="193">
        <v>15005.52</v>
      </c>
      <c r="AC468" s="33">
        <v>0.58673357263204162</v>
      </c>
      <c r="AD468" s="197">
        <v>2966157.39</v>
      </c>
      <c r="AE468" s="197">
        <f>VLOOKUP(B468,Reference!A:B,2,0)</f>
        <v>22745.599999999999</v>
      </c>
    </row>
    <row r="469" spans="1:31">
      <c r="A469" s="3">
        <v>2018</v>
      </c>
      <c r="B469" s="3" t="s">
        <v>118</v>
      </c>
      <c r="C469" s="191">
        <v>43252</v>
      </c>
      <c r="D469" s="22">
        <v>3050088</v>
      </c>
      <c r="E469" s="183">
        <v>434743.18</v>
      </c>
      <c r="F469" s="227">
        <f t="shared" si="37"/>
        <v>0.14253463506626693</v>
      </c>
      <c r="G469" s="22">
        <v>53151</v>
      </c>
      <c r="H469" s="183">
        <v>22794.71</v>
      </c>
      <c r="I469" s="193">
        <f t="shared" si="38"/>
        <v>0.42886700156158869</v>
      </c>
      <c r="J469" s="229">
        <v>0</v>
      </c>
      <c r="K469" s="193">
        <v>0</v>
      </c>
      <c r="L469" s="118">
        <v>1921.93</v>
      </c>
      <c r="M469" s="183">
        <v>7230.1800000000012</v>
      </c>
      <c r="N469" s="118">
        <v>74.3</v>
      </c>
      <c r="O469" s="183">
        <v>211.01199999999997</v>
      </c>
      <c r="P469" s="199">
        <v>0</v>
      </c>
      <c r="Q469" s="196">
        <v>0</v>
      </c>
      <c r="R469" s="3"/>
      <c r="S469" s="196"/>
      <c r="T469" s="196"/>
      <c r="U469" s="22">
        <v>13375</v>
      </c>
      <c r="V469" s="183">
        <v>73383.56</v>
      </c>
      <c r="W469" s="183">
        <f t="shared" si="40"/>
        <v>5.4866213084112152</v>
      </c>
      <c r="X469" s="22">
        <v>7188.6</v>
      </c>
      <c r="Y469" s="183">
        <v>34703.370000000003</v>
      </c>
      <c r="Z469" s="196">
        <f t="shared" si="39"/>
        <v>4.8275561305400219</v>
      </c>
      <c r="AA469" s="95">
        <v>238.86</v>
      </c>
      <c r="AB469" s="193">
        <v>12165.82</v>
      </c>
      <c r="AC469" s="33">
        <v>0.61232521142091578</v>
      </c>
      <c r="AD469" s="197">
        <v>2966157.39</v>
      </c>
      <c r="AE469" s="197">
        <f>VLOOKUP(B469,Reference!A:B,2,0)</f>
        <v>22745.599999999999</v>
      </c>
    </row>
    <row r="470" spans="1:31">
      <c r="A470" s="3">
        <v>2018</v>
      </c>
      <c r="B470" s="3" t="s">
        <v>461</v>
      </c>
      <c r="C470" s="191">
        <v>43282</v>
      </c>
      <c r="D470" s="3"/>
      <c r="E470" s="196"/>
      <c r="F470" s="227">
        <f t="shared" si="37"/>
        <v>0</v>
      </c>
      <c r="G470" s="255"/>
      <c r="H470" s="196"/>
      <c r="I470" s="193">
        <f t="shared" si="38"/>
        <v>0</v>
      </c>
      <c r="J470" s="118"/>
      <c r="K470" s="196"/>
      <c r="L470" s="95"/>
      <c r="M470" s="196"/>
      <c r="N470" s="118"/>
      <c r="O470" s="196"/>
      <c r="P470" s="3"/>
      <c r="Q470" s="196"/>
      <c r="R470" s="3"/>
      <c r="S470" s="196"/>
      <c r="T470" s="196"/>
      <c r="U470" s="197"/>
      <c r="V470" s="196"/>
      <c r="W470" s="196">
        <f t="shared" si="40"/>
        <v>0</v>
      </c>
      <c r="X470" s="197"/>
      <c r="Y470" s="196"/>
      <c r="Z470" s="196" t="e">
        <f>Y470/X470</f>
        <v>#DIV/0!</v>
      </c>
      <c r="AA470" s="95">
        <v>278.17</v>
      </c>
      <c r="AB470" s="193"/>
      <c r="AC470" s="33">
        <v>0.63090915627134481</v>
      </c>
      <c r="AD470" s="197"/>
      <c r="AE470" s="236"/>
    </row>
    <row r="471" spans="1:31">
      <c r="A471" s="3">
        <v>2018</v>
      </c>
      <c r="B471" s="3" t="s">
        <v>461</v>
      </c>
      <c r="C471" s="191">
        <v>43313</v>
      </c>
      <c r="D471" s="3"/>
      <c r="E471" s="196"/>
      <c r="F471" s="227">
        <f t="shared" si="37"/>
        <v>0</v>
      </c>
      <c r="G471" s="197"/>
      <c r="H471" s="196"/>
      <c r="I471" s="193">
        <f t="shared" si="38"/>
        <v>0</v>
      </c>
      <c r="J471" s="118"/>
      <c r="K471" s="196"/>
      <c r="L471" s="95"/>
      <c r="M471" s="196"/>
      <c r="N471" s="118"/>
      <c r="O471" s="196"/>
      <c r="P471" s="3"/>
      <c r="Q471" s="196"/>
      <c r="R471" s="3"/>
      <c r="S471" s="196"/>
      <c r="T471" s="196"/>
      <c r="U471" s="197"/>
      <c r="V471" s="196"/>
      <c r="W471" s="196">
        <f t="shared" si="40"/>
        <v>0</v>
      </c>
      <c r="X471" s="197"/>
      <c r="Y471" s="196"/>
      <c r="Z471" s="196" t="e">
        <f t="shared" si="39"/>
        <v>#DIV/0!</v>
      </c>
      <c r="AA471" s="95">
        <v>329.76</v>
      </c>
      <c r="AB471" s="196"/>
      <c r="AC471" s="33">
        <v>0.63003396409509937</v>
      </c>
      <c r="AD471" s="197"/>
      <c r="AE471" s="236"/>
    </row>
    <row r="473" spans="1:31">
      <c r="U473" s="231"/>
    </row>
    <row r="474" spans="1:31">
      <c r="D474" s="96"/>
    </row>
    <row r="475" spans="1:31">
      <c r="U475" s="201"/>
    </row>
    <row r="476" spans="1:31">
      <c r="U476" s="201"/>
    </row>
    <row r="477" spans="1:31">
      <c r="V477" s="202"/>
      <c r="W477" s="202"/>
    </row>
  </sheetData>
  <pageMargins left="0.7" right="0.7" top="0.75" bottom="0.75" header="0.3" footer="0.3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6"/>
  <sheetViews>
    <sheetView zoomScale="145" zoomScaleNormal="145" workbookViewId="0">
      <selection activeCell="M43" sqref="M43"/>
    </sheetView>
  </sheetViews>
  <sheetFormatPr defaultRowHeight="15"/>
  <cols>
    <col min="1" max="1" width="9.140625" style="290"/>
    <col min="2" max="2" width="3.28515625" style="297" bestFit="1" customWidth="1"/>
    <col min="3" max="3" width="52.85546875" style="290" bestFit="1" customWidth="1"/>
    <col min="4" max="4" width="34.5703125" style="290" bestFit="1" customWidth="1"/>
    <col min="5" max="5" width="4" style="290" bestFit="1" customWidth="1"/>
    <col min="6" max="6" width="3.7109375" style="290" bestFit="1" customWidth="1"/>
    <col min="7" max="8" width="4.140625" style="290" bestFit="1" customWidth="1"/>
    <col min="9" max="9" width="9.140625" style="290"/>
    <col min="10" max="10" width="28.7109375" style="290" customWidth="1"/>
    <col min="11" max="11" width="9.140625" style="290"/>
    <col min="12" max="12" width="3.28515625" style="290" bestFit="1" customWidth="1"/>
    <col min="13" max="13" width="60.7109375" style="290" bestFit="1" customWidth="1"/>
    <col min="14" max="14" width="34.85546875" style="290" bestFit="1" customWidth="1"/>
    <col min="15" max="15" width="8.5703125" style="290" bestFit="1" customWidth="1"/>
    <col min="16" max="16384" width="9.140625" style="290"/>
  </cols>
  <sheetData>
    <row r="2" spans="2:8">
      <c r="B2" s="288" t="s">
        <v>314</v>
      </c>
      <c r="C2" s="289" t="s">
        <v>315</v>
      </c>
      <c r="D2" s="288" t="s">
        <v>316</v>
      </c>
      <c r="E2" s="289" t="s">
        <v>317</v>
      </c>
      <c r="F2" s="289" t="s">
        <v>318</v>
      </c>
      <c r="G2" s="289" t="s">
        <v>319</v>
      </c>
      <c r="H2" s="289" t="s">
        <v>320</v>
      </c>
    </row>
    <row r="3" spans="2:8">
      <c r="B3" s="291">
        <v>1</v>
      </c>
      <c r="C3" s="292" t="s">
        <v>321</v>
      </c>
      <c r="D3" s="293" t="s">
        <v>322</v>
      </c>
      <c r="E3" s="294"/>
      <c r="F3" s="294"/>
      <c r="G3" s="294"/>
      <c r="H3" s="294"/>
    </row>
    <row r="4" spans="2:8">
      <c r="B4" s="291">
        <v>2</v>
      </c>
      <c r="C4" s="292" t="s">
        <v>323</v>
      </c>
      <c r="D4" s="293" t="s">
        <v>322</v>
      </c>
      <c r="E4" s="294"/>
      <c r="F4" s="294"/>
      <c r="G4" s="294"/>
      <c r="H4" s="294"/>
    </row>
    <row r="5" spans="2:8">
      <c r="B5" s="291">
        <v>3</v>
      </c>
      <c r="C5" s="292" t="s">
        <v>324</v>
      </c>
      <c r="D5" s="293" t="s">
        <v>325</v>
      </c>
      <c r="E5" s="294"/>
      <c r="F5" s="294"/>
      <c r="G5" s="294"/>
      <c r="H5" s="294"/>
    </row>
    <row r="6" spans="2:8">
      <c r="B6" s="291">
        <v>4</v>
      </c>
      <c r="C6" s="292" t="s">
        <v>326</v>
      </c>
      <c r="D6" s="293" t="s">
        <v>325</v>
      </c>
      <c r="E6" s="294"/>
      <c r="F6" s="294"/>
      <c r="G6" s="294"/>
      <c r="H6" s="294"/>
    </row>
    <row r="7" spans="2:8">
      <c r="B7" s="291">
        <v>5</v>
      </c>
      <c r="C7" s="292" t="s">
        <v>327</v>
      </c>
      <c r="D7" s="293" t="s">
        <v>325</v>
      </c>
      <c r="E7" s="294"/>
      <c r="F7" s="294"/>
      <c r="G7" s="294"/>
      <c r="H7" s="294"/>
    </row>
    <row r="8" spans="2:8">
      <c r="B8" s="291">
        <v>6</v>
      </c>
      <c r="C8" s="292" t="s">
        <v>328</v>
      </c>
      <c r="D8" s="293" t="s">
        <v>329</v>
      </c>
      <c r="E8" s="294"/>
      <c r="F8" s="294"/>
      <c r="G8" s="294"/>
      <c r="H8" s="294"/>
    </row>
    <row r="9" spans="2:8">
      <c r="B9" s="291">
        <v>7</v>
      </c>
      <c r="C9" s="292" t="s">
        <v>330</v>
      </c>
      <c r="D9" s="293" t="s">
        <v>329</v>
      </c>
      <c r="E9" s="257"/>
      <c r="F9" s="294"/>
      <c r="G9" s="294"/>
      <c r="H9" s="257"/>
    </row>
    <row r="10" spans="2:8">
      <c r="B10" s="291">
        <v>8</v>
      </c>
      <c r="C10" s="292" t="s">
        <v>331</v>
      </c>
      <c r="D10" s="293" t="s">
        <v>329</v>
      </c>
      <c r="E10" s="294"/>
      <c r="F10" s="257"/>
      <c r="G10" s="257"/>
      <c r="H10" s="257"/>
    </row>
    <row r="11" spans="2:8">
      <c r="B11" s="291">
        <v>9</v>
      </c>
      <c r="C11" s="295" t="s">
        <v>332</v>
      </c>
      <c r="D11" s="293" t="s">
        <v>329</v>
      </c>
      <c r="E11" s="294"/>
      <c r="F11" s="257"/>
      <c r="G11" s="257"/>
      <c r="H11" s="257"/>
    </row>
    <row r="12" spans="2:8">
      <c r="B12" s="291">
        <v>10</v>
      </c>
      <c r="C12" s="295" t="s">
        <v>333</v>
      </c>
      <c r="D12" s="293" t="s">
        <v>329</v>
      </c>
      <c r="E12" s="294"/>
      <c r="F12" s="257"/>
      <c r="G12" s="257"/>
      <c r="H12" s="257"/>
    </row>
    <row r="13" spans="2:8">
      <c r="B13" s="291">
        <v>11</v>
      </c>
      <c r="C13" s="292" t="s">
        <v>334</v>
      </c>
      <c r="D13" s="296" t="s">
        <v>335</v>
      </c>
      <c r="E13" s="294"/>
      <c r="F13" s="294"/>
      <c r="G13" s="257"/>
      <c r="H13" s="294"/>
    </row>
    <row r="14" spans="2:8">
      <c r="B14" s="291">
        <v>12</v>
      </c>
      <c r="C14" s="292" t="s">
        <v>336</v>
      </c>
      <c r="D14" s="296" t="s">
        <v>335</v>
      </c>
      <c r="E14" s="294"/>
      <c r="F14" s="294"/>
      <c r="G14" s="257"/>
      <c r="H14" s="294"/>
    </row>
    <row r="15" spans="2:8">
      <c r="B15" s="291">
        <v>13</v>
      </c>
      <c r="C15" s="292" t="s">
        <v>337</v>
      </c>
      <c r="D15" s="296" t="s">
        <v>335</v>
      </c>
      <c r="E15" s="294"/>
      <c r="F15" s="294"/>
      <c r="G15" s="257"/>
      <c r="H15" s="294"/>
    </row>
    <row r="16" spans="2:8">
      <c r="B16" s="291">
        <v>14</v>
      </c>
      <c r="C16" s="292" t="s">
        <v>338</v>
      </c>
      <c r="D16" s="293" t="s">
        <v>339</v>
      </c>
      <c r="E16" s="294"/>
      <c r="F16" s="294"/>
      <c r="G16" s="294"/>
      <c r="H16" s="294"/>
    </row>
    <row r="17" spans="2:8">
      <c r="B17" s="291">
        <v>15</v>
      </c>
      <c r="C17" s="292" t="s">
        <v>340</v>
      </c>
      <c r="D17" s="293" t="s">
        <v>339</v>
      </c>
      <c r="E17" s="294"/>
      <c r="F17" s="294"/>
      <c r="G17" s="257"/>
      <c r="H17" s="294"/>
    </row>
    <row r="18" spans="2:8">
      <c r="B18" s="291">
        <v>16</v>
      </c>
      <c r="C18" s="292" t="s">
        <v>341</v>
      </c>
      <c r="D18" s="293" t="s">
        <v>342</v>
      </c>
      <c r="E18" s="294"/>
      <c r="F18" s="294"/>
      <c r="G18" s="294"/>
      <c r="H18" s="294"/>
    </row>
    <row r="19" spans="2:8">
      <c r="B19" s="291">
        <v>17</v>
      </c>
      <c r="C19" s="292" t="s">
        <v>343</v>
      </c>
      <c r="D19" s="293" t="s">
        <v>342</v>
      </c>
      <c r="E19" s="294"/>
      <c r="F19" s="257"/>
      <c r="G19" s="294"/>
      <c r="H19" s="257"/>
    </row>
    <row r="20" spans="2:8">
      <c r="B20" s="291">
        <v>18</v>
      </c>
      <c r="C20" s="292" t="s">
        <v>344</v>
      </c>
      <c r="D20" s="293" t="s">
        <v>342</v>
      </c>
      <c r="E20" s="294"/>
      <c r="F20" s="257"/>
      <c r="G20" s="257"/>
      <c r="H20" s="294"/>
    </row>
    <row r="21" spans="2:8">
      <c r="B21" s="291">
        <v>19</v>
      </c>
      <c r="C21" s="292" t="s">
        <v>345</v>
      </c>
      <c r="D21" s="293" t="s">
        <v>342</v>
      </c>
      <c r="E21" s="257"/>
      <c r="F21" s="257"/>
      <c r="G21" s="294"/>
      <c r="H21" s="257"/>
    </row>
    <row r="22" spans="2:8">
      <c r="B22" s="291">
        <v>20</v>
      </c>
      <c r="C22" s="292" t="s">
        <v>346</v>
      </c>
      <c r="D22" s="293" t="s">
        <v>342</v>
      </c>
      <c r="E22" s="257"/>
      <c r="F22" s="257"/>
      <c r="G22" s="294"/>
      <c r="H22" s="257"/>
    </row>
    <row r="23" spans="2:8">
      <c r="B23" s="291">
        <v>21</v>
      </c>
      <c r="C23" s="292" t="s">
        <v>347</v>
      </c>
      <c r="D23" s="293" t="s">
        <v>342</v>
      </c>
      <c r="E23" s="257"/>
      <c r="F23" s="257"/>
      <c r="G23" s="294"/>
      <c r="H23" s="257"/>
    </row>
    <row r="24" spans="2:8">
      <c r="B24" s="291">
        <v>22</v>
      </c>
      <c r="C24" s="292" t="s">
        <v>348</v>
      </c>
      <c r="D24" s="293" t="s">
        <v>342</v>
      </c>
      <c r="E24" s="257"/>
      <c r="F24" s="257"/>
      <c r="G24" s="257"/>
      <c r="H24" s="294"/>
    </row>
    <row r="25" spans="2:8">
      <c r="B25" s="291">
        <v>23</v>
      </c>
      <c r="C25" s="292" t="s">
        <v>349</v>
      </c>
      <c r="D25" s="293" t="s">
        <v>342</v>
      </c>
      <c r="E25" s="257"/>
      <c r="F25" s="257"/>
      <c r="G25" s="257"/>
      <c r="H25" s="294"/>
    </row>
    <row r="26" spans="2:8">
      <c r="B26" s="291">
        <v>24</v>
      </c>
      <c r="C26" s="292" t="s">
        <v>350</v>
      </c>
      <c r="D26" s="293" t="s">
        <v>351</v>
      </c>
      <c r="E26" s="294"/>
      <c r="F26" s="294"/>
      <c r="G26" s="294"/>
      <c r="H26" s="257"/>
    </row>
    <row r="27" spans="2:8">
      <c r="B27" s="291">
        <v>25</v>
      </c>
      <c r="C27" s="292" t="s">
        <v>352</v>
      </c>
      <c r="D27" s="293" t="s">
        <v>351</v>
      </c>
      <c r="E27" s="294"/>
      <c r="F27" s="294"/>
      <c r="G27" s="294"/>
      <c r="H27" s="257"/>
    </row>
    <row r="28" spans="2:8">
      <c r="B28" s="291">
        <v>26</v>
      </c>
      <c r="C28" s="292" t="s">
        <v>353</v>
      </c>
      <c r="D28" s="293" t="s">
        <v>354</v>
      </c>
      <c r="E28" s="294"/>
      <c r="F28" s="294"/>
      <c r="G28" s="294"/>
      <c r="H28" s="257"/>
    </row>
    <row r="29" spans="2:8">
      <c r="B29" s="291">
        <v>27</v>
      </c>
      <c r="C29" s="292" t="s">
        <v>355</v>
      </c>
      <c r="D29" s="293" t="s">
        <v>354</v>
      </c>
      <c r="E29" s="294"/>
      <c r="F29" s="294"/>
      <c r="G29" s="294"/>
      <c r="H29" s="257"/>
    </row>
    <row r="30" spans="2:8">
      <c r="B30" s="291">
        <v>28</v>
      </c>
      <c r="C30" s="295" t="s">
        <v>356</v>
      </c>
      <c r="D30" s="293" t="s">
        <v>357</v>
      </c>
      <c r="E30" s="294"/>
      <c r="F30" s="257"/>
      <c r="G30" s="257"/>
      <c r="H30" s="257"/>
    </row>
    <row r="31" spans="2:8">
      <c r="B31" s="291">
        <v>29</v>
      </c>
      <c r="C31" s="295" t="s">
        <v>358</v>
      </c>
      <c r="D31" s="293" t="s">
        <v>357</v>
      </c>
      <c r="E31" s="294"/>
      <c r="F31" s="257"/>
      <c r="G31" s="257"/>
      <c r="H31" s="257"/>
    </row>
    <row r="33" spans="10:15">
      <c r="J33" s="307" t="s">
        <v>205</v>
      </c>
    </row>
    <row r="34" spans="10:15" ht="75">
      <c r="J34" s="308" t="s">
        <v>466</v>
      </c>
    </row>
    <row r="35" spans="10:15">
      <c r="J35" s="309"/>
    </row>
    <row r="36" spans="10:15">
      <c r="J36" s="310" t="s">
        <v>204</v>
      </c>
    </row>
    <row r="37" spans="10:15" ht="60">
      <c r="J37" s="308" t="s">
        <v>467</v>
      </c>
    </row>
    <row r="38" spans="10:15">
      <c r="J38" s="309"/>
    </row>
    <row r="39" spans="10:15">
      <c r="J39" s="311" t="s">
        <v>468</v>
      </c>
    </row>
    <row r="40" spans="10:15" ht="75">
      <c r="J40" s="308" t="s">
        <v>469</v>
      </c>
    </row>
    <row r="42" spans="10:15">
      <c r="L42" s="298" t="s">
        <v>314</v>
      </c>
      <c r="M42" s="298" t="s">
        <v>474</v>
      </c>
      <c r="N42" s="298" t="s">
        <v>316</v>
      </c>
      <c r="O42" s="298" t="s">
        <v>359</v>
      </c>
    </row>
    <row r="43" spans="10:15">
      <c r="L43" s="293">
        <v>1</v>
      </c>
      <c r="M43" s="293" t="s">
        <v>360</v>
      </c>
      <c r="N43" s="293" t="s">
        <v>342</v>
      </c>
      <c r="O43" s="293">
        <v>1</v>
      </c>
    </row>
    <row r="44" spans="10:15">
      <c r="L44" s="293">
        <v>2</v>
      </c>
      <c r="M44" s="293" t="s">
        <v>361</v>
      </c>
      <c r="N44" s="293" t="s">
        <v>342</v>
      </c>
      <c r="O44" s="293">
        <v>1</v>
      </c>
    </row>
    <row r="45" spans="10:15">
      <c r="L45" s="293">
        <v>3</v>
      </c>
      <c r="M45" s="293" t="s">
        <v>362</v>
      </c>
      <c r="N45" s="293" t="s">
        <v>342</v>
      </c>
      <c r="O45" s="293">
        <v>1</v>
      </c>
    </row>
    <row r="46" spans="10:15">
      <c r="L46" s="293">
        <v>4</v>
      </c>
      <c r="M46" s="293" t="s">
        <v>363</v>
      </c>
      <c r="N46" s="293" t="s">
        <v>342</v>
      </c>
      <c r="O46" s="293">
        <v>1</v>
      </c>
    </row>
    <row r="47" spans="10:15">
      <c r="L47" s="293">
        <v>5</v>
      </c>
      <c r="M47" s="293" t="s">
        <v>364</v>
      </c>
      <c r="N47" s="293" t="s">
        <v>342</v>
      </c>
      <c r="O47" s="293">
        <v>1</v>
      </c>
    </row>
    <row r="48" spans="10:15">
      <c r="L48" s="293">
        <v>6</v>
      </c>
      <c r="M48" s="293" t="s">
        <v>365</v>
      </c>
      <c r="N48" s="293" t="s">
        <v>342</v>
      </c>
      <c r="O48" s="293">
        <v>1</v>
      </c>
    </row>
    <row r="49" spans="12:15">
      <c r="L49" s="293">
        <v>7</v>
      </c>
      <c r="M49" s="293" t="s">
        <v>366</v>
      </c>
      <c r="N49" s="293" t="s">
        <v>342</v>
      </c>
      <c r="O49" s="293">
        <v>2</v>
      </c>
    </row>
    <row r="50" spans="12:15">
      <c r="L50" s="293">
        <v>8</v>
      </c>
      <c r="M50" s="293" t="s">
        <v>367</v>
      </c>
      <c r="N50" s="293" t="s">
        <v>342</v>
      </c>
      <c r="O50" s="293">
        <v>2</v>
      </c>
    </row>
    <row r="51" spans="12:15">
      <c r="L51" s="293">
        <v>9</v>
      </c>
      <c r="M51" s="293" t="s">
        <v>368</v>
      </c>
      <c r="N51" s="293" t="s">
        <v>342</v>
      </c>
      <c r="O51" s="293">
        <v>2</v>
      </c>
    </row>
    <row r="52" spans="12:15">
      <c r="L52" s="293">
        <v>10</v>
      </c>
      <c r="M52" s="293" t="s">
        <v>369</v>
      </c>
      <c r="N52" s="293" t="s">
        <v>342</v>
      </c>
      <c r="O52" s="293" t="s">
        <v>370</v>
      </c>
    </row>
    <row r="53" spans="12:15">
      <c r="L53" s="293">
        <v>11</v>
      </c>
      <c r="M53" s="293" t="s">
        <v>371</v>
      </c>
      <c r="N53" s="293" t="s">
        <v>342</v>
      </c>
      <c r="O53" s="293" t="s">
        <v>370</v>
      </c>
    </row>
    <row r="54" spans="12:15">
      <c r="L54" s="293">
        <v>12</v>
      </c>
      <c r="M54" s="293" t="s">
        <v>375</v>
      </c>
      <c r="N54" s="293" t="s">
        <v>329</v>
      </c>
      <c r="O54" s="293">
        <v>1</v>
      </c>
    </row>
    <row r="55" spans="12:15">
      <c r="L55" s="293">
        <v>13</v>
      </c>
      <c r="M55" s="293" t="s">
        <v>376</v>
      </c>
      <c r="N55" s="293" t="s">
        <v>329</v>
      </c>
      <c r="O55" s="293">
        <v>1</v>
      </c>
    </row>
    <row r="56" spans="12:15">
      <c r="L56" s="293">
        <v>14</v>
      </c>
      <c r="M56" s="293" t="s">
        <v>377</v>
      </c>
      <c r="N56" s="293" t="s">
        <v>329</v>
      </c>
      <c r="O56" s="293">
        <v>1</v>
      </c>
    </row>
    <row r="57" spans="12:15">
      <c r="L57" s="293">
        <v>15</v>
      </c>
      <c r="M57" s="312" t="s">
        <v>378</v>
      </c>
      <c r="N57" s="312" t="s">
        <v>329</v>
      </c>
      <c r="O57" s="312">
        <v>2</v>
      </c>
    </row>
    <row r="58" spans="12:15">
      <c r="L58" s="293">
        <v>16</v>
      </c>
      <c r="M58" s="312" t="s">
        <v>470</v>
      </c>
      <c r="N58" s="312" t="s">
        <v>329</v>
      </c>
      <c r="O58" s="312">
        <v>2</v>
      </c>
    </row>
    <row r="59" spans="12:15">
      <c r="L59" s="293">
        <v>17</v>
      </c>
      <c r="M59" s="312" t="s">
        <v>379</v>
      </c>
      <c r="N59" s="312" t="s">
        <v>329</v>
      </c>
      <c r="O59" s="312">
        <v>2</v>
      </c>
    </row>
    <row r="60" spans="12:15">
      <c r="L60" s="293">
        <v>18</v>
      </c>
      <c r="M60" s="312" t="s">
        <v>381</v>
      </c>
      <c r="N60" s="312" t="s">
        <v>329</v>
      </c>
      <c r="O60" s="312" t="s">
        <v>370</v>
      </c>
    </row>
    <row r="61" spans="12:15">
      <c r="L61" s="293">
        <v>19</v>
      </c>
      <c r="M61" s="293" t="s">
        <v>380</v>
      </c>
      <c r="N61" s="293" t="s">
        <v>329</v>
      </c>
      <c r="O61" s="293" t="s">
        <v>370</v>
      </c>
    </row>
    <row r="62" spans="12:15">
      <c r="L62" s="293">
        <v>20</v>
      </c>
      <c r="M62" s="293" t="s">
        <v>471</v>
      </c>
      <c r="N62" s="293" t="s">
        <v>329</v>
      </c>
      <c r="O62" s="293" t="s">
        <v>370</v>
      </c>
    </row>
    <row r="63" spans="12:15">
      <c r="L63" s="293">
        <v>21</v>
      </c>
      <c r="M63" s="293" t="s">
        <v>382</v>
      </c>
      <c r="N63" s="293" t="s">
        <v>329</v>
      </c>
      <c r="O63" s="293" t="s">
        <v>370</v>
      </c>
    </row>
    <row r="64" spans="12:15">
      <c r="L64" s="293">
        <v>22</v>
      </c>
      <c r="M64" s="293" t="s">
        <v>372</v>
      </c>
      <c r="N64" s="293" t="s">
        <v>373</v>
      </c>
      <c r="O64" s="293">
        <v>1</v>
      </c>
    </row>
    <row r="65" spans="12:15">
      <c r="L65" s="293">
        <v>23</v>
      </c>
      <c r="M65" s="293" t="s">
        <v>374</v>
      </c>
      <c r="N65" s="293" t="s">
        <v>373</v>
      </c>
      <c r="O65" s="293" t="s">
        <v>370</v>
      </c>
    </row>
    <row r="66" spans="12:15">
      <c r="L66" s="293">
        <v>24</v>
      </c>
      <c r="M66" s="293" t="s">
        <v>383</v>
      </c>
      <c r="N66" s="293" t="s">
        <v>384</v>
      </c>
      <c r="O66" s="293">
        <v>2</v>
      </c>
    </row>
    <row r="67" spans="12:15">
      <c r="L67" s="293">
        <v>25</v>
      </c>
      <c r="M67" s="293" t="s">
        <v>385</v>
      </c>
      <c r="N67" s="293" t="s">
        <v>386</v>
      </c>
      <c r="O67" s="293" t="s">
        <v>370</v>
      </c>
    </row>
    <row r="68" spans="12:15">
      <c r="L68" s="293">
        <v>26</v>
      </c>
      <c r="M68" s="293" t="s">
        <v>387</v>
      </c>
      <c r="N68" s="293" t="s">
        <v>388</v>
      </c>
      <c r="O68" s="293" t="s">
        <v>370</v>
      </c>
    </row>
    <row r="69" spans="12:15">
      <c r="L69" s="293">
        <v>27</v>
      </c>
      <c r="M69" s="293" t="s">
        <v>389</v>
      </c>
      <c r="N69" s="293" t="s">
        <v>390</v>
      </c>
      <c r="O69" s="293">
        <v>3</v>
      </c>
    </row>
    <row r="70" spans="12:15">
      <c r="L70" s="293">
        <v>28</v>
      </c>
      <c r="M70" s="293" t="s">
        <v>391</v>
      </c>
      <c r="N70" s="293" t="s">
        <v>390</v>
      </c>
      <c r="O70" s="293">
        <v>3</v>
      </c>
    </row>
    <row r="71" spans="12:15">
      <c r="L71" s="293">
        <v>29</v>
      </c>
      <c r="M71" s="293" t="s">
        <v>392</v>
      </c>
      <c r="N71" s="293" t="s">
        <v>390</v>
      </c>
      <c r="O71" s="293">
        <v>3</v>
      </c>
    </row>
    <row r="72" spans="12:15">
      <c r="L72" s="293">
        <v>30</v>
      </c>
      <c r="M72" s="293" t="s">
        <v>393</v>
      </c>
      <c r="N72" s="293" t="s">
        <v>390</v>
      </c>
      <c r="O72" s="293">
        <v>3</v>
      </c>
    </row>
    <row r="73" spans="12:15">
      <c r="L73" s="293">
        <v>31</v>
      </c>
      <c r="M73" s="293" t="s">
        <v>394</v>
      </c>
      <c r="N73" s="293" t="s">
        <v>390</v>
      </c>
      <c r="O73" s="293">
        <v>3</v>
      </c>
    </row>
    <row r="74" spans="12:15">
      <c r="L74" s="293">
        <v>32</v>
      </c>
      <c r="M74" s="293" t="s">
        <v>395</v>
      </c>
      <c r="N74" s="293" t="s">
        <v>390</v>
      </c>
      <c r="O74" s="293">
        <v>3</v>
      </c>
    </row>
    <row r="75" spans="12:15">
      <c r="L75" s="293">
        <v>33</v>
      </c>
      <c r="M75" s="293" t="s">
        <v>472</v>
      </c>
      <c r="N75" s="293" t="s">
        <v>390</v>
      </c>
      <c r="O75" s="293">
        <v>3</v>
      </c>
    </row>
    <row r="76" spans="12:15">
      <c r="L76" s="293">
        <v>34</v>
      </c>
      <c r="M76" s="293" t="s">
        <v>396</v>
      </c>
      <c r="N76" s="293" t="s">
        <v>373</v>
      </c>
      <c r="O76" s="293">
        <v>3</v>
      </c>
    </row>
    <row r="77" spans="12:15">
      <c r="L77" s="293">
        <v>35</v>
      </c>
      <c r="M77" s="293" t="s">
        <v>397</v>
      </c>
      <c r="N77" s="293" t="s">
        <v>388</v>
      </c>
      <c r="O77" s="293">
        <v>3</v>
      </c>
    </row>
    <row r="78" spans="12:15">
      <c r="L78" s="293">
        <v>36</v>
      </c>
      <c r="M78" s="293" t="s">
        <v>398</v>
      </c>
      <c r="N78" s="293" t="s">
        <v>399</v>
      </c>
      <c r="O78" s="293">
        <v>3</v>
      </c>
    </row>
    <row r="79" spans="12:15">
      <c r="L79" s="293">
        <v>37</v>
      </c>
      <c r="M79" s="293" t="s">
        <v>400</v>
      </c>
      <c r="N79" s="293" t="s">
        <v>401</v>
      </c>
      <c r="O79" s="293">
        <v>3</v>
      </c>
    </row>
    <row r="80" spans="12:15">
      <c r="L80" s="293">
        <v>38</v>
      </c>
      <c r="M80" s="293" t="s">
        <v>473</v>
      </c>
      <c r="N80" s="293" t="s">
        <v>342</v>
      </c>
      <c r="O80" s="293">
        <v>3</v>
      </c>
    </row>
    <row r="81" spans="12:15">
      <c r="L81" s="299"/>
      <c r="M81" s="299"/>
      <c r="N81" s="299"/>
      <c r="O81" s="299"/>
    </row>
    <row r="82" spans="12:15">
      <c r="L82" s="298" t="s">
        <v>314</v>
      </c>
      <c r="M82" s="298" t="s">
        <v>402</v>
      </c>
      <c r="N82" s="300"/>
      <c r="O82" s="299"/>
    </row>
    <row r="83" spans="12:15">
      <c r="L83" s="293">
        <v>1</v>
      </c>
      <c r="M83" s="293" t="s">
        <v>403</v>
      </c>
      <c r="N83" s="299"/>
      <c r="O83" s="299"/>
    </row>
    <row r="84" spans="12:15">
      <c r="L84" s="293">
        <v>2</v>
      </c>
      <c r="M84" s="293" t="s">
        <v>404</v>
      </c>
      <c r="N84" s="299"/>
      <c r="O84" s="299"/>
    </row>
    <row r="85" spans="12:15">
      <c r="L85" s="293">
        <v>3</v>
      </c>
      <c r="M85" s="293" t="s">
        <v>405</v>
      </c>
      <c r="N85" s="299"/>
      <c r="O85" s="299"/>
    </row>
    <row r="86" spans="12:15">
      <c r="L86" s="293">
        <v>4</v>
      </c>
      <c r="M86" s="293" t="s">
        <v>406</v>
      </c>
      <c r="N86" s="299"/>
      <c r="O86" s="299"/>
    </row>
    <row r="87" spans="12:15">
      <c r="L87" s="293">
        <v>5</v>
      </c>
      <c r="M87" s="293" t="s">
        <v>407</v>
      </c>
      <c r="N87" s="299"/>
      <c r="O87" s="299"/>
    </row>
    <row r="88" spans="12:15">
      <c r="L88" s="293">
        <v>6</v>
      </c>
      <c r="M88" s="293" t="s">
        <v>408</v>
      </c>
      <c r="N88" s="299"/>
      <c r="O88" s="299"/>
    </row>
    <row r="89" spans="12:15">
      <c r="L89" s="293">
        <v>7</v>
      </c>
      <c r="M89" s="293" t="s">
        <v>409</v>
      </c>
      <c r="N89" s="299"/>
      <c r="O89" s="299"/>
    </row>
    <row r="90" spans="12:15">
      <c r="L90" s="293">
        <v>8</v>
      </c>
      <c r="M90" s="293" t="s">
        <v>410</v>
      </c>
      <c r="N90" s="299"/>
      <c r="O90" s="299"/>
    </row>
    <row r="91" spans="12:15">
      <c r="L91" s="293">
        <v>9</v>
      </c>
      <c r="M91" s="293" t="s">
        <v>411</v>
      </c>
      <c r="N91" s="299"/>
      <c r="O91" s="299"/>
    </row>
    <row r="92" spans="12:15">
      <c r="L92" s="299"/>
      <c r="M92" s="299"/>
      <c r="N92" s="299"/>
      <c r="O92" s="299"/>
    </row>
    <row r="93" spans="12:15">
      <c r="L93" s="298" t="s">
        <v>314</v>
      </c>
      <c r="M93" s="298" t="s">
        <v>412</v>
      </c>
      <c r="N93" s="299"/>
      <c r="O93" s="299"/>
    </row>
    <row r="94" spans="12:15">
      <c r="L94" s="293">
        <v>1</v>
      </c>
      <c r="M94" s="293" t="s">
        <v>413</v>
      </c>
      <c r="N94" s="299"/>
      <c r="O94" s="299"/>
    </row>
    <row r="95" spans="12:15">
      <c r="L95" s="293">
        <v>2</v>
      </c>
      <c r="M95" s="293" t="s">
        <v>414</v>
      </c>
      <c r="N95" s="299"/>
      <c r="O95" s="299"/>
    </row>
    <row r="96" spans="12:15">
      <c r="L96" s="293">
        <v>3</v>
      </c>
      <c r="M96" s="293" t="s">
        <v>415</v>
      </c>
      <c r="N96" s="299"/>
      <c r="O96" s="299"/>
    </row>
    <row r="97" spans="12:15">
      <c r="L97" s="293">
        <v>4</v>
      </c>
      <c r="M97" s="293" t="s">
        <v>416</v>
      </c>
      <c r="N97" s="299"/>
      <c r="O97" s="299"/>
    </row>
    <row r="98" spans="12:15">
      <c r="L98" s="293">
        <v>5</v>
      </c>
      <c r="M98" s="293" t="s">
        <v>417</v>
      </c>
      <c r="N98" s="299"/>
      <c r="O98" s="299"/>
    </row>
    <row r="99" spans="12:15">
      <c r="L99" s="293">
        <v>6</v>
      </c>
      <c r="M99" s="293" t="s">
        <v>418</v>
      </c>
      <c r="N99" s="299"/>
      <c r="O99" s="299"/>
    </row>
    <row r="100" spans="12:15">
      <c r="L100" s="293">
        <v>7</v>
      </c>
      <c r="M100" s="293" t="s">
        <v>419</v>
      </c>
      <c r="N100" s="299"/>
      <c r="O100" s="299"/>
    </row>
    <row r="101" spans="12:15">
      <c r="L101" s="293">
        <v>8</v>
      </c>
      <c r="M101" s="293" t="s">
        <v>420</v>
      </c>
      <c r="N101" s="299"/>
      <c r="O101" s="299"/>
    </row>
    <row r="102" spans="12:15">
      <c r="L102" s="293">
        <v>9</v>
      </c>
      <c r="M102" s="293" t="s">
        <v>421</v>
      </c>
      <c r="N102" s="299"/>
      <c r="O102" s="299"/>
    </row>
    <row r="103" spans="12:15">
      <c r="L103" s="293">
        <v>10</v>
      </c>
      <c r="M103" s="293" t="s">
        <v>422</v>
      </c>
      <c r="N103" s="299"/>
      <c r="O103" s="299"/>
    </row>
    <row r="104" spans="12:15">
      <c r="L104" s="293">
        <v>11</v>
      </c>
      <c r="M104" s="293" t="s">
        <v>423</v>
      </c>
      <c r="N104" s="299"/>
      <c r="O104" s="299"/>
    </row>
    <row r="105" spans="12:15">
      <c r="L105" s="293">
        <v>12</v>
      </c>
      <c r="M105" s="293" t="s">
        <v>424</v>
      </c>
      <c r="N105" s="299"/>
      <c r="O105" s="299"/>
    </row>
    <row r="106" spans="12:15">
      <c r="L106" s="293">
        <v>13</v>
      </c>
      <c r="M106" s="293" t="s">
        <v>425</v>
      </c>
      <c r="N106" s="299"/>
      <c r="O106" s="29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abSelected="1" workbookViewId="0">
      <selection activeCell="L8" sqref="L8"/>
    </sheetView>
  </sheetViews>
  <sheetFormatPr defaultColWidth="10.140625" defaultRowHeight="15"/>
  <cols>
    <col min="1" max="1" width="9.5703125" bestFit="1" customWidth="1"/>
    <col min="2" max="2" width="11.5703125" style="66" bestFit="1" customWidth="1"/>
    <col min="3" max="3" width="9.5703125" style="66" bestFit="1" customWidth="1"/>
    <col min="4" max="4" width="19" bestFit="1" customWidth="1"/>
    <col min="5" max="5" width="8.42578125" bestFit="1" customWidth="1"/>
    <col min="6" max="6" width="7" style="66" bestFit="1" customWidth="1"/>
    <col min="7" max="7" width="8.42578125" bestFit="1" customWidth="1"/>
    <col min="8" max="8" width="8.28515625" customWidth="1"/>
    <col min="9" max="9" width="8.42578125" bestFit="1" customWidth="1"/>
    <col min="10" max="10" width="7" style="66" bestFit="1" customWidth="1"/>
    <col min="11" max="11" width="8.42578125" bestFit="1" customWidth="1"/>
    <col min="12" max="12" width="7" bestFit="1" customWidth="1"/>
    <col min="13" max="13" width="8.42578125" bestFit="1" customWidth="1"/>
    <col min="14" max="14" width="8" bestFit="1" customWidth="1"/>
    <col min="15" max="15" width="8.42578125" bestFit="1" customWidth="1"/>
    <col min="16" max="16" width="10.5703125" bestFit="1" customWidth="1"/>
    <col min="17" max="17" width="8" bestFit="1" customWidth="1"/>
    <col min="18" max="18" width="11.85546875" bestFit="1" customWidth="1"/>
    <col min="19" max="19" width="11.85546875" style="66" customWidth="1"/>
    <col min="20" max="20" width="26.5703125" bestFit="1" customWidth="1"/>
    <col min="21" max="21" width="9.140625" bestFit="1" customWidth="1"/>
    <col min="22" max="22" width="7.7109375" bestFit="1" customWidth="1"/>
    <col min="23" max="23" width="8.5703125" bestFit="1" customWidth="1"/>
    <col min="25" max="25" width="32.28515625" customWidth="1"/>
    <col min="26" max="26" width="15.5703125" bestFit="1" customWidth="1"/>
    <col min="27" max="27" width="21" bestFit="1" customWidth="1"/>
    <col min="28" max="28" width="19.28515625" bestFit="1" customWidth="1"/>
    <col min="29" max="29" width="20" bestFit="1" customWidth="1"/>
    <col min="30" max="30" width="21" bestFit="1" customWidth="1"/>
    <col min="31" max="31" width="19.28515625" bestFit="1" customWidth="1"/>
    <col min="32" max="32" width="9.42578125" bestFit="1" customWidth="1"/>
    <col min="33" max="34" width="8" bestFit="1" customWidth="1"/>
    <col min="35" max="35" width="10.85546875" bestFit="1" customWidth="1"/>
  </cols>
  <sheetData>
    <row r="1" spans="1:20" s="66" customFormat="1">
      <c r="B1" s="348" t="s">
        <v>262</v>
      </c>
      <c r="C1" s="347"/>
      <c r="D1" s="346" t="s">
        <v>2</v>
      </c>
      <c r="E1" s="350"/>
      <c r="F1" s="346" t="s">
        <v>287</v>
      </c>
      <c r="G1" s="347"/>
      <c r="H1" s="346" t="s">
        <v>288</v>
      </c>
      <c r="I1" s="350"/>
      <c r="J1" s="346" t="s">
        <v>263</v>
      </c>
      <c r="K1" s="347"/>
      <c r="L1" s="351" t="s">
        <v>301</v>
      </c>
      <c r="M1" s="352"/>
      <c r="N1" s="349" t="s">
        <v>302</v>
      </c>
      <c r="O1" s="349"/>
      <c r="T1" s="252" t="s">
        <v>298</v>
      </c>
    </row>
    <row r="2" spans="1:20" s="253" customFormat="1">
      <c r="A2" s="252" t="s">
        <v>261</v>
      </c>
      <c r="B2" s="252" t="s">
        <v>25</v>
      </c>
      <c r="C2" s="252" t="s">
        <v>283</v>
      </c>
      <c r="D2" s="252" t="s">
        <v>66</v>
      </c>
      <c r="E2" s="252" t="s">
        <v>283</v>
      </c>
      <c r="F2" s="260" t="s">
        <v>300</v>
      </c>
      <c r="G2" s="252" t="s">
        <v>283</v>
      </c>
      <c r="H2" s="260" t="s">
        <v>300</v>
      </c>
      <c r="I2" s="252" t="s">
        <v>283</v>
      </c>
      <c r="J2" s="260" t="s">
        <v>300</v>
      </c>
      <c r="K2" s="252" t="s">
        <v>283</v>
      </c>
      <c r="L2" s="260" t="s">
        <v>300</v>
      </c>
      <c r="M2" s="252" t="s">
        <v>283</v>
      </c>
      <c r="N2" s="260" t="s">
        <v>300</v>
      </c>
      <c r="O2" s="252" t="s">
        <v>283</v>
      </c>
      <c r="P2" s="188" t="s">
        <v>235</v>
      </c>
      <c r="Q2" s="188" t="s">
        <v>236</v>
      </c>
      <c r="T2" s="268" t="s">
        <v>285</v>
      </c>
    </row>
    <row r="3" spans="1:20">
      <c r="A3" s="27" t="s">
        <v>238</v>
      </c>
      <c r="B3" s="203">
        <v>35548560.688410223</v>
      </c>
      <c r="C3" s="375">
        <v>25009.165789394701</v>
      </c>
      <c r="D3" s="203">
        <v>660776.96855292411</v>
      </c>
      <c r="E3" s="203">
        <v>3502.1179333304976</v>
      </c>
      <c r="F3" s="197"/>
      <c r="G3" s="208">
        <v>0.68661645495356771</v>
      </c>
      <c r="H3" s="197"/>
      <c r="I3" s="208">
        <v>199.71675482295868</v>
      </c>
      <c r="J3" s="224"/>
      <c r="K3" s="197"/>
      <c r="L3" s="197"/>
      <c r="M3" s="208">
        <v>0</v>
      </c>
      <c r="N3" s="197"/>
      <c r="O3" s="208">
        <v>0</v>
      </c>
      <c r="P3" s="3">
        <v>2070325</v>
      </c>
      <c r="Q3" s="3">
        <v>16235.2</v>
      </c>
      <c r="R3" s="74">
        <f>$B$3/P3</f>
        <v>17.17052186898686</v>
      </c>
      <c r="S3" s="74">
        <f>$B$3/Q3</f>
        <v>2189.5979531148505</v>
      </c>
      <c r="T3" s="269" t="s">
        <v>286</v>
      </c>
    </row>
    <row r="4" spans="1:20">
      <c r="A4" s="27" t="s">
        <v>239</v>
      </c>
      <c r="B4" s="203">
        <v>34176437.626976989</v>
      </c>
      <c r="C4" s="375">
        <v>24043.848137644502</v>
      </c>
      <c r="D4" s="203">
        <v>633842.19513338292</v>
      </c>
      <c r="E4" s="203">
        <v>3359.3636342069294</v>
      </c>
      <c r="F4" s="197"/>
      <c r="G4" s="208">
        <v>0.64248687479116462</v>
      </c>
      <c r="H4" s="197"/>
      <c r="I4" s="208">
        <v>186.88074357075129</v>
      </c>
      <c r="J4" s="224"/>
      <c r="K4" s="197"/>
      <c r="L4" s="197"/>
      <c r="M4" s="208">
        <v>0</v>
      </c>
      <c r="N4" s="197"/>
      <c r="O4" s="208">
        <v>0</v>
      </c>
      <c r="P4" s="3"/>
      <c r="Q4" s="3"/>
    </row>
    <row r="5" spans="1:20">
      <c r="A5" s="27" t="s">
        <v>240</v>
      </c>
      <c r="B5" s="203">
        <v>33433473.762257759</v>
      </c>
      <c r="C5" s="375">
        <v>23521.157313924301</v>
      </c>
      <c r="D5" s="203">
        <v>503468.3091996616</v>
      </c>
      <c r="E5" s="203">
        <v>2668.3820387582064</v>
      </c>
      <c r="F5" s="197"/>
      <c r="G5" s="208">
        <v>0.6083061883673162</v>
      </c>
      <c r="H5" s="197"/>
      <c r="I5" s="208">
        <v>176.93857611912244</v>
      </c>
      <c r="J5" s="224"/>
      <c r="K5" s="197"/>
      <c r="L5" s="197"/>
      <c r="M5" s="208">
        <v>0</v>
      </c>
      <c r="N5" s="197"/>
      <c r="O5" s="208">
        <v>0</v>
      </c>
      <c r="P5" s="3"/>
      <c r="Q5" s="3"/>
    </row>
    <row r="6" spans="1:20">
      <c r="A6" s="27" t="s">
        <v>241</v>
      </c>
      <c r="B6" s="23">
        <f>SUM('Historical MERs'!D170:D181)</f>
        <v>30473259</v>
      </c>
      <c r="C6" s="316">
        <f>B6*0.001*Reference!$H$4*Reference!$D$4</f>
        <v>21438.583495804731</v>
      </c>
      <c r="D6" s="23">
        <f>SUM('Historical MERs'!G170:G181)</f>
        <v>545178</v>
      </c>
      <c r="E6" s="197">
        <f>D6*Reference!$O$5</f>
        <v>2889.4434000000001</v>
      </c>
      <c r="F6" s="23">
        <f>SUM('Historical MERs'!J170:J181)</f>
        <v>0</v>
      </c>
      <c r="G6" s="208">
        <v>0.56756149986944471</v>
      </c>
      <c r="H6" s="197"/>
      <c r="I6" s="208">
        <v>165.08713139425413</v>
      </c>
      <c r="J6" s="224"/>
      <c r="K6" s="197"/>
      <c r="L6" s="197"/>
      <c r="M6" s="208">
        <v>0</v>
      </c>
      <c r="N6" s="197"/>
      <c r="O6" s="208">
        <v>0</v>
      </c>
      <c r="P6" s="3"/>
      <c r="Q6" s="3"/>
    </row>
    <row r="7" spans="1:20">
      <c r="A7" s="27" t="s">
        <v>242</v>
      </c>
      <c r="B7" s="23">
        <f>SUM('Historical MERs'!D182:D193)</f>
        <v>32929316</v>
      </c>
      <c r="C7" s="316">
        <f>B7*0.001*Reference!$H$4*Reference!$D$4</f>
        <v>23166.47164406467</v>
      </c>
      <c r="D7" s="23">
        <f>SUM('Historical MERs'!G182:G193)</f>
        <v>528114</v>
      </c>
      <c r="E7" s="197">
        <f>D7*Reference!$O$5</f>
        <v>2799.0041999999999</v>
      </c>
      <c r="F7" s="23">
        <f>SUM('Historical MERs'!J182:J193)</f>
        <v>0</v>
      </c>
      <c r="G7" s="208">
        <v>0.58369223049409158</v>
      </c>
      <c r="H7" s="197"/>
      <c r="I7" s="208">
        <v>169.77909173111445</v>
      </c>
      <c r="J7" s="224"/>
      <c r="K7" s="197"/>
      <c r="L7" s="197"/>
      <c r="M7" s="208">
        <v>0</v>
      </c>
      <c r="N7" s="197"/>
      <c r="O7" s="208">
        <v>0</v>
      </c>
      <c r="P7" s="3"/>
      <c r="Q7" s="3"/>
    </row>
    <row r="8" spans="1:20">
      <c r="A8" s="27" t="s">
        <v>243</v>
      </c>
      <c r="B8" s="23">
        <f>SUM('Historical MERs'!D194:D205)</f>
        <v>35415636</v>
      </c>
      <c r="C8" s="316">
        <f>B8*0.001*Reference!$H$4*Reference!$D$4</f>
        <v>24915.650454158113</v>
      </c>
      <c r="D8" s="23">
        <f>SUM('Historical MERs'!G194:G205)</f>
        <v>447569</v>
      </c>
      <c r="E8" s="197">
        <f>D8*Reference!$O$5</f>
        <v>2372.1156999999998</v>
      </c>
      <c r="F8" s="23">
        <f>SUM('Historical MERs'!J194:J205)</f>
        <v>0</v>
      </c>
      <c r="G8" s="208">
        <v>0.58411639185652042</v>
      </c>
      <c r="H8" s="197"/>
      <c r="I8" s="208">
        <v>169.90246793367183</v>
      </c>
      <c r="J8" s="224"/>
      <c r="K8" s="197"/>
      <c r="L8" s="197"/>
      <c r="M8" s="208">
        <v>0</v>
      </c>
      <c r="N8" s="197"/>
      <c r="O8" s="208">
        <v>0</v>
      </c>
      <c r="P8" s="3"/>
      <c r="Q8" s="3"/>
    </row>
    <row r="9" spans="1:20">
      <c r="A9" s="27" t="s">
        <v>244</v>
      </c>
      <c r="B9" s="23">
        <f>SUM('Historical MERs'!D206:D217)</f>
        <v>35026170</v>
      </c>
      <c r="C9" s="316">
        <f>B9*0.001*Reference!$H$4*Reference!$D$4</f>
        <v>24641.652869594636</v>
      </c>
      <c r="D9" s="23">
        <f>SUM('Historical MERs'!G206:G217)</f>
        <v>457510</v>
      </c>
      <c r="E9" s="197">
        <f>D9*Reference!$O$5</f>
        <v>2424.8029999999999</v>
      </c>
      <c r="F9" s="23">
        <f>SUM('Historical MERs'!J206:J217)</f>
        <v>0</v>
      </c>
      <c r="G9" s="208">
        <v>0.58939531099090747</v>
      </c>
      <c r="H9" s="197"/>
      <c r="I9" s="208">
        <v>171.43795195955926</v>
      </c>
      <c r="J9" s="224"/>
      <c r="K9" s="197"/>
      <c r="L9" s="197"/>
      <c r="M9" s="208">
        <v>0</v>
      </c>
      <c r="N9" s="197"/>
      <c r="O9" s="208">
        <v>0</v>
      </c>
      <c r="P9" s="3"/>
      <c r="Q9" s="3"/>
    </row>
    <row r="10" spans="1:20">
      <c r="A10" s="27" t="s">
        <v>245</v>
      </c>
      <c r="B10" s="23">
        <f>SUM('Historical MERs'!D218:D229)</f>
        <v>31319534</v>
      </c>
      <c r="C10" s="316">
        <f>B10*0.001*Reference!$H$4*Reference!$D$4</f>
        <v>22033.955892564529</v>
      </c>
      <c r="D10" s="23">
        <f>SUM('Historical MERs'!G218:G229)</f>
        <v>544885</v>
      </c>
      <c r="E10" s="197">
        <f>D10*Reference!$O$5</f>
        <v>2887.8905</v>
      </c>
      <c r="F10" s="23">
        <f>SUM('Historical MERs'!J218:J229)</f>
        <v>0</v>
      </c>
      <c r="G10" s="208">
        <v>0.60675936667790253</v>
      </c>
      <c r="H10" s="197"/>
      <c r="I10" s="208">
        <v>176.48865068277334</v>
      </c>
      <c r="J10" s="224"/>
      <c r="K10" s="197"/>
      <c r="L10" s="197"/>
      <c r="M10" s="208">
        <v>0</v>
      </c>
      <c r="N10" s="197"/>
      <c r="O10" s="208">
        <v>0</v>
      </c>
      <c r="P10" s="3"/>
      <c r="Q10" s="3"/>
    </row>
    <row r="11" spans="1:20">
      <c r="A11" s="27" t="s">
        <v>246</v>
      </c>
      <c r="B11" s="23">
        <f>SUM('Historical MERs'!D230:D241)</f>
        <v>30736521</v>
      </c>
      <c r="C11" s="316">
        <f>B11*0.001*Reference!$H$4*Reference!$D$4</f>
        <v>21623.793891853034</v>
      </c>
      <c r="D11" s="23">
        <f>SUM('Historical MERs'!G230:G241)</f>
        <v>607798</v>
      </c>
      <c r="E11" s="197">
        <f>D11*Reference!$O$5</f>
        <v>3221.3294000000001</v>
      </c>
      <c r="F11" s="23">
        <f>SUM('Historical MERs'!J230:J241)</f>
        <v>0</v>
      </c>
      <c r="G11" s="208">
        <v>0.62354520022012405</v>
      </c>
      <c r="H11" s="197"/>
      <c r="I11" s="208">
        <v>181.3711614030816</v>
      </c>
      <c r="J11" s="224"/>
      <c r="K11" s="197"/>
      <c r="L11" s="197"/>
      <c r="M11" s="208">
        <v>0</v>
      </c>
      <c r="N11" s="197"/>
      <c r="O11" s="208">
        <v>0</v>
      </c>
      <c r="P11" s="3"/>
      <c r="Q11" s="3"/>
    </row>
    <row r="12" spans="1:20">
      <c r="A12" s="27" t="s">
        <v>247</v>
      </c>
      <c r="B12" s="23">
        <f>SUM('Historical MERs'!D242:D253)</f>
        <v>33820785</v>
      </c>
      <c r="C12" s="316">
        <f>B12*0.001*Reference!$H$4*Reference!$D$4</f>
        <v>23793.638977575723</v>
      </c>
      <c r="D12" s="23">
        <f>SUM('Historical MERs'!G242:G253)</f>
        <v>599708</v>
      </c>
      <c r="E12" s="197">
        <f>D12*Reference!$O$5</f>
        <v>3178.4524000000001</v>
      </c>
      <c r="F12" s="23">
        <f>SUM('Historical MERs'!J242:J253)</f>
        <v>0</v>
      </c>
      <c r="G12" s="208">
        <v>0.63171535717280114</v>
      </c>
      <c r="H12" s="197"/>
      <c r="I12" s="208">
        <v>183.74762241156887</v>
      </c>
      <c r="J12" s="224"/>
      <c r="K12" s="197"/>
      <c r="L12" s="197"/>
      <c r="M12" s="208">
        <v>0</v>
      </c>
      <c r="N12" s="197"/>
      <c r="O12" s="208">
        <v>0</v>
      </c>
      <c r="P12" s="3"/>
      <c r="Q12" s="3"/>
    </row>
    <row r="13" spans="1:20">
      <c r="A13" s="27" t="s">
        <v>248</v>
      </c>
      <c r="B13" s="23">
        <f>SUM('Historical MERs'!D254:D265)</f>
        <v>34181213</v>
      </c>
      <c r="C13" s="316">
        <f>B13*0.001*Reference!H5*Reference!$D$4</f>
        <v>21799.080622536978</v>
      </c>
      <c r="D13" s="23">
        <f>SUM('Historical MERs'!G254:G265)</f>
        <v>586293</v>
      </c>
      <c r="E13" s="197">
        <f>D13*Reference!$O$5</f>
        <v>3107.3528999999999</v>
      </c>
      <c r="F13" s="23">
        <f>SUM('Historical MERs'!J254:J265)</f>
        <v>0</v>
      </c>
      <c r="G13" s="208">
        <v>0.63959240512926885</v>
      </c>
      <c r="H13" s="197"/>
      <c r="I13" s="208">
        <v>186.03882653885262</v>
      </c>
      <c r="J13" s="224"/>
      <c r="K13" s="197"/>
      <c r="L13" s="197"/>
      <c r="M13" s="208">
        <v>0</v>
      </c>
      <c r="N13" s="197"/>
      <c r="O13" s="208">
        <v>0</v>
      </c>
      <c r="P13" s="3"/>
      <c r="Q13" s="3"/>
    </row>
    <row r="14" spans="1:20">
      <c r="A14" s="27" t="s">
        <v>249</v>
      </c>
      <c r="B14" s="23">
        <f>SUM('Historical MERs'!D266:D277)</f>
        <v>35655919</v>
      </c>
      <c r="C14" s="316">
        <f>B14*0.001*Reference!H6*Reference!$D$4</f>
        <v>22836.614330799777</v>
      </c>
      <c r="D14" s="23">
        <f>SUM('Historical MERs'!G266:G277)</f>
        <v>703526</v>
      </c>
      <c r="E14" s="197">
        <f>D14*Reference!$O$5</f>
        <v>3728.6878000000002</v>
      </c>
      <c r="F14" s="23">
        <f>SUM('Historical MERs'!J266:J277)</f>
        <v>0</v>
      </c>
      <c r="G14" s="208">
        <v>0.68888643499127233</v>
      </c>
      <c r="H14" s="197"/>
      <c r="I14" s="208">
        <v>200.37702598799208</v>
      </c>
      <c r="J14" s="224"/>
      <c r="K14" s="197"/>
      <c r="L14" s="197"/>
      <c r="M14" s="208">
        <v>0</v>
      </c>
      <c r="N14" s="197"/>
      <c r="O14" s="208">
        <v>0</v>
      </c>
      <c r="P14" s="3"/>
      <c r="Q14" s="3"/>
    </row>
    <row r="15" spans="1:20">
      <c r="A15" s="27" t="s">
        <v>250</v>
      </c>
      <c r="B15" s="203">
        <v>37189451</v>
      </c>
      <c r="C15" s="316">
        <f>B15*0.001*Reference!H7*Reference!$D$4</f>
        <v>23177.782667281008</v>
      </c>
      <c r="D15" s="203">
        <v>506961</v>
      </c>
      <c r="E15" s="197">
        <f>D15*Reference!$O$5</f>
        <v>2686.8933000000002</v>
      </c>
      <c r="F15" s="23">
        <f>SUM('Historical MERs'!J267:J278)</f>
        <v>0</v>
      </c>
      <c r="G15" s="208">
        <v>0.71610875384451311</v>
      </c>
      <c r="H15" s="197"/>
      <c r="I15" s="208">
        <v>208.29520671451249</v>
      </c>
      <c r="J15" s="224"/>
      <c r="K15" s="197"/>
      <c r="L15" s="197"/>
      <c r="M15" s="208">
        <v>0</v>
      </c>
      <c r="N15" s="197"/>
      <c r="O15" s="208">
        <v>0</v>
      </c>
      <c r="P15" s="3"/>
      <c r="Q15" s="3"/>
    </row>
    <row r="16" spans="1:20">
      <c r="A16" s="27" t="s">
        <v>251</v>
      </c>
      <c r="B16" s="23">
        <f>SUM('Historical MERs'!D290:D301)</f>
        <v>38777887</v>
      </c>
      <c r="C16" s="316">
        <f>B16*0.001*Reference!H8*Reference!$D$4</f>
        <v>24290.877601063625</v>
      </c>
      <c r="D16" s="23">
        <f>SUM('Historical MERs'!G290:G301)</f>
        <v>781680</v>
      </c>
      <c r="E16" s="197">
        <f>D16*Reference!$O$5</f>
        <v>4142.9040000000005</v>
      </c>
      <c r="F16" s="23">
        <f>SUM('Historical MERs'!J290:J301)</f>
        <v>0</v>
      </c>
      <c r="G16" s="208">
        <v>0.71462161861615947</v>
      </c>
      <c r="H16" s="197"/>
      <c r="I16" s="208">
        <v>207.86264233355868</v>
      </c>
      <c r="J16" s="224"/>
      <c r="K16" s="197"/>
      <c r="L16" s="197"/>
      <c r="M16" s="208">
        <v>0</v>
      </c>
      <c r="N16" s="197"/>
      <c r="O16" s="208">
        <v>0</v>
      </c>
      <c r="P16" s="3"/>
      <c r="Q16" s="3"/>
    </row>
    <row r="17" spans="1:38">
      <c r="A17" s="27" t="s">
        <v>252</v>
      </c>
      <c r="B17" s="23">
        <f>SUM('Historical MERs'!D302:D313)</f>
        <v>38222229</v>
      </c>
      <c r="C17" s="316">
        <f>B17*0.001*Reference!H9*Reference!$D$4</f>
        <v>23925.470269263838</v>
      </c>
      <c r="D17" s="23">
        <f>SUM('Historical MERs'!G302:G313)</f>
        <v>937067</v>
      </c>
      <c r="E17" s="197">
        <f>D17*Reference!$O$5</f>
        <v>4966.4551000000001</v>
      </c>
      <c r="F17" s="23">
        <f>SUM('Historical MERs'!J302:J313)</f>
        <v>0</v>
      </c>
      <c r="G17" s="208">
        <v>0.69424492007786331</v>
      </c>
      <c r="H17" s="197"/>
      <c r="I17" s="208">
        <v>201.93565343500472</v>
      </c>
      <c r="J17" s="224"/>
      <c r="K17" s="197"/>
      <c r="L17" s="3"/>
      <c r="M17" s="208">
        <v>0</v>
      </c>
      <c r="N17" s="197"/>
      <c r="O17" s="208">
        <v>0</v>
      </c>
      <c r="P17" s="3"/>
      <c r="Q17" s="3"/>
    </row>
    <row r="18" spans="1:38">
      <c r="A18" s="27" t="s">
        <v>253</v>
      </c>
      <c r="B18" s="23">
        <f>SUM('Historical MERs'!D314:D325)</f>
        <v>37536770</v>
      </c>
      <c r="C18" s="316">
        <f>B18*0.001*Reference!H10*Reference!$D$4</f>
        <v>22355.635072703924</v>
      </c>
      <c r="D18" s="23">
        <f>SUM('Historical MERs'!G314:G325)</f>
        <v>927747</v>
      </c>
      <c r="E18" s="197">
        <f>D18*Reference!$O$5</f>
        <v>4917.0591000000004</v>
      </c>
      <c r="F18" s="23">
        <f>SUM('Historical MERs'!J314:J325)</f>
        <v>0</v>
      </c>
      <c r="G18" s="208">
        <v>1.2774243504</v>
      </c>
      <c r="H18" s="197"/>
      <c r="I18" s="208">
        <v>217.93865398760005</v>
      </c>
      <c r="J18" s="224"/>
      <c r="K18" s="197"/>
      <c r="L18" s="197"/>
      <c r="M18" s="208">
        <v>0</v>
      </c>
      <c r="N18" s="197"/>
      <c r="O18" s="208">
        <v>0</v>
      </c>
      <c r="P18" s="3"/>
      <c r="Q18" s="3"/>
    </row>
    <row r="19" spans="1:38">
      <c r="A19" s="27" t="s">
        <v>254</v>
      </c>
      <c r="B19" s="23">
        <f>SUM('Historical MERs'!D326:D337)</f>
        <v>37218159</v>
      </c>
      <c r="C19" s="316">
        <f>B19*0.001*Reference!H11*Reference!$D$4</f>
        <v>21456.843014129689</v>
      </c>
      <c r="D19" s="23">
        <f>SUM('Historical MERs'!G326:G337)</f>
        <v>751612</v>
      </c>
      <c r="E19" s="197">
        <f>D19*Reference!$O$5</f>
        <v>3983.5436</v>
      </c>
      <c r="F19" s="23">
        <f>SUM('Historical MERs'!J326:J337)</f>
        <v>0</v>
      </c>
      <c r="G19" s="208">
        <v>0.16312002600000006</v>
      </c>
      <c r="H19" s="3"/>
      <c r="I19" s="208">
        <v>204.28825000079999</v>
      </c>
      <c r="J19" s="224"/>
      <c r="K19" s="3"/>
      <c r="L19" s="3"/>
      <c r="M19" s="208">
        <v>16.461653999999999</v>
      </c>
      <c r="N19" s="3"/>
      <c r="O19" s="208">
        <v>12.416698</v>
      </c>
      <c r="P19" s="3"/>
      <c r="Q19" s="3"/>
    </row>
    <row r="20" spans="1:38">
      <c r="A20" s="27" t="s">
        <v>255</v>
      </c>
      <c r="B20" s="23">
        <f>SUM('Historical MERs'!D338:D349)</f>
        <v>37428458</v>
      </c>
      <c r="C20" s="316">
        <f>B20*0.001*Reference!H12*Reference!$D$4</f>
        <v>20983.879913724097</v>
      </c>
      <c r="D20" s="23">
        <f>SUM('Historical MERs'!G338:G349)</f>
        <v>734117</v>
      </c>
      <c r="E20" s="197">
        <f>D20*Reference!$O$5</f>
        <v>3890.8200999999999</v>
      </c>
      <c r="F20" s="23">
        <f>SUM('Historical MERs'!J338:J349)</f>
        <v>452.5</v>
      </c>
      <c r="G20" s="23">
        <f>F20*Reference!$O$3*Reference!$D$4</f>
        <v>4.5976085119999999</v>
      </c>
      <c r="H20" s="223"/>
      <c r="I20" s="23"/>
      <c r="J20" s="23">
        <f>SUM('Historical MERs'!P338:P349)</f>
        <v>291.34666666666669</v>
      </c>
      <c r="K20" s="23">
        <f>J20*Reference!$O$2*Reference!$D$4</f>
        <v>1.6783369687786667</v>
      </c>
      <c r="L20" s="23">
        <f>SUM('Historical MERs'!N338:N349)</f>
        <v>1521.1399999999999</v>
      </c>
      <c r="M20" s="23">
        <f>L20*Reference!$O$3*Reference!$D$4</f>
        <v>15.455483341311997</v>
      </c>
      <c r="N20" s="197">
        <v>25832.76</v>
      </c>
      <c r="O20" s="23">
        <f>N20*Reference!$O$4*Reference!$D$4</f>
        <v>229.66365216883202</v>
      </c>
      <c r="P20" s="3"/>
      <c r="Q20" s="3"/>
    </row>
    <row r="21" spans="1:38">
      <c r="A21" s="27" t="s">
        <v>256</v>
      </c>
      <c r="B21" s="23">
        <f>SUM('Historical MERs'!D350:D361)</f>
        <v>39099420</v>
      </c>
      <c r="C21" s="316">
        <f>B21*0.001*Reference!H13*Reference!$D$4</f>
        <v>21424.10241290112</v>
      </c>
      <c r="D21" s="23">
        <f>SUM('Historical MERs'!G350:G361)</f>
        <v>693459</v>
      </c>
      <c r="E21" s="197">
        <f>D21*Reference!$O$5</f>
        <v>3675.3326999999999</v>
      </c>
      <c r="F21" s="23">
        <f>SUM('Historical MERs'!J350:J361)</f>
        <v>1138</v>
      </c>
      <c r="G21" s="23">
        <f>F21*Reference!$O$3*Reference!$D$4</f>
        <v>11.562604390399999</v>
      </c>
      <c r="H21" s="223"/>
      <c r="I21" s="224"/>
      <c r="J21" s="23">
        <f>SUM('Historical MERs'!P350:P361)</f>
        <v>565.93333333333328</v>
      </c>
      <c r="K21" s="23">
        <f>J21*Reference!$O$2*Reference!$D$4</f>
        <v>3.260125973173333</v>
      </c>
      <c r="L21" s="23">
        <f>SUM('Historical MERs'!N350:N361)</f>
        <v>2217.59</v>
      </c>
      <c r="M21" s="23">
        <f>L21*Reference!$O$3*Reference!$D$4</f>
        <v>22.531736265472002</v>
      </c>
      <c r="N21" s="197">
        <v>25814.76</v>
      </c>
      <c r="O21" s="23">
        <f>N21*Reference!$O$4*Reference!$D$4</f>
        <v>229.50362491123201</v>
      </c>
      <c r="P21" s="3"/>
      <c r="Q21" s="3"/>
    </row>
    <row r="22" spans="1:38">
      <c r="A22" s="27" t="s">
        <v>257</v>
      </c>
      <c r="B22" s="23">
        <f>SUM('Historical MERs'!D362:D373)</f>
        <v>38036289</v>
      </c>
      <c r="C22" s="316">
        <f>B22*0.001*Reference!H14*Reference!$D$4</f>
        <v>19754.635078100764</v>
      </c>
      <c r="D22" s="23">
        <f>SUM('Historical MERs'!G362:G373)</f>
        <v>766136</v>
      </c>
      <c r="E22" s="197">
        <f>D22*Reference!$O$5</f>
        <v>4060.5208000000002</v>
      </c>
      <c r="F22" s="23">
        <f>SUM('Historical MERs'!J362:J373)</f>
        <v>0</v>
      </c>
      <c r="G22" s="208">
        <f>AVERAGE($G$21,$G$24)</f>
        <v>6.0149927935999994</v>
      </c>
      <c r="H22" s="223"/>
      <c r="I22" s="224"/>
      <c r="J22" s="23">
        <f>SUM('Historical MERs'!P362:P373)</f>
        <v>0</v>
      </c>
      <c r="K22" s="208">
        <f>AVERAGE(K21,K24)</f>
        <v>1.9180939065866665</v>
      </c>
      <c r="L22" s="23">
        <f>SUM('Historical MERs'!N362:N373)</f>
        <v>778.30999999999983</v>
      </c>
      <c r="M22" s="23">
        <f>L22*Reference!$O$3*Reference!$D$4</f>
        <v>7.9079882452479984</v>
      </c>
      <c r="N22" s="197">
        <v>22313.51</v>
      </c>
      <c r="O22" s="23">
        <f>N22*Reference!$O$4*Reference!$D$4</f>
        <v>198.37610070723198</v>
      </c>
      <c r="P22" s="3"/>
      <c r="Q22" s="3"/>
    </row>
    <row r="23" spans="1:38">
      <c r="A23" s="27" t="s">
        <v>258</v>
      </c>
      <c r="B23" s="23">
        <f>SUM('Historical MERs'!D374:D385)</f>
        <v>37365941.32</v>
      </c>
      <c r="C23" s="316">
        <f>B23*0.001*Reference!H15*Reference!$D$4</f>
        <v>18575.9856925227</v>
      </c>
      <c r="D23" s="23">
        <f>SUM('Historical MERs'!G374:G385)</f>
        <v>813322</v>
      </c>
      <c r="E23" s="197">
        <f>D23*Reference!$O$5</f>
        <v>4310.6066000000001</v>
      </c>
      <c r="F23" s="23">
        <f>SUM('Historical MERs'!J374:J385)</f>
        <v>0</v>
      </c>
      <c r="G23" s="208">
        <f>AVERAGE($G$21,$G$24)</f>
        <v>6.0149927935999994</v>
      </c>
      <c r="H23" s="223"/>
      <c r="I23" s="224"/>
      <c r="J23" s="23">
        <f>SUM('Historical MERs'!P374:P385)</f>
        <v>0</v>
      </c>
      <c r="K23" s="208">
        <f>AVERAGE(K21,K24)</f>
        <v>1.9180939065866665</v>
      </c>
      <c r="L23" s="23">
        <f>SUM('Historical MERs'!N374:N385)</f>
        <v>284.81</v>
      </c>
      <c r="M23" s="23">
        <f>L23*Reference!$O$3*Reference!$D$4</f>
        <v>2.8938008404479998</v>
      </c>
      <c r="N23" s="197">
        <v>16194.180000000002</v>
      </c>
      <c r="O23" s="23">
        <f>N23*Reference!$O$4*Reference!$D$4</f>
        <v>143.97278969337603</v>
      </c>
      <c r="P23" s="3"/>
      <c r="Q23" s="3"/>
      <c r="AJ23" s="66"/>
      <c r="AK23" s="66"/>
      <c r="AL23" s="66"/>
    </row>
    <row r="24" spans="1:38">
      <c r="A24" s="27" t="s">
        <v>259</v>
      </c>
      <c r="B24" s="23">
        <f>SUM('Historical MERs'!D386:D397)</f>
        <v>39105731</v>
      </c>
      <c r="C24" s="316">
        <f>B24*0.001*Reference!H16*Reference!$D$4</f>
        <v>20363.277652643297</v>
      </c>
      <c r="D24" s="23">
        <f>SUM('Historical MERs'!G386:G397)</f>
        <v>839900.28</v>
      </c>
      <c r="E24" s="197">
        <f>D24*Reference!$O$5</f>
        <v>4451.4714840000006</v>
      </c>
      <c r="F24" s="23">
        <f>SUM('Historical MERs'!J386:J397)</f>
        <v>46</v>
      </c>
      <c r="G24" s="23">
        <f>F24*Reference!$O$3*Reference!$D$4</f>
        <v>0.46738119679999995</v>
      </c>
      <c r="H24" s="223"/>
      <c r="I24" s="224"/>
      <c r="J24" s="23">
        <f>SUM('Historical MERs'!P386:P397)</f>
        <v>100</v>
      </c>
      <c r="K24" s="23">
        <f>J24*Reference!$O$2*Reference!$D$4</f>
        <v>0.57606184000000005</v>
      </c>
      <c r="L24" s="23">
        <f>SUM('Historical MERs'!N386:N397)</f>
        <v>726.66</v>
      </c>
      <c r="M24" s="23">
        <f>L24*Reference!$O$3*Reference!$D$4</f>
        <v>7.3832004449279989</v>
      </c>
      <c r="N24" s="197">
        <v>16994.18</v>
      </c>
      <c r="O24" s="23">
        <f>N24*Reference!$O$4*Reference!$D$4</f>
        <v>151.085112253376</v>
      </c>
      <c r="P24" s="3"/>
      <c r="Q24" s="3"/>
      <c r="AJ24" s="66"/>
      <c r="AK24" s="66"/>
      <c r="AL24" s="66"/>
    </row>
    <row r="25" spans="1:38">
      <c r="A25" s="27" t="s">
        <v>260</v>
      </c>
      <c r="B25" s="23">
        <f>SUM('Historical MERs'!D398:D409)</f>
        <v>40563943</v>
      </c>
      <c r="C25" s="316">
        <f>B25*0.001*Reference!H17*Reference!$D$4</f>
        <v>19945.036356049503</v>
      </c>
      <c r="D25" s="23">
        <f>SUM('Historical MERs'!G398:G409)</f>
        <v>798569</v>
      </c>
      <c r="E25" s="197">
        <f>D25*Reference!$O$5</f>
        <v>4232.4157000000005</v>
      </c>
      <c r="F25" s="23">
        <f>SUM('Historical MERs'!J398:J409)</f>
        <v>2894.42</v>
      </c>
      <c r="G25" s="23">
        <f>F25*Reference!$O$3*Reference!$D$4</f>
        <v>29.408640948735997</v>
      </c>
      <c r="H25" s="223"/>
      <c r="I25" s="224"/>
      <c r="J25" s="23">
        <f>SUM('Historical MERs'!P398:P409)</f>
        <v>2009.3</v>
      </c>
      <c r="K25" s="23">
        <f>J25*Reference!$O$2*Reference!$D$4</f>
        <v>11.574810551119999</v>
      </c>
      <c r="L25" s="23">
        <f>SUM('Historical MERs'!N398:N409)</f>
        <v>1920.64</v>
      </c>
      <c r="M25" s="23">
        <f>L25*Reference!$O$3*Reference!$D$4</f>
        <v>19.514587430912002</v>
      </c>
      <c r="N25" s="197">
        <v>24875.87</v>
      </c>
      <c r="O25" s="23">
        <f>N25*Reference!$O$4*Reference!$D$4</f>
        <v>221.156514250784</v>
      </c>
      <c r="P25" s="3"/>
      <c r="Q25" s="3"/>
      <c r="AJ25" s="66"/>
      <c r="AK25" s="66"/>
      <c r="AL25" s="66"/>
    </row>
    <row r="26" spans="1:38">
      <c r="A26" s="27" t="s">
        <v>57</v>
      </c>
      <c r="B26" s="23">
        <f>SUM('Historical MERs'!D410:D421)</f>
        <v>40430210</v>
      </c>
      <c r="C26" s="315">
        <f>B26*0.001*Reference!H18*Reference!$D$4</f>
        <v>21089.642786468001</v>
      </c>
      <c r="D26" s="23">
        <f>SUM('Historical MERs'!G410:G421)</f>
        <v>699926</v>
      </c>
      <c r="E26" s="197">
        <f>D26*Reference!$O$5</f>
        <v>3709.6078000000002</v>
      </c>
      <c r="F26" s="23">
        <f>SUM('Historical MERs'!J410:J421)</f>
        <v>2535</v>
      </c>
      <c r="G26" s="23">
        <f>F26*Reference!$O$3*Reference!$D$4</f>
        <v>25.756768128000001</v>
      </c>
      <c r="H26" s="223"/>
      <c r="I26" s="224"/>
      <c r="J26" s="23">
        <f>SUM('Historical MERs'!P410:P421)</f>
        <v>120</v>
      </c>
      <c r="K26" s="23">
        <f>J26*Reference!$O$2*Reference!$D$4</f>
        <v>0.69127420800000006</v>
      </c>
      <c r="L26" s="23">
        <f>SUM('Historical MERs'!N410:N421)</f>
        <v>39.370000000000005</v>
      </c>
      <c r="M26" s="23">
        <f>L26*Reference!$O$3*Reference!$D$4</f>
        <v>0.40001734169600001</v>
      </c>
      <c r="N26" s="197">
        <v>19493.400000000001</v>
      </c>
      <c r="O26" s="23">
        <f>N26*Reference!$O$4*Reference!$D$4</f>
        <v>173.30418573888002</v>
      </c>
      <c r="P26" s="3"/>
      <c r="Q26" s="3"/>
      <c r="AJ26" s="66"/>
      <c r="AK26" s="66"/>
      <c r="AL26" s="66"/>
    </row>
    <row r="27" spans="1:38">
      <c r="A27" s="27" t="s">
        <v>64</v>
      </c>
      <c r="B27" s="23">
        <f>SUM('Historical MERs'!D422:D433)</f>
        <v>39439257</v>
      </c>
      <c r="C27" s="315">
        <f>((B27*0.001)*Reference!H19*Reference!$D$4)</f>
        <v>20644.288506160174</v>
      </c>
      <c r="D27" s="23">
        <f>SUM('Historical MERs'!G422:G433)</f>
        <v>701593</v>
      </c>
      <c r="E27" s="197">
        <f>D27*Reference!$O$5</f>
        <v>3718.4429</v>
      </c>
      <c r="F27" s="23">
        <f>SUM('Historical MERs'!J422:J433)</f>
        <v>1756</v>
      </c>
      <c r="G27" s="23">
        <f>F27*Reference!$O$3*Reference!$D$4</f>
        <v>17.841769164799999</v>
      </c>
      <c r="H27" s="223"/>
      <c r="I27" s="224"/>
      <c r="J27" s="23">
        <f>SUM('Historical MERs'!P422:P433)</f>
        <v>44</v>
      </c>
      <c r="K27" s="23">
        <f>J27*Reference!$O$2*Reference!$D$4</f>
        <v>0.25346720959999997</v>
      </c>
      <c r="L27" s="23">
        <f>SUM('Historical MERs'!N422:N433)</f>
        <v>0</v>
      </c>
      <c r="M27" s="23">
        <f>L27*Reference!$O$3*Reference!$D$4</f>
        <v>0</v>
      </c>
      <c r="N27" s="197">
        <v>20319.21</v>
      </c>
      <c r="O27" s="23">
        <f>N27*Reference!$O$4*Reference!$D$4</f>
        <v>180.645969605472</v>
      </c>
      <c r="P27" s="3"/>
      <c r="Q27" s="3"/>
    </row>
    <row r="28" spans="1:38">
      <c r="A28" s="27" t="s">
        <v>65</v>
      </c>
      <c r="B28" s="23">
        <f>SUM('Historical MERs'!D434:D445)</f>
        <v>42169248</v>
      </c>
      <c r="C28" s="315">
        <f>((B28*0.001))*Reference!H20*Reference!$D$4</f>
        <v>21633.353532400895</v>
      </c>
      <c r="D28" s="23">
        <f>SUM('Historical MERs'!G434:G445)</f>
        <v>570066</v>
      </c>
      <c r="E28" s="197">
        <f>D28*Reference!$O$5</f>
        <v>3021.3498</v>
      </c>
      <c r="F28" s="23">
        <f>SUM('Historical MERs'!J434:J445)</f>
        <v>2105.8000000000002</v>
      </c>
      <c r="G28" s="23">
        <f>F28*Reference!$O$3*Reference!$D$4</f>
        <v>21.39589835264</v>
      </c>
      <c r="H28" s="223"/>
      <c r="I28" s="224"/>
      <c r="J28" s="23">
        <f>SUM('Historical MERs'!P434:P445)</f>
        <v>141.86000000000001</v>
      </c>
      <c r="K28" s="23">
        <f>J28*Reference!$O$2*Reference!$D$4</f>
        <v>0.81720132622399999</v>
      </c>
      <c r="L28" s="23">
        <f>SUM('Historical MERs'!N434:N445)</f>
        <v>131.69999999999999</v>
      </c>
      <c r="M28" s="23">
        <f>L28*Reference!$O$3*Reference!$D$4</f>
        <v>1.3381326873599997</v>
      </c>
      <c r="N28" s="197">
        <v>24602.389999999996</v>
      </c>
      <c r="O28" s="23">
        <f>N28*Reference!$O$4*Reference!$D$4</f>
        <v>218.72516678364798</v>
      </c>
      <c r="P28" s="3"/>
      <c r="Q28" s="3"/>
    </row>
    <row r="29" spans="1:38">
      <c r="A29" s="27" t="s">
        <v>117</v>
      </c>
      <c r="B29" s="23">
        <f>SUM('Historical MERs'!D446:D457)</f>
        <v>40372423</v>
      </c>
      <c r="C29" s="315">
        <f>((B29*0.001))*Reference!H21*Reference!$D$4</f>
        <v>15272.715149908947</v>
      </c>
      <c r="D29" s="23">
        <f>SUM('Historical MERs'!G446:G457)</f>
        <v>674699</v>
      </c>
      <c r="E29" s="197">
        <f>D29*Reference!$O$5</f>
        <v>3575.9047</v>
      </c>
      <c r="F29" s="23">
        <f>SUM('Historical MERs'!J446:J457)</f>
        <v>0</v>
      </c>
      <c r="G29" s="23">
        <f t="shared" ref="G29:G30" si="0">F29*22.4*0.000453592</f>
        <v>0</v>
      </c>
      <c r="H29" s="223"/>
      <c r="I29" s="224"/>
      <c r="J29" s="23">
        <f>SUM('Historical MERs'!P446:P457)</f>
        <v>12</v>
      </c>
      <c r="K29" s="23">
        <f>J29*Reference!$O$2*Reference!$D$4</f>
        <v>6.9127420799999992E-2</v>
      </c>
      <c r="L29" s="23">
        <f>SUM('Historical MERs'!N446:N457)</f>
        <v>72.3</v>
      </c>
      <c r="M29" s="23">
        <f>L29*Reference!$O$3*Reference!$D$4</f>
        <v>0.73460131583999988</v>
      </c>
      <c r="N29" s="197">
        <v>20178.22</v>
      </c>
      <c r="O29" s="23">
        <f>N29*Reference!$O$4*Reference!$D$4</f>
        <v>179.39251165830402</v>
      </c>
      <c r="P29" s="3"/>
      <c r="Q29" s="3"/>
    </row>
    <row r="30" spans="1:38" s="66" customFormat="1">
      <c r="A30" s="27" t="s">
        <v>125</v>
      </c>
      <c r="B30" s="23">
        <f>SUM('Historical MERs'!D458:D469)</f>
        <v>38900071</v>
      </c>
      <c r="C30" s="315">
        <f>((B30*0.001))*Reference!H21*Reference!$D$4</f>
        <v>14715.730678196689</v>
      </c>
      <c r="D30" s="23">
        <f>SUM('Historical MERs'!G458:G469)</f>
        <v>557186</v>
      </c>
      <c r="E30" s="197">
        <f>D30*Reference!$O$5</f>
        <v>2953.0857999999998</v>
      </c>
      <c r="F30" s="23">
        <f>SUM('Historical MERs'!J458:J469)</f>
        <v>0</v>
      </c>
      <c r="G30" s="23">
        <f t="shared" si="0"/>
        <v>0</v>
      </c>
      <c r="H30" s="223"/>
      <c r="I30" s="224"/>
      <c r="J30" s="23">
        <f>SUM('Historical MERs'!P458:P469)</f>
        <v>0</v>
      </c>
      <c r="K30" s="23">
        <f t="shared" ref="K30" si="1">J30*12.7*0.000453592</f>
        <v>0</v>
      </c>
      <c r="L30" s="197">
        <f>SUM('Historical MERs'!N458:N469)</f>
        <v>2088.7000000000003</v>
      </c>
      <c r="M30" s="23">
        <f>L30*Reference!$O$3*Reference!$D$4</f>
        <v>21.222154472960003</v>
      </c>
      <c r="N30" s="197">
        <f>SUM('Historical MERs'!L458:L469)</f>
        <v>24954.91</v>
      </c>
      <c r="O30" s="23">
        <f>N30*Reference!$O$4*Reference!$D$4</f>
        <v>221.85921171971202</v>
      </c>
      <c r="P30" s="197">
        <v>2966157.39</v>
      </c>
      <c r="Q30" s="197">
        <v>22745.599999999999</v>
      </c>
      <c r="R30" s="74">
        <f>$B$30/P30</f>
        <v>13.114634823878985</v>
      </c>
      <c r="S30" s="74">
        <f>$B$30/Q30</f>
        <v>1710.2239993669107</v>
      </c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>
      <c r="R31" s="96">
        <f>R30/R3</f>
        <v>0.76378778256975655</v>
      </c>
      <c r="S31" s="96">
        <f>S30/S3</f>
        <v>0.78106759139685977</v>
      </c>
    </row>
    <row r="32" spans="1:38" s="66" customFormat="1">
      <c r="C32" s="96"/>
      <c r="R32" s="96">
        <f>1-R31</f>
        <v>0.23621221743024345</v>
      </c>
      <c r="S32" s="96">
        <f>1-S31</f>
        <v>0.21893240860314023</v>
      </c>
    </row>
    <row r="33" spans="2:5">
      <c r="B33" s="96"/>
    </row>
    <row r="34" spans="2:5" ht="24">
      <c r="D34" s="74"/>
      <c r="E34" s="305"/>
    </row>
    <row r="35" spans="2:5">
      <c r="D35" s="74"/>
      <c r="E35" s="306"/>
    </row>
    <row r="36" spans="2:5">
      <c r="D36" s="74">
        <f>SUM(D34:D35)</f>
        <v>0</v>
      </c>
    </row>
    <row r="50" spans="34:35">
      <c r="AH50" s="66"/>
      <c r="AI50" s="66"/>
    </row>
    <row r="51" spans="34:35">
      <c r="AH51" s="66"/>
      <c r="AI51" s="66"/>
    </row>
    <row r="52" spans="34:35">
      <c r="AH52" s="66"/>
      <c r="AI52" s="66"/>
    </row>
    <row r="67" spans="35:37">
      <c r="AI67" s="66"/>
      <c r="AJ67" s="66"/>
      <c r="AK67" s="66"/>
    </row>
    <row r="68" spans="35:37">
      <c r="AI68" s="66"/>
      <c r="AJ68" s="66"/>
      <c r="AK68" s="66"/>
    </row>
    <row r="69" spans="35:37">
      <c r="AI69" s="66"/>
      <c r="AJ69" s="66"/>
    </row>
  </sheetData>
  <mergeCells count="7">
    <mergeCell ref="F1:G1"/>
    <mergeCell ref="J1:K1"/>
    <mergeCell ref="B1:C1"/>
    <mergeCell ref="N1:O1"/>
    <mergeCell ref="H1:I1"/>
    <mergeCell ref="D1:E1"/>
    <mergeCell ref="L1:M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"/>
  <sheetViews>
    <sheetView workbookViewId="0">
      <selection activeCell="M30" sqref="M30"/>
    </sheetView>
  </sheetViews>
  <sheetFormatPr defaultColWidth="71.7109375" defaultRowHeight="15"/>
  <cols>
    <col min="1" max="1" width="5" bestFit="1" customWidth="1"/>
    <col min="2" max="2" width="23.85546875" bestFit="1" customWidth="1"/>
    <col min="3" max="3" width="15.42578125" bestFit="1" customWidth="1"/>
    <col min="4" max="4" width="13.28515625" bestFit="1" customWidth="1"/>
    <col min="5" max="5" width="12" bestFit="1" customWidth="1"/>
    <col min="6" max="6" width="19.7109375" bestFit="1" customWidth="1"/>
    <col min="7" max="7" width="21" bestFit="1" customWidth="1"/>
    <col min="8" max="8" width="19.140625" bestFit="1" customWidth="1"/>
    <col min="9" max="9" width="10.7109375" bestFit="1" customWidth="1"/>
    <col min="10" max="10" width="8.28515625" bestFit="1" customWidth="1"/>
    <col min="11" max="11" width="8.5703125" bestFit="1" customWidth="1"/>
    <col min="12" max="12" width="9.5703125" bestFit="1" customWidth="1"/>
    <col min="13" max="13" width="15" style="66" bestFit="1" customWidth="1"/>
    <col min="14" max="14" width="10.140625" style="66" bestFit="1" customWidth="1"/>
    <col min="15" max="15" width="8" style="66" customWidth="1"/>
    <col min="16" max="16" width="3" bestFit="1" customWidth="1"/>
    <col min="17" max="17" width="5" bestFit="1" customWidth="1"/>
    <col min="18" max="18" width="23.85546875" style="66" bestFit="1" customWidth="1"/>
    <col min="19" max="21" width="17" bestFit="1" customWidth="1"/>
    <col min="22" max="22" width="19" bestFit="1" customWidth="1"/>
    <col min="23" max="23" width="14.7109375" bestFit="1" customWidth="1"/>
    <col min="24" max="25" width="11.85546875" bestFit="1" customWidth="1"/>
    <col min="26" max="26" width="10.7109375" customWidth="1"/>
    <col min="27" max="27" width="9.140625" bestFit="1" customWidth="1"/>
    <col min="28" max="28" width="7.7109375" bestFit="1" customWidth="1"/>
    <col min="29" max="29" width="8.5703125" bestFit="1" customWidth="1"/>
    <col min="31" max="31" width="5.5703125" bestFit="1" customWidth="1"/>
    <col min="32" max="32" width="21" bestFit="1" customWidth="1"/>
    <col min="33" max="33" width="19.28515625" bestFit="1" customWidth="1"/>
    <col min="34" max="34" width="9.42578125" bestFit="1" customWidth="1"/>
    <col min="35" max="35" width="8" bestFit="1" customWidth="1"/>
    <col min="36" max="36" width="8.140625" bestFit="1" customWidth="1"/>
    <col min="37" max="37" width="9.140625" bestFit="1" customWidth="1"/>
  </cols>
  <sheetData>
    <row r="1" spans="1:38">
      <c r="A1" s="66"/>
      <c r="B1" s="66"/>
      <c r="C1" s="353" t="s">
        <v>203</v>
      </c>
      <c r="D1" s="353"/>
      <c r="E1" s="353"/>
      <c r="F1" s="252" t="s">
        <v>204</v>
      </c>
      <c r="G1" s="353" t="s">
        <v>205</v>
      </c>
      <c r="H1" s="353"/>
      <c r="I1" s="353"/>
      <c r="J1" s="353"/>
      <c r="K1" s="353"/>
      <c r="L1" s="14" t="s">
        <v>34</v>
      </c>
      <c r="M1" s="14" t="s">
        <v>464</v>
      </c>
      <c r="N1" s="14" t="s">
        <v>465</v>
      </c>
      <c r="P1" s="66"/>
      <c r="Q1" s="66"/>
      <c r="S1" s="66" t="s">
        <v>203</v>
      </c>
      <c r="T1" s="66" t="s">
        <v>204</v>
      </c>
      <c r="U1" s="66" t="s">
        <v>205</v>
      </c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>
      <c r="A2" s="66"/>
      <c r="B2" s="3" t="s">
        <v>261</v>
      </c>
      <c r="C2" s="3" t="s">
        <v>196</v>
      </c>
      <c r="D2" s="3" t="s">
        <v>201</v>
      </c>
      <c r="E2" s="3" t="s">
        <v>202</v>
      </c>
      <c r="F2" s="3" t="s">
        <v>13</v>
      </c>
      <c r="G2" s="261" t="s">
        <v>206</v>
      </c>
      <c r="H2" s="261" t="s">
        <v>99</v>
      </c>
      <c r="I2" s="261" t="s">
        <v>18</v>
      </c>
      <c r="J2" s="261" t="s">
        <v>200</v>
      </c>
      <c r="K2" s="261" t="s">
        <v>68</v>
      </c>
      <c r="L2" s="14" t="s">
        <v>34</v>
      </c>
      <c r="M2" s="14" t="s">
        <v>462</v>
      </c>
      <c r="N2" s="3"/>
      <c r="P2" s="66"/>
      <c r="S2" t="s">
        <v>426</v>
      </c>
      <c r="T2" t="s">
        <v>427</v>
      </c>
      <c r="U2" s="66" t="s">
        <v>428</v>
      </c>
      <c r="V2" t="s">
        <v>282</v>
      </c>
      <c r="W2" s="66" t="s">
        <v>269</v>
      </c>
      <c r="X2" s="66" t="s">
        <v>267</v>
      </c>
      <c r="Y2" s="66" t="s">
        <v>268</v>
      </c>
    </row>
    <row r="3" spans="1:38">
      <c r="A3" s="206">
        <v>1990</v>
      </c>
      <c r="B3" s="27" t="s">
        <v>238</v>
      </c>
      <c r="C3" s="315">
        <f>'Historical Summary'!E3+'Historical Summary'!G3+'Historical Summary'!I3+'Historical Summary'!K3</f>
        <v>3702.52130460841</v>
      </c>
      <c r="D3" s="315">
        <f>'Historical Summary'!M3+'Historical Summary'!O3</f>
        <v>0</v>
      </c>
      <c r="E3" s="316"/>
      <c r="F3" s="315">
        <f>'Historical Summary'!C3</f>
        <v>25009.165789394701</v>
      </c>
      <c r="G3" s="315"/>
      <c r="H3" s="315"/>
      <c r="I3" s="315"/>
      <c r="J3" s="315"/>
      <c r="K3" s="315"/>
      <c r="L3" s="315"/>
      <c r="M3" s="303">
        <f>SUM(C3:F3)/Reference!B13</f>
        <v>1.7561201929112884</v>
      </c>
      <c r="N3" s="3"/>
      <c r="P3" s="66">
        <v>1</v>
      </c>
      <c r="Q3" s="204">
        <v>1990</v>
      </c>
      <c r="R3" s="204"/>
      <c r="S3" s="317">
        <f>SUM(C3:E3)</f>
        <v>3702.52130460841</v>
      </c>
      <c r="T3" s="205">
        <f t="shared" ref="T3:T30" si="0">F3</f>
        <v>25009.165789394701</v>
      </c>
      <c r="U3" s="205"/>
      <c r="V3" s="205">
        <f t="shared" ref="V3:V29" si="1">SUM(S3:T3)</f>
        <v>28711.687094003111</v>
      </c>
      <c r="W3" s="205">
        <f>SUM(S3:U3)</f>
        <v>28711.687094003111</v>
      </c>
      <c r="X3" s="205">
        <f t="shared" ref="X3:X30" si="2">S3</f>
        <v>3702.52130460841</v>
      </c>
      <c r="Y3" s="205">
        <f>V3</f>
        <v>28711.687094003111</v>
      </c>
      <c r="Z3" s="205"/>
      <c r="AB3" s="66" t="s">
        <v>203</v>
      </c>
      <c r="AC3" s="66" t="s">
        <v>204</v>
      </c>
    </row>
    <row r="4" spans="1:38">
      <c r="A4" s="206">
        <v>1991</v>
      </c>
      <c r="B4" s="27" t="s">
        <v>239</v>
      </c>
      <c r="C4" s="315">
        <f>'Historical Summary'!E4+'Historical Summary'!G4+'Historical Summary'!I4+'Historical Summary'!K4</f>
        <v>3546.886864652472</v>
      </c>
      <c r="D4" s="315">
        <f>'Historical Summary'!M4+'Historical Summary'!O4</f>
        <v>0</v>
      </c>
      <c r="E4" s="316"/>
      <c r="F4" s="315">
        <f>'Historical Summary'!C4</f>
        <v>24043.848137644502</v>
      </c>
      <c r="G4" s="315"/>
      <c r="H4" s="315"/>
      <c r="I4" s="315"/>
      <c r="J4" s="315"/>
      <c r="K4" s="315"/>
      <c r="L4" s="315"/>
      <c r="M4" s="303">
        <f>SUM(C4:F4)/Reference!B14</f>
        <v>1.8034692491713002</v>
      </c>
      <c r="N4" s="3"/>
      <c r="P4" s="66">
        <v>2</v>
      </c>
      <c r="Q4" s="204">
        <v>1991</v>
      </c>
      <c r="R4" s="204"/>
      <c r="S4" s="317">
        <f t="shared" ref="S4:S30" si="3">SUM(C4:E4)</f>
        <v>3546.886864652472</v>
      </c>
      <c r="T4" s="205">
        <f t="shared" si="0"/>
        <v>24043.848137644502</v>
      </c>
      <c r="U4" s="205"/>
      <c r="V4" s="205">
        <f t="shared" si="1"/>
        <v>27590.735002296973</v>
      </c>
      <c r="W4" s="205">
        <f t="shared" ref="W4:W30" si="4">SUM(S4:U4)</f>
        <v>27590.735002296973</v>
      </c>
      <c r="X4" s="205">
        <f t="shared" si="2"/>
        <v>3546.886864652472</v>
      </c>
      <c r="Y4" s="205">
        <f t="shared" ref="Y4:Y30" si="5">V4</f>
        <v>27590.735002296973</v>
      </c>
      <c r="Z4" s="205"/>
      <c r="AA4" t="s">
        <v>265</v>
      </c>
      <c r="AB4" s="209">
        <f>INTERCEPT(S3:S30,P3:P30)</f>
        <v>3105.971698686893</v>
      </c>
      <c r="AC4" s="209">
        <f>INTERCEPT(T3:T30,P3:P30)</f>
        <v>25093.689282520354</v>
      </c>
    </row>
    <row r="5" spans="1:38" s="66" customFormat="1">
      <c r="A5" s="206">
        <v>1992</v>
      </c>
      <c r="B5" s="27" t="s">
        <v>240</v>
      </c>
      <c r="C5" s="315">
        <f>'Historical Summary'!E5+'Historical Summary'!G5+'Historical Summary'!I5+'Historical Summary'!K5</f>
        <v>2845.9289210656962</v>
      </c>
      <c r="D5" s="315">
        <f>'Historical Summary'!M5+'Historical Summary'!O5</f>
        <v>0</v>
      </c>
      <c r="E5" s="316"/>
      <c r="F5" s="315">
        <f>'Historical Summary'!C5</f>
        <v>23521.157313924301</v>
      </c>
      <c r="G5" s="315"/>
      <c r="H5" s="315"/>
      <c r="I5" s="315"/>
      <c r="J5" s="315"/>
      <c r="K5" s="315"/>
      <c r="L5" s="315"/>
      <c r="M5" s="303">
        <f>SUM(C5:F5)/Reference!B15</f>
        <v>1.8203279461911797</v>
      </c>
      <c r="N5" s="3"/>
      <c r="P5" s="66">
        <v>3</v>
      </c>
      <c r="Q5" s="204">
        <v>1992</v>
      </c>
      <c r="R5" s="204"/>
      <c r="S5" s="317">
        <f t="shared" si="3"/>
        <v>2845.9289210656962</v>
      </c>
      <c r="T5" s="205">
        <f t="shared" si="0"/>
        <v>23521.157313924301</v>
      </c>
      <c r="U5" s="205"/>
      <c r="V5" s="205">
        <f t="shared" si="1"/>
        <v>26367.086234989998</v>
      </c>
      <c r="W5" s="205">
        <f t="shared" si="4"/>
        <v>26367.086234989998</v>
      </c>
      <c r="X5" s="205">
        <f t="shared" si="2"/>
        <v>2845.9289210656962</v>
      </c>
      <c r="Y5" s="205">
        <f t="shared" si="5"/>
        <v>26367.086234989998</v>
      </c>
      <c r="Z5" s="205"/>
      <c r="AA5" t="s">
        <v>266</v>
      </c>
      <c r="AB5" s="209">
        <f>SLOPE(S3:S30,P3:P30)</f>
        <v>42.918683682124907</v>
      </c>
      <c r="AC5" s="209">
        <f>SLOPE(T3:T30,P3:P30)</f>
        <v>-231.99613326880791</v>
      </c>
      <c r="AD5"/>
      <c r="AE5"/>
      <c r="AF5"/>
      <c r="AG5"/>
      <c r="AH5"/>
      <c r="AI5"/>
      <c r="AJ5"/>
      <c r="AK5"/>
      <c r="AL5"/>
    </row>
    <row r="6" spans="1:38" s="66" customFormat="1">
      <c r="A6" s="206">
        <v>1993</v>
      </c>
      <c r="B6" s="27" t="s">
        <v>241</v>
      </c>
      <c r="C6" s="315">
        <f>'Historical Summary'!E6+'Historical Summary'!G6+'Historical Summary'!I6+'Historical Summary'!K6</f>
        <v>3055.0980928941235</v>
      </c>
      <c r="D6" s="315">
        <f>'Historical Summary'!M6+'Historical Summary'!O6</f>
        <v>0</v>
      </c>
      <c r="E6" s="316"/>
      <c r="F6" s="315">
        <f>'Historical Summary'!C6</f>
        <v>21438.583495804731</v>
      </c>
      <c r="G6" s="315"/>
      <c r="H6" s="315"/>
      <c r="I6" s="315"/>
      <c r="J6" s="315"/>
      <c r="K6" s="315"/>
      <c r="L6" s="315"/>
      <c r="M6" s="303">
        <f>SUM(C6:F6)/Reference!B16</f>
        <v>1.8123867216712928</v>
      </c>
      <c r="N6" s="3"/>
      <c r="P6" s="66">
        <v>4</v>
      </c>
      <c r="Q6" s="204">
        <v>1993</v>
      </c>
      <c r="R6" s="204"/>
      <c r="S6" s="317">
        <f t="shared" si="3"/>
        <v>3055.0980928941235</v>
      </c>
      <c r="T6" s="205">
        <f t="shared" si="0"/>
        <v>21438.583495804731</v>
      </c>
      <c r="U6" s="205"/>
      <c r="V6" s="205">
        <f t="shared" si="1"/>
        <v>24493.681588698855</v>
      </c>
      <c r="W6" s="205">
        <f t="shared" si="4"/>
        <v>24493.681588698855</v>
      </c>
      <c r="X6" s="205">
        <f t="shared" si="2"/>
        <v>3055.0980928941235</v>
      </c>
      <c r="Y6" s="205">
        <f t="shared" si="5"/>
        <v>24493.681588698855</v>
      </c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s="66" customFormat="1">
      <c r="A7" s="206">
        <v>1994</v>
      </c>
      <c r="B7" s="27" t="s">
        <v>242</v>
      </c>
      <c r="C7" s="315">
        <f>'Historical Summary'!E7+'Historical Summary'!G7+'Historical Summary'!I7+'Historical Summary'!K7</f>
        <v>2969.3669839616086</v>
      </c>
      <c r="D7" s="315">
        <f>'Historical Summary'!M7+'Historical Summary'!O7</f>
        <v>0</v>
      </c>
      <c r="E7" s="316"/>
      <c r="F7" s="315">
        <f>'Historical Summary'!C7</f>
        <v>23166.47164406467</v>
      </c>
      <c r="G7" s="315"/>
      <c r="H7" s="315"/>
      <c r="I7" s="315"/>
      <c r="J7" s="315"/>
      <c r="K7" s="315"/>
      <c r="L7" s="315"/>
      <c r="M7" s="303">
        <f>SUM(C7:F7)/Reference!B17</f>
        <v>1.8804520299039678</v>
      </c>
      <c r="N7" s="3"/>
      <c r="P7" s="66">
        <v>5</v>
      </c>
      <c r="Q7" s="204">
        <v>1994</v>
      </c>
      <c r="R7" s="204"/>
      <c r="S7" s="317">
        <f t="shared" si="3"/>
        <v>2969.3669839616086</v>
      </c>
      <c r="T7" s="205">
        <f t="shared" si="0"/>
        <v>23166.47164406467</v>
      </c>
      <c r="U7" s="205"/>
      <c r="V7" s="205">
        <f t="shared" si="1"/>
        <v>26135.838628026278</v>
      </c>
      <c r="W7" s="205">
        <f t="shared" si="4"/>
        <v>26135.838628026278</v>
      </c>
      <c r="X7" s="205">
        <f t="shared" si="2"/>
        <v>2969.3669839616086</v>
      </c>
      <c r="Y7" s="205">
        <f t="shared" si="5"/>
        <v>26135.838628026278</v>
      </c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66" customFormat="1">
      <c r="A8" s="206">
        <v>1995</v>
      </c>
      <c r="B8" s="27" t="s">
        <v>243</v>
      </c>
      <c r="C8" s="315">
        <f>'Historical Summary'!E8+'Historical Summary'!G8+'Historical Summary'!I8+'Historical Summary'!K8</f>
        <v>2542.6022843255282</v>
      </c>
      <c r="D8" s="315">
        <f>'Historical Summary'!M8+'Historical Summary'!O8</f>
        <v>0</v>
      </c>
      <c r="E8" s="316"/>
      <c r="F8" s="315">
        <f>'Historical Summary'!C8</f>
        <v>24915.650454158113</v>
      </c>
      <c r="G8" s="315"/>
      <c r="H8" s="315"/>
      <c r="I8" s="315"/>
      <c r="J8" s="315"/>
      <c r="K8" s="315"/>
      <c r="L8" s="315"/>
      <c r="M8" s="303">
        <f>SUM(C8:F8)/Reference!B18</f>
        <v>1.9741640356093726</v>
      </c>
      <c r="N8" s="3"/>
      <c r="P8" s="66">
        <v>6</v>
      </c>
      <c r="Q8" s="204">
        <v>1995</v>
      </c>
      <c r="R8" s="204"/>
      <c r="S8" s="317">
        <f t="shared" si="3"/>
        <v>2542.6022843255282</v>
      </c>
      <c r="T8" s="205">
        <f t="shared" si="0"/>
        <v>24915.650454158113</v>
      </c>
      <c r="U8" s="205"/>
      <c r="V8" s="205">
        <f t="shared" si="1"/>
        <v>27458.252738483639</v>
      </c>
      <c r="W8" s="205">
        <f t="shared" si="4"/>
        <v>27458.252738483639</v>
      </c>
      <c r="X8" s="205">
        <f t="shared" si="2"/>
        <v>2542.6022843255282</v>
      </c>
      <c r="Y8" s="205">
        <f t="shared" si="5"/>
        <v>27458.252738483639</v>
      </c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>
      <c r="A9" s="206">
        <v>1996</v>
      </c>
      <c r="B9" s="27" t="s">
        <v>244</v>
      </c>
      <c r="C9" s="315">
        <f>'Historical Summary'!E9+'Historical Summary'!G9+'Historical Summary'!I9+'Historical Summary'!K9</f>
        <v>2596.8303472705497</v>
      </c>
      <c r="D9" s="315">
        <f>'Historical Summary'!M9+'Historical Summary'!O9</f>
        <v>0</v>
      </c>
      <c r="E9" s="316"/>
      <c r="F9" s="315">
        <f>'Historical Summary'!C9</f>
        <v>24641.652869594636</v>
      </c>
      <c r="G9" s="315"/>
      <c r="H9" s="315"/>
      <c r="I9" s="315"/>
      <c r="J9" s="315"/>
      <c r="K9" s="315"/>
      <c r="L9" s="315"/>
      <c r="M9" s="303">
        <f>SUM(C9:F9)/Reference!B19</f>
        <v>1.9408232011731936</v>
      </c>
      <c r="N9" s="3"/>
      <c r="P9" s="66">
        <v>7</v>
      </c>
      <c r="Q9" s="204">
        <v>1996</v>
      </c>
      <c r="R9" s="204"/>
      <c r="S9" s="317">
        <f t="shared" si="3"/>
        <v>2596.8303472705497</v>
      </c>
      <c r="T9" s="205">
        <f t="shared" si="0"/>
        <v>24641.652869594636</v>
      </c>
      <c r="U9" s="205"/>
      <c r="V9" s="205">
        <f t="shared" si="1"/>
        <v>27238.483216865185</v>
      </c>
      <c r="W9" s="205">
        <f t="shared" si="4"/>
        <v>27238.483216865185</v>
      </c>
      <c r="X9" s="205">
        <f t="shared" si="2"/>
        <v>2596.8303472705497</v>
      </c>
      <c r="Y9" s="205">
        <f t="shared" si="5"/>
        <v>27238.483216865185</v>
      </c>
    </row>
    <row r="10" spans="1:38">
      <c r="A10" s="206">
        <v>1997</v>
      </c>
      <c r="B10" s="27" t="s">
        <v>245</v>
      </c>
      <c r="C10" s="315">
        <f>'Historical Summary'!E10+'Historical Summary'!G10+'Historical Summary'!I10+'Historical Summary'!K10</f>
        <v>3064.9859100494514</v>
      </c>
      <c r="D10" s="315">
        <f>'Historical Summary'!M10+'Historical Summary'!O10</f>
        <v>0</v>
      </c>
      <c r="E10" s="316"/>
      <c r="F10" s="315">
        <f>'Historical Summary'!C10</f>
        <v>22033.955892564529</v>
      </c>
      <c r="G10" s="315"/>
      <c r="H10" s="315"/>
      <c r="I10" s="315"/>
      <c r="J10" s="315"/>
      <c r="K10" s="315"/>
      <c r="L10" s="315"/>
      <c r="M10" s="303">
        <f>SUM(C10:F10)/Reference!B20</f>
        <v>1.7371914315209012</v>
      </c>
      <c r="N10" s="3"/>
      <c r="P10" s="66">
        <v>8</v>
      </c>
      <c r="Q10" s="204">
        <v>1997</v>
      </c>
      <c r="R10" s="204"/>
      <c r="S10" s="317">
        <f t="shared" si="3"/>
        <v>3064.9859100494514</v>
      </c>
      <c r="T10" s="205">
        <f t="shared" si="0"/>
        <v>22033.955892564529</v>
      </c>
      <c r="U10" s="205"/>
      <c r="V10" s="205">
        <f t="shared" si="1"/>
        <v>25098.941802613979</v>
      </c>
      <c r="W10" s="205">
        <f t="shared" si="4"/>
        <v>25098.941802613979</v>
      </c>
      <c r="X10" s="205">
        <f t="shared" si="2"/>
        <v>3064.9859100494514</v>
      </c>
      <c r="Y10" s="205">
        <f t="shared" si="5"/>
        <v>25098.941802613979</v>
      </c>
    </row>
    <row r="11" spans="1:38">
      <c r="A11" s="206">
        <v>1998</v>
      </c>
      <c r="B11" s="27" t="s">
        <v>246</v>
      </c>
      <c r="C11" s="315">
        <f>'Historical Summary'!E11+'Historical Summary'!G11+'Historical Summary'!I11+'Historical Summary'!K11</f>
        <v>3403.324106603302</v>
      </c>
      <c r="D11" s="315">
        <f>'Historical Summary'!M11+'Historical Summary'!O11</f>
        <v>0</v>
      </c>
      <c r="E11" s="316"/>
      <c r="F11" s="315">
        <f>'Historical Summary'!C11</f>
        <v>21623.793891853034</v>
      </c>
      <c r="G11" s="315"/>
      <c r="H11" s="315"/>
      <c r="I11" s="315"/>
      <c r="J11" s="315"/>
      <c r="K11" s="315"/>
      <c r="L11" s="315"/>
      <c r="M11" s="303">
        <f>SUM(C11:F11)/Reference!B21</f>
        <v>1.6855888789816829</v>
      </c>
      <c r="N11" s="3"/>
      <c r="P11" s="66">
        <v>9</v>
      </c>
      <c r="Q11" s="204">
        <v>1998</v>
      </c>
      <c r="R11" s="204"/>
      <c r="S11" s="317">
        <f t="shared" si="3"/>
        <v>3403.324106603302</v>
      </c>
      <c r="T11" s="205">
        <f t="shared" si="0"/>
        <v>21623.793891853034</v>
      </c>
      <c r="U11" s="205"/>
      <c r="V11" s="205">
        <f t="shared" si="1"/>
        <v>25027.117998456335</v>
      </c>
      <c r="W11" s="205">
        <f t="shared" si="4"/>
        <v>25027.117998456335</v>
      </c>
      <c r="X11" s="205">
        <f t="shared" si="2"/>
        <v>3403.324106603302</v>
      </c>
      <c r="Y11" s="205">
        <f t="shared" si="5"/>
        <v>25027.117998456335</v>
      </c>
    </row>
    <row r="12" spans="1:38">
      <c r="A12" s="206">
        <v>1999</v>
      </c>
      <c r="B12" s="27" t="s">
        <v>247</v>
      </c>
      <c r="C12" s="315">
        <f>'Historical Summary'!E12+'Historical Summary'!G12+'Historical Summary'!I12+'Historical Summary'!K12</f>
        <v>3362.8317377687417</v>
      </c>
      <c r="D12" s="315">
        <f>'Historical Summary'!M12+'Historical Summary'!O12</f>
        <v>0</v>
      </c>
      <c r="E12" s="316"/>
      <c r="F12" s="315">
        <f>'Historical Summary'!C12</f>
        <v>23793.638977575723</v>
      </c>
      <c r="G12" s="315"/>
      <c r="H12" s="315"/>
      <c r="I12" s="315"/>
      <c r="J12" s="315"/>
      <c r="K12" s="315"/>
      <c r="L12" s="315"/>
      <c r="M12" s="303">
        <f>SUM(C12:F12)/Reference!B22</f>
        <v>1.8053523231538249</v>
      </c>
      <c r="N12" s="3"/>
      <c r="P12" s="66">
        <v>10</v>
      </c>
      <c r="Q12" s="204">
        <v>1999</v>
      </c>
      <c r="R12" s="204"/>
      <c r="S12" s="317">
        <f t="shared" si="3"/>
        <v>3362.8317377687417</v>
      </c>
      <c r="T12" s="205">
        <f t="shared" si="0"/>
        <v>23793.638977575723</v>
      </c>
      <c r="U12" s="205"/>
      <c r="V12" s="205">
        <f t="shared" si="1"/>
        <v>27156.470715344465</v>
      </c>
      <c r="W12" s="205">
        <f t="shared" si="4"/>
        <v>27156.470715344465</v>
      </c>
      <c r="X12" s="205">
        <f t="shared" si="2"/>
        <v>3362.8317377687417</v>
      </c>
      <c r="Y12" s="205">
        <f t="shared" si="5"/>
        <v>27156.470715344465</v>
      </c>
    </row>
    <row r="13" spans="1:38">
      <c r="A13" s="206">
        <v>2000</v>
      </c>
      <c r="B13" s="27" t="s">
        <v>248</v>
      </c>
      <c r="C13" s="315">
        <f>'Historical Summary'!E13+'Historical Summary'!G13+'Historical Summary'!I13+'Historical Summary'!K13</f>
        <v>3294.0313189439821</v>
      </c>
      <c r="D13" s="315">
        <f>'Historical Summary'!M13+'Historical Summary'!O13</f>
        <v>0</v>
      </c>
      <c r="E13" s="316"/>
      <c r="F13" s="315">
        <f>'Historical Summary'!C13</f>
        <v>21799.080622536978</v>
      </c>
      <c r="G13" s="315"/>
      <c r="H13" s="315"/>
      <c r="I13" s="315"/>
      <c r="J13" s="315"/>
      <c r="K13" s="315"/>
      <c r="L13" s="315"/>
      <c r="M13" s="303">
        <f>SUM(C13:F13)/Reference!B23</f>
        <v>1.6476324010480086</v>
      </c>
      <c r="N13" s="3"/>
      <c r="P13" s="66">
        <v>11</v>
      </c>
      <c r="Q13" s="204">
        <v>2000</v>
      </c>
      <c r="R13" s="204"/>
      <c r="S13" s="317">
        <f t="shared" si="3"/>
        <v>3294.0313189439821</v>
      </c>
      <c r="T13" s="205">
        <f t="shared" si="0"/>
        <v>21799.080622536978</v>
      </c>
      <c r="U13" s="205"/>
      <c r="V13" s="205">
        <f t="shared" si="1"/>
        <v>25093.111941480958</v>
      </c>
      <c r="W13" s="205">
        <f t="shared" si="4"/>
        <v>25093.111941480958</v>
      </c>
      <c r="X13" s="205">
        <f t="shared" si="2"/>
        <v>3294.0313189439821</v>
      </c>
      <c r="Y13" s="205">
        <f t="shared" si="5"/>
        <v>25093.111941480958</v>
      </c>
    </row>
    <row r="14" spans="1:38">
      <c r="A14" s="206">
        <v>2001</v>
      </c>
      <c r="B14" s="27" t="s">
        <v>249</v>
      </c>
      <c r="C14" s="315">
        <f>'Historical Summary'!E14+'Historical Summary'!G14+'Historical Summary'!I14+'Historical Summary'!K14</f>
        <v>3929.7537124229834</v>
      </c>
      <c r="D14" s="315">
        <f>'Historical Summary'!M14+'Historical Summary'!O14</f>
        <v>0</v>
      </c>
      <c r="E14" s="316"/>
      <c r="F14" s="315">
        <f>'Historical Summary'!C14</f>
        <v>22836.614330799777</v>
      </c>
      <c r="G14" s="315"/>
      <c r="H14" s="315"/>
      <c r="I14" s="315"/>
      <c r="J14" s="315"/>
      <c r="K14" s="315"/>
      <c r="L14" s="315"/>
      <c r="M14" s="303">
        <f>SUM(C14:F14)/Reference!B24</f>
        <v>1.6317374261273601</v>
      </c>
      <c r="N14" s="3"/>
      <c r="P14" s="66">
        <v>12</v>
      </c>
      <c r="Q14" s="204">
        <v>2001</v>
      </c>
      <c r="R14" s="204"/>
      <c r="S14" s="317">
        <f t="shared" si="3"/>
        <v>3929.7537124229834</v>
      </c>
      <c r="T14" s="205">
        <f t="shared" si="0"/>
        <v>22836.614330799777</v>
      </c>
      <c r="U14" s="205"/>
      <c r="V14" s="205">
        <f t="shared" si="1"/>
        <v>26766.368043222759</v>
      </c>
      <c r="W14" s="205">
        <f t="shared" si="4"/>
        <v>26766.368043222759</v>
      </c>
      <c r="X14" s="205">
        <f t="shared" si="2"/>
        <v>3929.7537124229834</v>
      </c>
      <c r="Y14" s="205">
        <f t="shared" si="5"/>
        <v>26766.368043222759</v>
      </c>
    </row>
    <row r="15" spans="1:38">
      <c r="A15" s="206">
        <v>2002</v>
      </c>
      <c r="B15" s="27" t="s">
        <v>250</v>
      </c>
      <c r="C15" s="315">
        <f>'Historical Summary'!E15+'Historical Summary'!G15+'Historical Summary'!I15+'Historical Summary'!K15</f>
        <v>2895.904615468357</v>
      </c>
      <c r="D15" s="315">
        <f>'Historical Summary'!M15+'Historical Summary'!O15</f>
        <v>0</v>
      </c>
      <c r="E15" s="316"/>
      <c r="F15" s="315">
        <f>'Historical Summary'!C15</f>
        <v>23177.782667281008</v>
      </c>
      <c r="G15" s="315"/>
      <c r="H15" s="315"/>
      <c r="I15" s="315"/>
      <c r="J15" s="315"/>
      <c r="K15" s="315"/>
      <c r="L15" s="315"/>
      <c r="M15" s="303">
        <f>SUM(C15:F15)/Reference!B25</f>
        <v>1.5290870924330198</v>
      </c>
      <c r="N15" s="3"/>
      <c r="P15" s="66">
        <v>13</v>
      </c>
      <c r="Q15" s="204">
        <v>2002</v>
      </c>
      <c r="R15" s="204"/>
      <c r="S15" s="317">
        <f t="shared" si="3"/>
        <v>2895.904615468357</v>
      </c>
      <c r="T15" s="205">
        <f t="shared" si="0"/>
        <v>23177.782667281008</v>
      </c>
      <c r="U15" s="205"/>
      <c r="V15" s="205">
        <f t="shared" si="1"/>
        <v>26073.687282749364</v>
      </c>
      <c r="W15" s="205">
        <f t="shared" si="4"/>
        <v>26073.687282749364</v>
      </c>
      <c r="X15" s="205">
        <f t="shared" si="2"/>
        <v>2895.904615468357</v>
      </c>
      <c r="Y15" s="205">
        <f t="shared" si="5"/>
        <v>26073.687282749364</v>
      </c>
    </row>
    <row r="16" spans="1:38">
      <c r="A16" s="206">
        <v>2003</v>
      </c>
      <c r="B16" s="27" t="s">
        <v>251</v>
      </c>
      <c r="C16" s="315">
        <f>'Historical Summary'!E16+'Historical Summary'!G16+'Historical Summary'!I16+'Historical Summary'!K16</f>
        <v>4351.4812639521761</v>
      </c>
      <c r="D16" s="315">
        <f>'Historical Summary'!M16+'Historical Summary'!O16</f>
        <v>0</v>
      </c>
      <c r="E16" s="316"/>
      <c r="F16" s="315">
        <f>'Historical Summary'!C16</f>
        <v>24290.877601063625</v>
      </c>
      <c r="G16" s="315"/>
      <c r="H16" s="315"/>
      <c r="I16" s="315"/>
      <c r="J16" s="315"/>
      <c r="K16" s="315"/>
      <c r="L16" s="315"/>
      <c r="M16" s="303">
        <f>SUM(C16:F16)/Reference!B26</f>
        <v>1.6832208260863519</v>
      </c>
      <c r="N16" s="3"/>
      <c r="P16" s="66">
        <v>14</v>
      </c>
      <c r="Q16" s="204">
        <v>2003</v>
      </c>
      <c r="R16" s="204"/>
      <c r="S16" s="317">
        <f t="shared" si="3"/>
        <v>4351.4812639521761</v>
      </c>
      <c r="T16" s="205">
        <f t="shared" si="0"/>
        <v>24290.877601063625</v>
      </c>
      <c r="U16" s="205"/>
      <c r="V16" s="205">
        <f t="shared" si="1"/>
        <v>28642.358865015802</v>
      </c>
      <c r="W16" s="205">
        <f t="shared" si="4"/>
        <v>28642.358865015802</v>
      </c>
      <c r="X16" s="205">
        <f t="shared" si="2"/>
        <v>4351.4812639521761</v>
      </c>
      <c r="Y16" s="205">
        <f t="shared" si="5"/>
        <v>28642.358865015802</v>
      </c>
    </row>
    <row r="17" spans="1:38">
      <c r="A17" s="206">
        <v>2004</v>
      </c>
      <c r="B17" s="27" t="s">
        <v>252</v>
      </c>
      <c r="C17" s="315">
        <f>'Historical Summary'!E17+'Historical Summary'!G17+'Historical Summary'!I17+'Historical Summary'!K17</f>
        <v>5169.0849983550825</v>
      </c>
      <c r="D17" s="315">
        <f>'Historical Summary'!M17+'Historical Summary'!O17</f>
        <v>0</v>
      </c>
      <c r="E17" s="316"/>
      <c r="F17" s="315">
        <f>'Historical Summary'!C17</f>
        <v>23925.470269263838</v>
      </c>
      <c r="G17" s="315"/>
      <c r="H17" s="315"/>
      <c r="I17" s="315"/>
      <c r="J17" s="315"/>
      <c r="K17" s="315"/>
      <c r="L17" s="315"/>
      <c r="M17" s="303">
        <f>SUM(C17:F17)/Reference!B27</f>
        <v>1.759989067129164</v>
      </c>
      <c r="N17" s="3"/>
      <c r="P17" s="66">
        <v>15</v>
      </c>
      <c r="Q17" s="204">
        <v>2004</v>
      </c>
      <c r="R17" s="204"/>
      <c r="S17" s="317">
        <f t="shared" si="3"/>
        <v>5169.0849983550825</v>
      </c>
      <c r="T17" s="205">
        <f t="shared" si="0"/>
        <v>23925.470269263838</v>
      </c>
      <c r="U17" s="205"/>
      <c r="V17" s="205">
        <f t="shared" si="1"/>
        <v>29094.555267618922</v>
      </c>
      <c r="W17" s="205">
        <f t="shared" si="4"/>
        <v>29094.555267618922</v>
      </c>
      <c r="X17" s="205">
        <f t="shared" si="2"/>
        <v>5169.0849983550825</v>
      </c>
      <c r="Y17" s="205">
        <f t="shared" si="5"/>
        <v>29094.555267618922</v>
      </c>
    </row>
    <row r="18" spans="1:38">
      <c r="A18" s="206">
        <v>2005</v>
      </c>
      <c r="B18" s="27" t="s">
        <v>253</v>
      </c>
      <c r="C18" s="315">
        <f>'Historical Summary'!E18+'Historical Summary'!G18+'Historical Summary'!I18+'Historical Summary'!K18</f>
        <v>5136.2751783380008</v>
      </c>
      <c r="D18" s="315">
        <f>'Historical Summary'!M18+'Historical Summary'!O18</f>
        <v>0</v>
      </c>
      <c r="E18" s="316"/>
      <c r="F18" s="315">
        <f>'Historical Summary'!C18</f>
        <v>22355.635072703924</v>
      </c>
      <c r="G18" s="315"/>
      <c r="H18" s="315"/>
      <c r="I18" s="315"/>
      <c r="J18" s="315"/>
      <c r="K18" s="315"/>
      <c r="L18" s="315"/>
      <c r="M18" s="303">
        <f>SUM(C18:F18)/Reference!B28</f>
        <v>1.6703471851557785</v>
      </c>
      <c r="N18" s="3"/>
      <c r="P18" s="66">
        <v>16</v>
      </c>
      <c r="Q18" s="204">
        <v>2005</v>
      </c>
      <c r="R18" s="204"/>
      <c r="S18" s="317">
        <f t="shared" si="3"/>
        <v>5136.2751783380008</v>
      </c>
      <c r="T18" s="205">
        <f t="shared" si="0"/>
        <v>22355.635072703924</v>
      </c>
      <c r="U18" s="205"/>
      <c r="V18" s="205">
        <f t="shared" si="1"/>
        <v>27491.910251041925</v>
      </c>
      <c r="W18" s="205">
        <f t="shared" si="4"/>
        <v>27491.910251041925</v>
      </c>
      <c r="X18" s="205">
        <f t="shared" si="2"/>
        <v>5136.2751783380008</v>
      </c>
      <c r="Y18" s="205">
        <f t="shared" si="5"/>
        <v>27491.910251041925</v>
      </c>
    </row>
    <row r="19" spans="1:38">
      <c r="A19" s="206">
        <v>2006</v>
      </c>
      <c r="B19" s="27" t="s">
        <v>254</v>
      </c>
      <c r="C19" s="315">
        <f>'Historical Summary'!E19+'Historical Summary'!G19+'Historical Summary'!I19+'Historical Summary'!K19</f>
        <v>4187.9949700267998</v>
      </c>
      <c r="D19" s="315">
        <f>'Historical Summary'!M19+'Historical Summary'!O19</f>
        <v>28.878352</v>
      </c>
      <c r="E19" s="316"/>
      <c r="F19" s="315">
        <f>'Historical Summary'!C19</f>
        <v>21456.843014129689</v>
      </c>
      <c r="G19" s="315"/>
      <c r="H19" s="315"/>
      <c r="I19" s="315"/>
      <c r="J19" s="315"/>
      <c r="K19" s="315"/>
      <c r="L19" s="315"/>
      <c r="M19" s="303">
        <f>SUM(C19:F19)/Reference!B29</f>
        <v>1.4696645125482417</v>
      </c>
      <c r="N19" s="3"/>
      <c r="P19" s="66">
        <v>17</v>
      </c>
      <c r="Q19" s="204">
        <v>2006</v>
      </c>
      <c r="R19" s="204"/>
      <c r="S19" s="317">
        <f t="shared" si="3"/>
        <v>4216.8733220267995</v>
      </c>
      <c r="T19" s="205">
        <f t="shared" si="0"/>
        <v>21456.843014129689</v>
      </c>
      <c r="U19" s="205"/>
      <c r="V19" s="205">
        <f t="shared" si="1"/>
        <v>25673.716336156489</v>
      </c>
      <c r="W19" s="205">
        <f t="shared" si="4"/>
        <v>25673.716336156489</v>
      </c>
      <c r="X19" s="205">
        <f t="shared" si="2"/>
        <v>4216.8733220267995</v>
      </c>
      <c r="Y19" s="205">
        <f t="shared" si="5"/>
        <v>25673.716336156489</v>
      </c>
    </row>
    <row r="20" spans="1:38">
      <c r="A20" s="206">
        <v>2007</v>
      </c>
      <c r="B20" s="27" t="s">
        <v>255</v>
      </c>
      <c r="C20" s="315">
        <f>'Historical Summary'!E20+'Historical Summary'!G20+'Historical Summary'!I20+'Historical Summary'!K20</f>
        <v>3897.0960454807787</v>
      </c>
      <c r="D20" s="315">
        <f>'Historical Summary'!M20+'Historical Summary'!O20</f>
        <v>245.11913551014402</v>
      </c>
      <c r="E20" s="316"/>
      <c r="F20" s="315">
        <f>'Historical Summary'!C20</f>
        <v>20983.879913724097</v>
      </c>
      <c r="G20" s="315"/>
      <c r="H20" s="315"/>
      <c r="I20" s="315"/>
      <c r="J20" s="315"/>
      <c r="K20" s="315"/>
      <c r="L20" s="315"/>
      <c r="M20" s="303">
        <f>SUM(C20:F20)/Reference!B30</f>
        <v>1.3938343944346145</v>
      </c>
      <c r="N20" s="3"/>
      <c r="P20" s="66">
        <v>18</v>
      </c>
      <c r="Q20" s="204">
        <v>2007</v>
      </c>
      <c r="R20" s="204"/>
      <c r="S20" s="317">
        <f t="shared" si="3"/>
        <v>4142.2151809909228</v>
      </c>
      <c r="T20" s="205">
        <f t="shared" si="0"/>
        <v>20983.879913724097</v>
      </c>
      <c r="U20" s="205"/>
      <c r="V20" s="205">
        <f t="shared" si="1"/>
        <v>25126.09509471502</v>
      </c>
      <c r="W20" s="205">
        <f t="shared" si="4"/>
        <v>25126.09509471502</v>
      </c>
      <c r="X20" s="205">
        <f t="shared" si="2"/>
        <v>4142.2151809909228</v>
      </c>
      <c r="Y20" s="205">
        <f t="shared" si="5"/>
        <v>25126.09509471502</v>
      </c>
      <c r="AD20" s="66"/>
    </row>
    <row r="21" spans="1:38">
      <c r="A21" s="206">
        <v>2008</v>
      </c>
      <c r="B21" s="27" t="s">
        <v>256</v>
      </c>
      <c r="C21" s="315">
        <f>'Historical Summary'!E21+'Historical Summary'!G21+'Historical Summary'!I21+'Historical Summary'!K21</f>
        <v>3690.155430363573</v>
      </c>
      <c r="D21" s="315">
        <f>'Historical Summary'!M21+'Historical Summary'!O21</f>
        <v>252.03536117670401</v>
      </c>
      <c r="E21" s="316"/>
      <c r="F21" s="315">
        <f>'Historical Summary'!C21</f>
        <v>21424.10241290112</v>
      </c>
      <c r="G21" s="315"/>
      <c r="H21" s="315"/>
      <c r="I21" s="315"/>
      <c r="J21" s="315"/>
      <c r="K21" s="315"/>
      <c r="L21" s="315"/>
      <c r="M21" s="303">
        <f>SUM(C21:F21)/Reference!B31</f>
        <v>1.4098729541872395</v>
      </c>
      <c r="N21" s="3"/>
      <c r="P21" s="66">
        <v>19</v>
      </c>
      <c r="Q21" s="204">
        <v>2008</v>
      </c>
      <c r="R21" s="204"/>
      <c r="S21" s="317">
        <f t="shared" si="3"/>
        <v>3942.1907915402771</v>
      </c>
      <c r="T21" s="205">
        <f t="shared" si="0"/>
        <v>21424.10241290112</v>
      </c>
      <c r="U21" s="205"/>
      <c r="V21" s="205">
        <f t="shared" si="1"/>
        <v>25366.293204441397</v>
      </c>
      <c r="W21" s="205">
        <f t="shared" si="4"/>
        <v>25366.293204441397</v>
      </c>
      <c r="X21" s="205">
        <f t="shared" si="2"/>
        <v>3942.1907915402771</v>
      </c>
      <c r="Y21" s="205">
        <f t="shared" si="5"/>
        <v>25366.293204441397</v>
      </c>
      <c r="AD21" s="66"/>
      <c r="AL21" s="66"/>
    </row>
    <row r="22" spans="1:38">
      <c r="A22" s="206">
        <v>2009</v>
      </c>
      <c r="B22" s="27" t="s">
        <v>257</v>
      </c>
      <c r="C22" s="315">
        <f>'Historical Summary'!E22+'Historical Summary'!G22+'Historical Summary'!I22+'Historical Summary'!K22</f>
        <v>4068.453886700187</v>
      </c>
      <c r="D22" s="315">
        <f>'Historical Summary'!M22+'Historical Summary'!O22</f>
        <v>206.28408895247998</v>
      </c>
      <c r="E22" s="316"/>
      <c r="F22" s="315">
        <f>'Historical Summary'!C22</f>
        <v>19754.635078100764</v>
      </c>
      <c r="G22" s="315"/>
      <c r="H22" s="315"/>
      <c r="I22" s="315"/>
      <c r="J22" s="315"/>
      <c r="K22" s="315"/>
      <c r="L22" s="315"/>
      <c r="M22" s="303">
        <f>SUM(C22:F22)/Reference!B32</f>
        <v>1.4237519214192524</v>
      </c>
      <c r="N22" s="3"/>
      <c r="P22" s="66">
        <v>20</v>
      </c>
      <c r="Q22" s="204">
        <v>2009</v>
      </c>
      <c r="R22" s="204"/>
      <c r="S22" s="317">
        <f t="shared" si="3"/>
        <v>4274.737975652667</v>
      </c>
      <c r="T22" s="205">
        <f t="shared" si="0"/>
        <v>19754.635078100764</v>
      </c>
      <c r="U22" s="205"/>
      <c r="V22" s="205">
        <f t="shared" si="1"/>
        <v>24029.373053753432</v>
      </c>
      <c r="W22" s="205">
        <f t="shared" si="4"/>
        <v>24029.373053753432</v>
      </c>
      <c r="X22" s="205">
        <f t="shared" si="2"/>
        <v>4274.737975652667</v>
      </c>
      <c r="Y22" s="205">
        <f t="shared" si="5"/>
        <v>24029.373053753432</v>
      </c>
      <c r="AL22" s="66"/>
    </row>
    <row r="23" spans="1:38">
      <c r="A23" s="206">
        <v>2010</v>
      </c>
      <c r="B23" s="27" t="s">
        <v>258</v>
      </c>
      <c r="C23" s="315">
        <f>'Historical Summary'!E23+'Historical Summary'!G23+'Historical Summary'!I23+'Historical Summary'!K23</f>
        <v>4318.5396867001864</v>
      </c>
      <c r="D23" s="315">
        <f>'Historical Summary'!M23+'Historical Summary'!O23</f>
        <v>146.86659053382402</v>
      </c>
      <c r="E23" s="316"/>
      <c r="F23" s="315">
        <f>'Historical Summary'!C23</f>
        <v>18575.9856925227</v>
      </c>
      <c r="G23" s="315"/>
      <c r="H23" s="315"/>
      <c r="I23" s="315"/>
      <c r="J23" s="315"/>
      <c r="K23" s="315"/>
      <c r="L23" s="315"/>
      <c r="M23" s="303">
        <f>SUM(C23:F23)/Reference!B33</f>
        <v>1.462165700182551</v>
      </c>
      <c r="N23" s="3"/>
      <c r="P23" s="66">
        <v>21</v>
      </c>
      <c r="Q23" s="204">
        <v>2010</v>
      </c>
      <c r="R23" s="204"/>
      <c r="S23" s="317">
        <f t="shared" si="3"/>
        <v>4465.4062772340103</v>
      </c>
      <c r="T23" s="205">
        <f t="shared" si="0"/>
        <v>18575.9856925227</v>
      </c>
      <c r="U23" s="205"/>
      <c r="V23" s="205">
        <f t="shared" si="1"/>
        <v>23041.391969756711</v>
      </c>
      <c r="W23" s="205">
        <f t="shared" si="4"/>
        <v>23041.391969756711</v>
      </c>
      <c r="X23" s="205">
        <f t="shared" si="2"/>
        <v>4465.4062772340103</v>
      </c>
      <c r="Y23" s="205">
        <f t="shared" si="5"/>
        <v>23041.391969756711</v>
      </c>
      <c r="AL23" s="66"/>
    </row>
    <row r="24" spans="1:38">
      <c r="A24" s="206">
        <v>2011</v>
      </c>
      <c r="B24" s="27" t="s">
        <v>259</v>
      </c>
      <c r="C24" s="315">
        <f>'Historical Summary'!E24+'Historical Summary'!G24+'Historical Summary'!I24+'Historical Summary'!K24</f>
        <v>4452.5149270368001</v>
      </c>
      <c r="D24" s="315">
        <f>'Historical Summary'!M24+'Historical Summary'!O24</f>
        <v>158.468312698304</v>
      </c>
      <c r="E24" s="316"/>
      <c r="F24" s="315">
        <f>'Historical Summary'!C24</f>
        <v>20363.277652643297</v>
      </c>
      <c r="G24" s="315"/>
      <c r="H24" s="315"/>
      <c r="I24" s="315"/>
      <c r="J24" s="315"/>
      <c r="K24" s="315"/>
      <c r="L24" s="315"/>
      <c r="M24" s="303">
        <f>SUM(C24:F24)/Reference!B34</f>
        <v>1.4512409795151577</v>
      </c>
      <c r="N24" s="3"/>
      <c r="P24" s="66">
        <v>22</v>
      </c>
      <c r="Q24" s="204">
        <v>2011</v>
      </c>
      <c r="R24" s="204"/>
      <c r="S24" s="317">
        <f t="shared" si="3"/>
        <v>4610.9832397351038</v>
      </c>
      <c r="T24" s="205">
        <f t="shared" si="0"/>
        <v>20363.277652643297</v>
      </c>
      <c r="U24" s="205"/>
      <c r="V24" s="205">
        <f t="shared" si="1"/>
        <v>24974.260892378399</v>
      </c>
      <c r="W24" s="205">
        <f t="shared" si="4"/>
        <v>24974.260892378399</v>
      </c>
      <c r="X24" s="205">
        <f t="shared" si="2"/>
        <v>4610.9832397351038</v>
      </c>
      <c r="Y24" s="205">
        <f t="shared" si="5"/>
        <v>24974.260892378399</v>
      </c>
      <c r="AD24" s="66"/>
    </row>
    <row r="25" spans="1:38">
      <c r="A25" s="206">
        <v>2012</v>
      </c>
      <c r="B25" s="27" t="s">
        <v>260</v>
      </c>
      <c r="C25" s="315">
        <f>'Historical Summary'!E25+'Historical Summary'!G25+'Historical Summary'!I25+'Historical Summary'!K25</f>
        <v>4273.399151499857</v>
      </c>
      <c r="D25" s="315">
        <f>'Historical Summary'!M25+'Historical Summary'!O25</f>
        <v>240.671101681696</v>
      </c>
      <c r="E25" s="316"/>
      <c r="F25" s="315">
        <f>'Historical Summary'!C25</f>
        <v>19945.036356049503</v>
      </c>
      <c r="G25" s="315"/>
      <c r="H25" s="315"/>
      <c r="I25" s="315"/>
      <c r="J25" s="315"/>
      <c r="K25" s="315"/>
      <c r="L25" s="315"/>
      <c r="M25" s="303">
        <f>SUM(C25:F25)/Reference!B35</f>
        <v>1.3843497455460378</v>
      </c>
      <c r="N25" s="3"/>
      <c r="P25" s="66">
        <v>23</v>
      </c>
      <c r="Q25" s="204">
        <v>2012</v>
      </c>
      <c r="R25" s="204"/>
      <c r="S25" s="317">
        <f t="shared" si="3"/>
        <v>4514.0702531815532</v>
      </c>
      <c r="T25" s="205">
        <f t="shared" si="0"/>
        <v>19945.036356049503</v>
      </c>
      <c r="U25" s="205"/>
      <c r="V25" s="205">
        <f t="shared" si="1"/>
        <v>24459.106609231058</v>
      </c>
      <c r="W25" s="205">
        <f t="shared" si="4"/>
        <v>24459.106609231058</v>
      </c>
      <c r="X25" s="205">
        <f t="shared" si="2"/>
        <v>4514.0702531815532</v>
      </c>
      <c r="Y25" s="205">
        <f t="shared" si="5"/>
        <v>24459.106609231058</v>
      </c>
    </row>
    <row r="26" spans="1:38">
      <c r="A26" s="206">
        <v>2013</v>
      </c>
      <c r="B26" s="27" t="s">
        <v>57</v>
      </c>
      <c r="C26" s="315">
        <f>'Historical Summary'!E26+'Historical Summary'!G26+'Historical Summary'!I26+'Historical Summary'!K26</f>
        <v>3736.0558423360003</v>
      </c>
      <c r="D26" s="315">
        <f>'Historical Summary'!M26+'Historical Summary'!O26</f>
        <v>173.70420308057604</v>
      </c>
      <c r="E26" s="315"/>
      <c r="F26" s="315">
        <f>'Historical Summary'!C26</f>
        <v>21089.642786468001</v>
      </c>
      <c r="G26" s="315"/>
      <c r="H26" s="315"/>
      <c r="I26" s="315"/>
      <c r="J26" s="315"/>
      <c r="K26" s="315">
        <v>1533.94</v>
      </c>
      <c r="L26" s="315"/>
      <c r="M26" s="303">
        <f>SUM(C26:F26)/Reference!B36</f>
        <v>1.372093306323557</v>
      </c>
      <c r="N26" s="3"/>
      <c r="P26" s="66">
        <v>24</v>
      </c>
      <c r="Q26" s="204">
        <v>2013</v>
      </c>
      <c r="R26" s="204"/>
      <c r="S26" s="317">
        <f t="shared" si="3"/>
        <v>3909.7600454165763</v>
      </c>
      <c r="T26" s="205">
        <f t="shared" si="0"/>
        <v>21089.642786468001</v>
      </c>
      <c r="U26" s="205"/>
      <c r="V26" s="205">
        <f t="shared" si="1"/>
        <v>24999.402831884578</v>
      </c>
      <c r="W26" s="205">
        <f t="shared" si="4"/>
        <v>24999.402831884578</v>
      </c>
      <c r="X26" s="205">
        <f t="shared" si="2"/>
        <v>3909.7600454165763</v>
      </c>
      <c r="Y26" s="205">
        <f t="shared" si="5"/>
        <v>24999.402831884578</v>
      </c>
      <c r="AF26" s="66"/>
      <c r="AG26" s="66"/>
      <c r="AH26" s="66"/>
      <c r="AI26" s="66"/>
      <c r="AJ26" s="66"/>
    </row>
    <row r="27" spans="1:38">
      <c r="A27" s="206">
        <v>2014</v>
      </c>
      <c r="B27" s="27" t="s">
        <v>64</v>
      </c>
      <c r="C27" s="315">
        <f>'Historical Summary'!E27+'Historical Summary'!G27+'Historical Summary'!I27+'Historical Summary'!K27</f>
        <v>3736.5381363744</v>
      </c>
      <c r="D27" s="315">
        <f>'Historical Summary'!M27+'Historical Summary'!O27</f>
        <v>180.645969605472</v>
      </c>
      <c r="E27" s="315">
        <v>17.3</v>
      </c>
      <c r="F27" s="315">
        <f>'Historical Summary'!C27</f>
        <v>20644.288506160174</v>
      </c>
      <c r="G27" s="315"/>
      <c r="H27" s="315"/>
      <c r="I27" s="315">
        <v>1446.89</v>
      </c>
      <c r="J27" s="315">
        <v>58.04</v>
      </c>
      <c r="K27" s="315">
        <v>1579.02</v>
      </c>
      <c r="L27" s="315"/>
      <c r="M27" s="303">
        <f>SUM(C27:F27)/Reference!B37</f>
        <v>1.2301133888933953</v>
      </c>
      <c r="N27" s="3"/>
      <c r="P27" s="66">
        <v>25</v>
      </c>
      <c r="Q27" s="204">
        <v>2014</v>
      </c>
      <c r="R27" s="204"/>
      <c r="S27" s="317">
        <f t="shared" si="3"/>
        <v>3934.4841059798723</v>
      </c>
      <c r="T27" s="205">
        <f t="shared" si="0"/>
        <v>20644.288506160174</v>
      </c>
      <c r="V27" s="205">
        <f t="shared" si="1"/>
        <v>24578.772612140045</v>
      </c>
      <c r="W27" s="205">
        <f t="shared" si="4"/>
        <v>24578.772612140045</v>
      </c>
      <c r="X27" s="205">
        <f t="shared" si="2"/>
        <v>3934.4841059798723</v>
      </c>
      <c r="Y27" s="205">
        <f t="shared" si="5"/>
        <v>24578.772612140045</v>
      </c>
    </row>
    <row r="28" spans="1:38">
      <c r="A28" s="206">
        <v>2015</v>
      </c>
      <c r="B28" s="258" t="str">
        <f>"FY 15-16 ("&amp;TEXT(L28,"#,###")&amp;" MTCO2e)"</f>
        <v>FY 15-16 (60,806 MTCO2e)</v>
      </c>
      <c r="C28" s="315">
        <f>'Historical Summary'!E28+'Historical Summary'!G28+'Historical Summary'!I28+'Historical Summary'!K28</f>
        <v>3043.5628996788641</v>
      </c>
      <c r="D28" s="315">
        <f>'Historical Summary'!M28+'Historical Summary'!O28</f>
        <v>220.06329947100798</v>
      </c>
      <c r="E28" s="315">
        <v>78.55</v>
      </c>
      <c r="F28" s="315">
        <f>'Historical Summary'!C28</f>
        <v>21633.353532400895</v>
      </c>
      <c r="G28" s="315">
        <v>4131.5503457178893</v>
      </c>
      <c r="H28" s="315">
        <v>28405.881544455784</v>
      </c>
      <c r="I28" s="315">
        <v>1476.31</v>
      </c>
      <c r="J28" s="315">
        <v>65.89</v>
      </c>
      <c r="K28" s="315">
        <v>1750.82</v>
      </c>
      <c r="L28" s="315">
        <f>SUM(C28:K28)</f>
        <v>60805.981621724437</v>
      </c>
      <c r="M28" s="303">
        <f>SUM(C28:F28)/Reference!B38</f>
        <v>1.1115550194290251</v>
      </c>
      <c r="N28" s="303">
        <f>L28/Reference!B38</f>
        <v>2.7062166372212575</v>
      </c>
      <c r="P28" s="66">
        <v>26</v>
      </c>
      <c r="Q28" s="204">
        <v>2015</v>
      </c>
      <c r="R28" s="204" t="str">
        <f>"FY 15-16 ("&amp;TEXT(L28,"#,###")&amp;" MTCO2e)"</f>
        <v>FY 15-16 (60,806 MTCO2e)</v>
      </c>
      <c r="S28" s="317">
        <f t="shared" si="3"/>
        <v>3342.1761991498724</v>
      </c>
      <c r="T28" s="205">
        <f t="shared" si="0"/>
        <v>21633.353532400895</v>
      </c>
      <c r="U28" s="205">
        <f>SUM(G28:K28)</f>
        <v>35830.451890173674</v>
      </c>
      <c r="V28" s="205">
        <f t="shared" si="1"/>
        <v>24975.529731550767</v>
      </c>
      <c r="W28" s="205">
        <f t="shared" si="4"/>
        <v>60805.981621724437</v>
      </c>
      <c r="X28" s="205">
        <f t="shared" si="2"/>
        <v>3342.1761991498724</v>
      </c>
      <c r="Y28" s="205">
        <f t="shared" si="5"/>
        <v>24975.529731550767</v>
      </c>
    </row>
    <row r="29" spans="1:38">
      <c r="A29" s="206">
        <v>2016</v>
      </c>
      <c r="B29" s="258" t="str">
        <f>"FY 16-17 ("&amp;TEXT(L29,"#,###")&amp;" MTCO2e)"</f>
        <v>FY 16-17 (49,312 MTCO2e)</v>
      </c>
      <c r="C29" s="315">
        <f>'Historical Summary'!E29+'Historical Summary'!G29+'Historical Summary'!I29+'Historical Summary'!K29</f>
        <v>3575.9738274208003</v>
      </c>
      <c r="D29" s="315">
        <f>'Historical Summary'!M29+'Historical Summary'!O29</f>
        <v>180.12711297414401</v>
      </c>
      <c r="E29" s="315">
        <v>34.76</v>
      </c>
      <c r="F29" s="315">
        <f>'Historical Summary'!C29</f>
        <v>15272.715149908947</v>
      </c>
      <c r="G29" s="315">
        <v>3099.0643977929062</v>
      </c>
      <c r="H29" s="315">
        <v>23378.320085338291</v>
      </c>
      <c r="I29" s="315">
        <v>1729.79</v>
      </c>
      <c r="J29" s="315">
        <v>79.61</v>
      </c>
      <c r="K29" s="315">
        <v>1961.28</v>
      </c>
      <c r="L29" s="315">
        <f>SUM(C29:K29)</f>
        <v>49311.640573435092</v>
      </c>
      <c r="M29" s="303">
        <f>SUM(C29:F29)/Reference!B39</f>
        <v>0.86000965819467445</v>
      </c>
      <c r="N29" s="303">
        <f>L29/Reference!B39</f>
        <v>2.2245819437911414</v>
      </c>
      <c r="P29" s="66">
        <v>27</v>
      </c>
      <c r="Q29" s="204">
        <v>2016</v>
      </c>
      <c r="R29" s="204" t="str">
        <f>"FY 16-17 ("&amp;TEXT(L29,"#,###")&amp;" MTCO2e)"</f>
        <v>FY 16-17 (49,312 MTCO2e)</v>
      </c>
      <c r="S29" s="317">
        <f t="shared" si="3"/>
        <v>3790.8609403949445</v>
      </c>
      <c r="T29" s="205">
        <f t="shared" si="0"/>
        <v>15272.715149908947</v>
      </c>
      <c r="U29" s="205">
        <f>SUM(G29:K29)</f>
        <v>30248.064483131198</v>
      </c>
      <c r="V29" s="205">
        <f t="shared" si="1"/>
        <v>19063.57609030389</v>
      </c>
      <c r="W29" s="205">
        <f t="shared" si="4"/>
        <v>49311.640573435085</v>
      </c>
      <c r="X29" s="205">
        <f t="shared" si="2"/>
        <v>3790.8609403949445</v>
      </c>
      <c r="Y29" s="205">
        <f t="shared" si="5"/>
        <v>19063.57609030389</v>
      </c>
    </row>
    <row r="30" spans="1:38">
      <c r="A30" s="206">
        <v>2017</v>
      </c>
      <c r="B30" s="258" t="str">
        <f>"FY 17-18 ("&amp;TEXT(L30,"#,###")&amp;" MTCO2e)"</f>
        <v>FY 17-18 (50,953 MTCO2e)</v>
      </c>
      <c r="C30" s="315">
        <f>'Historical Summary'!E30+'Historical Summary'!G30+'Historical Summary'!I30+'Historical Summary'!K30</f>
        <v>2953.0857999999998</v>
      </c>
      <c r="D30" s="315">
        <f>'Historical Summary'!M30+'Historical Summary'!O30</f>
        <v>243.08136619267202</v>
      </c>
      <c r="E30" s="315">
        <v>185.36</v>
      </c>
      <c r="F30" s="315">
        <f>'Historical Summary'!C30</f>
        <v>14715.730678196689</v>
      </c>
      <c r="G30" s="315">
        <v>3046.4763505666051</v>
      </c>
      <c r="H30" s="315">
        <v>24545.5</v>
      </c>
      <c r="I30" s="315">
        <v>1861.01</v>
      </c>
      <c r="J30" s="315">
        <v>85.65</v>
      </c>
      <c r="K30" s="315">
        <v>3317.28</v>
      </c>
      <c r="L30" s="315">
        <f>SUM(C30:K30)</f>
        <v>50953.174194955966</v>
      </c>
      <c r="M30" s="303">
        <f>SUM(C30:F30)/Reference!B40</f>
        <v>0.79563774287727573</v>
      </c>
      <c r="N30" s="303">
        <f>L30/Reference!B40</f>
        <v>2.2401332211485285</v>
      </c>
      <c r="P30" s="66">
        <v>28</v>
      </c>
      <c r="Q30" s="204">
        <v>2017</v>
      </c>
      <c r="R30" s="204" t="str">
        <f>"FY 17-18 ("&amp;TEXT(L30,"#,###")&amp;" MTCO2e)"</f>
        <v>FY 17-18 (50,953 MTCO2e)</v>
      </c>
      <c r="S30" s="317">
        <f t="shared" si="3"/>
        <v>3381.5271661926722</v>
      </c>
      <c r="T30" s="205">
        <f t="shared" si="0"/>
        <v>14715.730678196689</v>
      </c>
      <c r="U30" s="210">
        <f>SUM(G30:K30)</f>
        <v>32855.916350566607</v>
      </c>
      <c r="V30" s="205">
        <f>SUM(S30:T30)</f>
        <v>18097.257844389362</v>
      </c>
      <c r="W30" s="205">
        <f t="shared" si="4"/>
        <v>50953.174194955966</v>
      </c>
      <c r="X30" s="205">
        <f t="shared" si="2"/>
        <v>3381.5271661926722</v>
      </c>
      <c r="Y30" s="205">
        <f t="shared" si="5"/>
        <v>18097.257844389362</v>
      </c>
      <c r="AA30" s="74"/>
    </row>
    <row r="31" spans="1:38">
      <c r="C31" s="96"/>
      <c r="D31" s="96"/>
      <c r="E31" s="96"/>
      <c r="F31" s="96"/>
      <c r="G31" s="96"/>
      <c r="H31" s="96"/>
      <c r="I31" s="96"/>
      <c r="J31" s="96"/>
      <c r="K31" s="96"/>
      <c r="L31" s="66"/>
      <c r="P31" s="66">
        <v>29</v>
      </c>
      <c r="Q31" s="204">
        <v>2018</v>
      </c>
      <c r="R31" s="204"/>
      <c r="S31" s="205"/>
      <c r="T31" s="205"/>
      <c r="U31" s="205"/>
      <c r="V31" s="205">
        <f t="shared" ref="V31:V42" si="6">V32+$Z$41</f>
        <v>17588.597613097962</v>
      </c>
      <c r="W31" s="205">
        <f t="shared" ref="W31:W57" si="7">W30-$Z$57</f>
        <v>49133.417973707539</v>
      </c>
      <c r="X31" s="218">
        <f>AVERAGE(X30,X32)</f>
        <v>3894.6931035823463</v>
      </c>
      <c r="Y31" s="218">
        <f>AVERAGE(Y30,Y32)</f>
        <v>18148.722839786016</v>
      </c>
    </row>
    <row r="32" spans="1:38">
      <c r="A32" s="66"/>
      <c r="B32" s="66"/>
      <c r="C32" s="96"/>
      <c r="D32" s="96"/>
      <c r="E32" s="96"/>
      <c r="F32" s="304"/>
      <c r="G32" s="96"/>
      <c r="H32" s="96"/>
      <c r="I32" s="96"/>
      <c r="J32" s="96"/>
      <c r="K32" s="96"/>
      <c r="L32" s="66"/>
      <c r="P32" s="66">
        <v>30</v>
      </c>
      <c r="Q32" s="204">
        <v>2019</v>
      </c>
      <c r="R32" s="204"/>
      <c r="S32" s="205"/>
      <c r="T32" s="205"/>
      <c r="U32" s="205"/>
      <c r="V32" s="205">
        <f t="shared" si="6"/>
        <v>17079.937381806569</v>
      </c>
      <c r="W32" s="205">
        <f t="shared" si="7"/>
        <v>47313.661752459113</v>
      </c>
      <c r="X32" s="218">
        <f>($AB$4+$AB$5*P32)+'New Construction'!F9</f>
        <v>4407.8590409720209</v>
      </c>
      <c r="Y32" s="218">
        <f>($AC$4+$AC$5*P32)+'New Construction'!G9</f>
        <v>18200.187835182674</v>
      </c>
    </row>
    <row r="33" spans="1:26">
      <c r="A33" s="66"/>
      <c r="B33" s="66"/>
      <c r="C33" s="96"/>
      <c r="D33" s="96"/>
      <c r="E33" s="96"/>
      <c r="F33" s="304"/>
      <c r="G33" s="96"/>
      <c r="H33" s="96"/>
      <c r="I33" s="96"/>
      <c r="J33" s="96"/>
      <c r="K33" s="96"/>
      <c r="L33" s="66"/>
      <c r="M33" s="66">
        <f>M30/M3</f>
        <v>0.45306565352925587</v>
      </c>
      <c r="P33" s="66">
        <v>31</v>
      </c>
      <c r="Q33" s="204">
        <v>2020</v>
      </c>
      <c r="R33" s="204"/>
      <c r="S33" s="205"/>
      <c r="T33" s="205"/>
      <c r="U33" s="205"/>
      <c r="V33" s="205">
        <f t="shared" si="6"/>
        <v>16571.277150515176</v>
      </c>
      <c r="W33" s="205">
        <f t="shared" si="7"/>
        <v>45493.905531210687</v>
      </c>
      <c r="X33" s="218">
        <f>($AB$4+$AB$5*P33)+'New Construction'!F10</f>
        <v>4436.450892832765</v>
      </c>
      <c r="Y33" s="218">
        <f>($AC$4+$AC$5*P33)+'New Construction'!G10</f>
        <v>17901.80915118731</v>
      </c>
    </row>
    <row r="34" spans="1:26">
      <c r="A34" s="66"/>
      <c r="B34" s="66"/>
      <c r="C34" s="36"/>
      <c r="D34" s="36"/>
      <c r="E34" s="36"/>
      <c r="F34" s="36"/>
      <c r="G34" s="36"/>
      <c r="H34" s="36"/>
      <c r="I34" s="36"/>
      <c r="J34" s="36"/>
      <c r="K34" s="36"/>
      <c r="L34" s="66"/>
      <c r="M34" s="96">
        <f>1-M33</f>
        <v>0.54693434647074413</v>
      </c>
      <c r="P34" s="66">
        <v>32</v>
      </c>
      <c r="Q34" s="204">
        <v>2021</v>
      </c>
      <c r="R34" s="204"/>
      <c r="S34" s="205"/>
      <c r="T34" s="205"/>
      <c r="U34" s="205"/>
      <c r="V34" s="205">
        <f t="shared" si="6"/>
        <v>16062.616919223781</v>
      </c>
      <c r="W34" s="205">
        <f t="shared" si="7"/>
        <v>43674.14930996226</v>
      </c>
      <c r="X34" s="218">
        <f>($AB$4+$AB$5*P34)+'New Construction'!F11</f>
        <v>4604.0503401689848</v>
      </c>
      <c r="Y34" s="218">
        <f>($AC$4+$AC$5*P34)+'New Construction'!G11</f>
        <v>18222.595786161273</v>
      </c>
    </row>
    <row r="35" spans="1:26">
      <c r="A35" s="66"/>
      <c r="B35" s="66"/>
      <c r="C35" s="66"/>
      <c r="D35" s="66"/>
      <c r="E35" s="66"/>
      <c r="F35" s="36"/>
      <c r="G35" s="66"/>
      <c r="H35" s="66"/>
      <c r="I35" s="66"/>
      <c r="J35" s="66"/>
      <c r="K35" s="66"/>
      <c r="L35" s="66"/>
      <c r="P35" s="66">
        <v>33</v>
      </c>
      <c r="Q35" s="204">
        <v>2022</v>
      </c>
      <c r="R35" s="204"/>
      <c r="S35" s="205"/>
      <c r="T35" s="205"/>
      <c r="U35" s="205"/>
      <c r="V35" s="205">
        <f t="shared" si="6"/>
        <v>15553.956687932388</v>
      </c>
      <c r="W35" s="205">
        <f t="shared" si="7"/>
        <v>41854.393088713834</v>
      </c>
      <c r="X35" s="218">
        <f>($AB$4+$AB$5*P35)+'New Construction'!F12</f>
        <v>4324.3625475842809</v>
      </c>
      <c r="Y35" s="218">
        <f>($AC$4+$AC$5*P35)+'New Construction'!G12</f>
        <v>16574.238634722751</v>
      </c>
    </row>
    <row r="36" spans="1:26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P36" s="66">
        <v>34</v>
      </c>
      <c r="Q36" s="204">
        <v>2023</v>
      </c>
      <c r="R36" s="204"/>
      <c r="S36" s="205"/>
      <c r="T36" s="205"/>
      <c r="U36" s="205"/>
      <c r="V36" s="205">
        <f t="shared" si="6"/>
        <v>15045.296456640996</v>
      </c>
      <c r="W36" s="205">
        <f t="shared" si="7"/>
        <v>40034.636867465408</v>
      </c>
      <c r="X36" s="218">
        <f>($AB$4+$AB$5*P36)+'New Construction'!F13</f>
        <v>4494.4611256122625</v>
      </c>
      <c r="Y36" s="218">
        <f>($AC$4+$AC$5*P36)+'New Construction'!G13</f>
        <v>16902.2349795052</v>
      </c>
    </row>
    <row r="37" spans="1:26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P37" s="66">
        <v>35</v>
      </c>
      <c r="Q37" s="204">
        <v>2024</v>
      </c>
      <c r="R37" s="204"/>
      <c r="S37" s="205"/>
      <c r="T37" s="205"/>
      <c r="U37" s="205"/>
      <c r="V37" s="205">
        <f t="shared" si="6"/>
        <v>14536.636225349603</v>
      </c>
      <c r="W37" s="205">
        <f t="shared" si="7"/>
        <v>38214.880646216981</v>
      </c>
      <c r="X37" s="218">
        <f>($AB$4+$AB$5*P37)+'New Construction'!F14</f>
        <v>4608.125627561265</v>
      </c>
      <c r="Y37" s="218">
        <f>($AC$4+$AC$5*P37)+'New Construction'!G14</f>
        <v>16973.824618112078</v>
      </c>
    </row>
    <row r="38" spans="1:26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P38" s="66">
        <v>36</v>
      </c>
      <c r="Q38" s="204">
        <v>2025</v>
      </c>
      <c r="R38" s="204"/>
      <c r="S38" s="205"/>
      <c r="T38" s="205"/>
      <c r="U38" s="205"/>
      <c r="V38" s="205">
        <f t="shared" si="6"/>
        <v>14027.97599405821</v>
      </c>
      <c r="W38" s="205">
        <f t="shared" si="7"/>
        <v>36395.124424968555</v>
      </c>
      <c r="X38" s="218">
        <f>($AB$4+$AB$5*P38)+'New Construction'!F15</f>
        <v>4484.1695087034286</v>
      </c>
      <c r="Y38" s="218">
        <f>($AC$4+$AC$5*P38)+'New Construction'!G15</f>
        <v>16050.511418767586</v>
      </c>
    </row>
    <row r="39" spans="1:26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P39" s="66">
        <v>37</v>
      </c>
      <c r="Q39" s="204">
        <v>2026</v>
      </c>
      <c r="R39" s="204"/>
      <c r="S39" s="205"/>
      <c r="T39" s="205"/>
      <c r="U39" s="205"/>
      <c r="V39" s="205">
        <f t="shared" si="6"/>
        <v>13519.315762766817</v>
      </c>
      <c r="W39" s="205">
        <f t="shared" si="7"/>
        <v>34575.368203720129</v>
      </c>
      <c r="X39" s="205">
        <f t="shared" ref="X39:X58" si="8">$AB$4+$AB$5*P39</f>
        <v>4693.9629949255141</v>
      </c>
      <c r="Y39" s="205">
        <f t="shared" ref="Y39:Y58" si="9">$AC$4+$AC$5*P39</f>
        <v>16509.832351574463</v>
      </c>
    </row>
    <row r="40" spans="1:26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P40" s="66">
        <v>38</v>
      </c>
      <c r="Q40" s="204">
        <v>2027</v>
      </c>
      <c r="R40" s="204"/>
      <c r="S40" s="205"/>
      <c r="T40" s="205"/>
      <c r="U40" s="205"/>
      <c r="V40" s="205">
        <f t="shared" si="6"/>
        <v>13010.655531475424</v>
      </c>
      <c r="W40" s="205">
        <f t="shared" si="7"/>
        <v>32755.611982471703</v>
      </c>
      <c r="X40" s="205">
        <f t="shared" si="8"/>
        <v>4736.8816786076395</v>
      </c>
      <c r="Y40" s="205">
        <f t="shared" si="9"/>
        <v>16277.836218305654</v>
      </c>
    </row>
    <row r="41" spans="1:26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P41" s="66">
        <v>39</v>
      </c>
      <c r="Q41" s="204">
        <v>2028</v>
      </c>
      <c r="R41" s="204"/>
      <c r="S41" s="205"/>
      <c r="T41" s="205"/>
      <c r="U41" s="205"/>
      <c r="V41" s="205">
        <f t="shared" si="6"/>
        <v>12501.995300184031</v>
      </c>
      <c r="W41" s="205">
        <f t="shared" si="7"/>
        <v>30935.855761223276</v>
      </c>
      <c r="X41" s="205">
        <f t="shared" si="8"/>
        <v>4779.8003622897641</v>
      </c>
      <c r="Y41" s="205">
        <f t="shared" si="9"/>
        <v>16045.840085036845</v>
      </c>
      <c r="Z41" s="219">
        <f>(V30-V43)/13</f>
        <v>508.66023129139353</v>
      </c>
    </row>
    <row r="42" spans="1:26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P42" s="66">
        <v>40</v>
      </c>
      <c r="Q42" s="204">
        <v>2029</v>
      </c>
      <c r="R42" s="204"/>
      <c r="S42" s="205"/>
      <c r="T42" s="205"/>
      <c r="U42" s="205"/>
      <c r="V42" s="205">
        <f t="shared" si="6"/>
        <v>11993.335068892638</v>
      </c>
      <c r="W42" s="205">
        <f t="shared" si="7"/>
        <v>29116.09953997485</v>
      </c>
      <c r="X42" s="205">
        <f t="shared" si="8"/>
        <v>4822.7190459718895</v>
      </c>
      <c r="Y42" s="205">
        <f t="shared" si="9"/>
        <v>15813.843951768038</v>
      </c>
      <c r="Z42" s="74"/>
    </row>
    <row r="43" spans="1:26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P43" s="66">
        <v>41</v>
      </c>
      <c r="Q43" s="204">
        <v>2030</v>
      </c>
      <c r="R43" s="204"/>
      <c r="S43" s="205"/>
      <c r="T43" s="205"/>
      <c r="U43" s="205"/>
      <c r="V43" s="218">
        <f>V3*0.4</f>
        <v>11484.674837601246</v>
      </c>
      <c r="W43" s="205">
        <f t="shared" si="7"/>
        <v>27296.343318726424</v>
      </c>
      <c r="X43" s="205">
        <f t="shared" si="8"/>
        <v>4865.637729654014</v>
      </c>
      <c r="Y43" s="205">
        <f t="shared" si="9"/>
        <v>15581.847818499229</v>
      </c>
      <c r="Z43" s="219">
        <f>V43/10</f>
        <v>1148.4674837601247</v>
      </c>
    </row>
    <row r="44" spans="1:26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P44" s="66">
        <v>42</v>
      </c>
      <c r="Q44" s="204">
        <v>2031</v>
      </c>
      <c r="R44" s="204"/>
      <c r="S44" s="205"/>
      <c r="T44" s="205"/>
      <c r="U44" s="205"/>
      <c r="V44" s="205">
        <f t="shared" ref="V44:V52" si="10">V43-$Z$43</f>
        <v>10336.20735384112</v>
      </c>
      <c r="W44" s="205">
        <f t="shared" si="7"/>
        <v>25476.587097477997</v>
      </c>
      <c r="X44" s="205">
        <f t="shared" si="8"/>
        <v>4908.5564133361386</v>
      </c>
      <c r="Y44" s="205">
        <f t="shared" si="9"/>
        <v>15349.851685230422</v>
      </c>
    </row>
    <row r="45" spans="1:26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P45" s="66">
        <v>43</v>
      </c>
      <c r="Q45" s="204">
        <v>2032</v>
      </c>
      <c r="R45" s="204"/>
      <c r="S45" s="205"/>
      <c r="T45" s="205"/>
      <c r="U45" s="205"/>
      <c r="V45" s="205">
        <f t="shared" si="10"/>
        <v>9187.7398700809954</v>
      </c>
      <c r="W45" s="205">
        <f t="shared" si="7"/>
        <v>23656.830876229571</v>
      </c>
      <c r="X45" s="205">
        <f t="shared" si="8"/>
        <v>4951.475097018264</v>
      </c>
      <c r="Y45" s="205">
        <f t="shared" si="9"/>
        <v>15117.855551961615</v>
      </c>
    </row>
    <row r="46" spans="1:26">
      <c r="B46" s="225"/>
      <c r="C46" s="225"/>
      <c r="D46" s="225"/>
      <c r="E46" s="225"/>
      <c r="P46" s="66">
        <v>44</v>
      </c>
      <c r="Q46" s="204">
        <v>2033</v>
      </c>
      <c r="R46" s="204"/>
      <c r="S46" s="205"/>
      <c r="T46" s="205"/>
      <c r="U46" s="205"/>
      <c r="V46" s="205">
        <f t="shared" si="10"/>
        <v>8039.2723863208703</v>
      </c>
      <c r="W46" s="205">
        <f t="shared" si="7"/>
        <v>21837.074654981145</v>
      </c>
      <c r="X46" s="205">
        <f t="shared" si="8"/>
        <v>4994.3937807003895</v>
      </c>
      <c r="Y46" s="205">
        <f t="shared" si="9"/>
        <v>14885.859418692806</v>
      </c>
    </row>
    <row r="47" spans="1:26">
      <c r="C47" s="66"/>
      <c r="G47" s="66"/>
      <c r="H47" s="66"/>
      <c r="I47" s="66"/>
      <c r="J47" s="66"/>
      <c r="K47" s="66"/>
      <c r="L47" s="66"/>
      <c r="P47" s="66">
        <v>45</v>
      </c>
      <c r="Q47" s="204">
        <v>2034</v>
      </c>
      <c r="R47" s="204"/>
      <c r="S47" s="205"/>
      <c r="T47" s="205"/>
      <c r="U47" s="205"/>
      <c r="V47" s="205">
        <f t="shared" si="10"/>
        <v>6890.8049025607452</v>
      </c>
      <c r="W47" s="205">
        <f t="shared" si="7"/>
        <v>20017.318433732718</v>
      </c>
      <c r="X47" s="205">
        <f t="shared" si="8"/>
        <v>5037.312464382514</v>
      </c>
      <c r="Y47" s="205">
        <f t="shared" si="9"/>
        <v>14653.863285423999</v>
      </c>
      <c r="Z47" s="74"/>
    </row>
    <row r="48" spans="1:26">
      <c r="C48" s="66"/>
      <c r="G48" s="66"/>
      <c r="H48" s="66"/>
      <c r="I48" s="66"/>
      <c r="J48" s="66"/>
      <c r="K48" s="66"/>
      <c r="L48" s="66"/>
      <c r="P48" s="66">
        <v>46</v>
      </c>
      <c r="Q48" s="204">
        <v>2035</v>
      </c>
      <c r="R48" s="204"/>
      <c r="S48" s="205"/>
      <c r="T48" s="205"/>
      <c r="U48" s="205"/>
      <c r="V48" s="205">
        <f t="shared" si="10"/>
        <v>5742.3374188006201</v>
      </c>
      <c r="W48" s="205">
        <f t="shared" si="7"/>
        <v>18197.562212484292</v>
      </c>
      <c r="X48" s="205">
        <f t="shared" si="8"/>
        <v>5080.2311480646385</v>
      </c>
      <c r="Y48" s="205">
        <f t="shared" si="9"/>
        <v>14421.86715215519</v>
      </c>
    </row>
    <row r="49" spans="1:39">
      <c r="C49" s="66"/>
      <c r="G49" s="66"/>
      <c r="H49" s="66"/>
      <c r="I49" s="66"/>
      <c r="J49" s="66"/>
      <c r="K49" s="66"/>
      <c r="L49" s="66"/>
      <c r="P49" s="66">
        <v>47</v>
      </c>
      <c r="Q49" s="204">
        <v>2036</v>
      </c>
      <c r="R49" s="204"/>
      <c r="S49" s="205"/>
      <c r="T49" s="205"/>
      <c r="U49" s="205"/>
      <c r="V49" s="205">
        <f t="shared" si="10"/>
        <v>4593.869935040495</v>
      </c>
      <c r="W49" s="205">
        <f t="shared" si="7"/>
        <v>16377.805991235864</v>
      </c>
      <c r="X49" s="205">
        <f t="shared" si="8"/>
        <v>5123.1498317467631</v>
      </c>
      <c r="Y49" s="205">
        <f t="shared" si="9"/>
        <v>14189.871018886382</v>
      </c>
    </row>
    <row r="50" spans="1:39" s="66" customFormat="1">
      <c r="A50"/>
      <c r="B50"/>
      <c r="D50"/>
      <c r="E50"/>
      <c r="F50"/>
      <c r="P50" s="66">
        <v>48</v>
      </c>
      <c r="Q50" s="204">
        <v>2037</v>
      </c>
      <c r="R50" s="204"/>
      <c r="S50" s="205"/>
      <c r="T50" s="205"/>
      <c r="U50" s="205"/>
      <c r="V50" s="205">
        <f t="shared" si="10"/>
        <v>3445.4024512803703</v>
      </c>
      <c r="W50" s="205">
        <f t="shared" si="7"/>
        <v>14558.049769987436</v>
      </c>
      <c r="X50" s="205">
        <f t="shared" si="8"/>
        <v>5166.0685154288885</v>
      </c>
      <c r="Y50" s="205">
        <f t="shared" si="9"/>
        <v>13957.874885617573</v>
      </c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 s="66" customFormat="1">
      <c r="A51"/>
      <c r="B51"/>
      <c r="D51"/>
      <c r="E51"/>
      <c r="F51"/>
      <c r="P51" s="66">
        <v>49</v>
      </c>
      <c r="Q51" s="204">
        <v>2038</v>
      </c>
      <c r="R51" s="204"/>
      <c r="S51" s="205"/>
      <c r="T51" s="205"/>
      <c r="U51" s="205"/>
      <c r="V51" s="205">
        <f t="shared" si="10"/>
        <v>2296.9349675202457</v>
      </c>
      <c r="W51" s="205">
        <f t="shared" si="7"/>
        <v>12738.293548739008</v>
      </c>
      <c r="X51" s="205">
        <f t="shared" si="8"/>
        <v>5208.987199111014</v>
      </c>
      <c r="Y51" s="205">
        <f t="shared" si="9"/>
        <v>13725.878752348766</v>
      </c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>
      <c r="C52" s="66"/>
      <c r="G52" s="66"/>
      <c r="H52" s="66"/>
      <c r="I52" s="66"/>
      <c r="J52" s="66"/>
      <c r="K52" s="66"/>
      <c r="L52" s="66"/>
      <c r="P52" s="66">
        <v>50</v>
      </c>
      <c r="Q52" s="204">
        <v>2039</v>
      </c>
      <c r="R52" s="204"/>
      <c r="S52" s="205"/>
      <c r="T52" s="205"/>
      <c r="U52" s="205"/>
      <c r="V52" s="205">
        <f t="shared" si="10"/>
        <v>1148.467483760121</v>
      </c>
      <c r="W52" s="205">
        <f t="shared" si="7"/>
        <v>10918.53732749058</v>
      </c>
      <c r="X52" s="205">
        <f t="shared" si="8"/>
        <v>5251.9058827931385</v>
      </c>
      <c r="Y52" s="205">
        <f t="shared" si="9"/>
        <v>13493.882619079959</v>
      </c>
    </row>
    <row r="53" spans="1:39">
      <c r="C53" s="66"/>
      <c r="G53" s="66"/>
      <c r="H53" s="66"/>
      <c r="I53" s="66"/>
      <c r="J53" s="66"/>
      <c r="K53" s="66"/>
      <c r="L53" s="66"/>
      <c r="P53" s="66">
        <v>51</v>
      </c>
      <c r="Q53" s="204">
        <v>2040</v>
      </c>
      <c r="R53" s="204"/>
      <c r="S53" s="205"/>
      <c r="T53" s="205"/>
      <c r="U53" s="205"/>
      <c r="V53" s="205">
        <v>0</v>
      </c>
      <c r="W53" s="205">
        <f t="shared" si="7"/>
        <v>9098.7811062421515</v>
      </c>
      <c r="X53" s="205">
        <f t="shared" si="8"/>
        <v>5294.8245664752631</v>
      </c>
      <c r="Y53" s="205">
        <f t="shared" si="9"/>
        <v>13261.88648581115</v>
      </c>
    </row>
    <row r="54" spans="1:39">
      <c r="C54" s="66"/>
      <c r="G54" s="66"/>
      <c r="H54" s="66"/>
      <c r="J54" s="66"/>
      <c r="K54" s="66"/>
      <c r="L54" s="66"/>
      <c r="P54" s="66">
        <v>52</v>
      </c>
      <c r="Q54" s="204">
        <v>2041</v>
      </c>
      <c r="R54" s="204"/>
      <c r="U54" s="66"/>
      <c r="W54" s="205">
        <f t="shared" si="7"/>
        <v>7279.0248849937243</v>
      </c>
      <c r="X54" s="205">
        <f t="shared" si="8"/>
        <v>5337.7432501573876</v>
      </c>
      <c r="Y54" s="205">
        <f t="shared" si="9"/>
        <v>13029.890352542343</v>
      </c>
    </row>
    <row r="55" spans="1:39">
      <c r="C55" s="66"/>
      <c r="G55" s="66"/>
      <c r="H55" s="66"/>
      <c r="J55" s="66"/>
      <c r="K55" s="66"/>
      <c r="L55" s="66"/>
      <c r="P55" s="66">
        <v>53</v>
      </c>
      <c r="Q55" s="204">
        <v>2042</v>
      </c>
      <c r="R55" s="204"/>
      <c r="U55" s="66"/>
      <c r="W55" s="205">
        <f t="shared" si="7"/>
        <v>5459.2686637452971</v>
      </c>
      <c r="X55" s="205">
        <f t="shared" si="8"/>
        <v>5380.661933839513</v>
      </c>
      <c r="Y55" s="205">
        <f t="shared" si="9"/>
        <v>12797.894219273534</v>
      </c>
    </row>
    <row r="56" spans="1:39">
      <c r="C56" s="66"/>
      <c r="G56" s="66"/>
      <c r="H56" s="66"/>
      <c r="J56" s="66"/>
      <c r="K56" s="66"/>
      <c r="L56" s="66"/>
      <c r="P56" s="66">
        <v>54</v>
      </c>
      <c r="Q56" s="204">
        <v>2043</v>
      </c>
      <c r="R56" s="204"/>
      <c r="U56" s="66"/>
      <c r="W56" s="205">
        <f t="shared" si="7"/>
        <v>3639.5124424968699</v>
      </c>
      <c r="X56" s="205">
        <f t="shared" si="8"/>
        <v>5423.5806175216385</v>
      </c>
      <c r="Y56" s="205">
        <f t="shared" si="9"/>
        <v>12565.898086004727</v>
      </c>
    </row>
    <row r="57" spans="1:39">
      <c r="C57" s="66"/>
      <c r="G57" s="66"/>
      <c r="H57" s="66"/>
      <c r="J57" s="66"/>
      <c r="K57" s="66"/>
      <c r="L57" s="66"/>
      <c r="P57" s="66">
        <v>55</v>
      </c>
      <c r="Q57" s="204">
        <v>2044</v>
      </c>
      <c r="R57" s="204"/>
      <c r="U57" s="66"/>
      <c r="W57" s="205">
        <f t="shared" si="7"/>
        <v>1819.7562212484424</v>
      </c>
      <c r="X57" s="205">
        <f t="shared" si="8"/>
        <v>5466.499301203763</v>
      </c>
      <c r="Y57" s="205">
        <f t="shared" si="9"/>
        <v>12333.90195273592</v>
      </c>
      <c r="Z57" s="219">
        <f>W30/28</f>
        <v>1819.7562212484274</v>
      </c>
    </row>
    <row r="58" spans="1:39">
      <c r="C58" s="66"/>
      <c r="G58" s="66"/>
      <c r="H58" s="66"/>
      <c r="J58" s="66"/>
      <c r="K58" s="66"/>
      <c r="L58" s="66"/>
      <c r="P58" s="66">
        <v>56</v>
      </c>
      <c r="Q58" s="204">
        <v>2045</v>
      </c>
      <c r="R58" s="204"/>
      <c r="U58" s="66"/>
      <c r="W58" s="205">
        <v>0</v>
      </c>
      <c r="X58" s="205">
        <f t="shared" si="8"/>
        <v>5509.4179848858876</v>
      </c>
      <c r="Y58" s="205">
        <f t="shared" si="9"/>
        <v>12101.905819467111</v>
      </c>
      <c r="Z58" s="205"/>
    </row>
    <row r="59" spans="1:39">
      <c r="C59" s="66"/>
      <c r="G59" s="66"/>
      <c r="H59" s="66"/>
      <c r="J59" s="66"/>
      <c r="K59" s="66"/>
      <c r="L59" s="66"/>
      <c r="P59" s="66"/>
      <c r="Q59" s="66"/>
      <c r="S59" s="204"/>
      <c r="U59" s="66"/>
      <c r="X59" s="205"/>
      <c r="Y59" s="205"/>
      <c r="Z59" s="205"/>
    </row>
    <row r="60" spans="1:39">
      <c r="C60" s="66"/>
      <c r="G60" s="66"/>
      <c r="H60" s="66"/>
      <c r="J60" s="66"/>
      <c r="K60" s="66"/>
      <c r="L60" s="66"/>
      <c r="P60" s="66"/>
      <c r="Q60" s="66"/>
      <c r="S60" s="204"/>
      <c r="U60" s="66"/>
      <c r="X60" s="205"/>
      <c r="Y60" s="205"/>
      <c r="Z60" s="205"/>
    </row>
    <row r="61" spans="1:39">
      <c r="C61" s="66"/>
      <c r="G61" s="66"/>
      <c r="H61" s="66"/>
      <c r="J61" s="66"/>
      <c r="K61" s="66"/>
      <c r="L61" s="66"/>
      <c r="P61" s="66"/>
      <c r="Q61" s="66"/>
      <c r="S61" s="204"/>
      <c r="U61" s="66"/>
      <c r="X61" s="205"/>
      <c r="Y61" s="205"/>
    </row>
    <row r="62" spans="1:39">
      <c r="C62" s="66"/>
      <c r="G62" s="66"/>
      <c r="H62" s="66"/>
      <c r="J62" s="66"/>
      <c r="K62" s="204"/>
      <c r="L62" s="204"/>
      <c r="M62" s="204"/>
      <c r="N62" s="204"/>
      <c r="O62" s="204"/>
      <c r="U62" s="66"/>
      <c r="V62" s="205"/>
      <c r="W62" s="205"/>
      <c r="X62" s="205"/>
    </row>
    <row r="63" spans="1:39">
      <c r="C63" s="66"/>
      <c r="H63" s="66"/>
      <c r="I63" s="204"/>
      <c r="S63" s="205"/>
      <c r="T63" s="205"/>
      <c r="U63" s="205"/>
    </row>
    <row r="64" spans="1:39">
      <c r="C64" s="66"/>
      <c r="U64" s="66"/>
    </row>
    <row r="65" spans="3:3">
      <c r="C65" s="66"/>
    </row>
    <row r="66" spans="3:3">
      <c r="C66" s="66"/>
    </row>
    <row r="67" spans="3:3">
      <c r="C67" s="66"/>
    </row>
    <row r="68" spans="3:3">
      <c r="C68" s="66"/>
    </row>
    <row r="69" spans="3:3">
      <c r="C69" s="66"/>
    </row>
    <row r="70" spans="3:3">
      <c r="C70" s="66"/>
    </row>
    <row r="71" spans="3:3">
      <c r="C71" s="66"/>
    </row>
    <row r="72" spans="3:3">
      <c r="C72" s="66"/>
    </row>
    <row r="73" spans="3:3">
      <c r="C73" s="66"/>
    </row>
    <row r="74" spans="3:3">
      <c r="C74" s="66"/>
    </row>
    <row r="75" spans="3:3">
      <c r="C75" s="66"/>
    </row>
    <row r="76" spans="3:3">
      <c r="C76" s="66"/>
    </row>
    <row r="77" spans="3:3">
      <c r="C77" s="66"/>
    </row>
    <row r="78" spans="3:3">
      <c r="C78" s="66"/>
    </row>
    <row r="79" spans="3:3">
      <c r="C79" s="66"/>
    </row>
    <row r="80" spans="3:3">
      <c r="C80" s="66"/>
    </row>
    <row r="81" spans="3:3">
      <c r="C81" s="66"/>
    </row>
  </sheetData>
  <mergeCells count="2">
    <mergeCell ref="G1:K1"/>
    <mergeCell ref="C1:E1"/>
  </mergeCells>
  <hyperlinks>
    <hyperlink ref="G2" r:id="rId1"/>
    <hyperlink ref="H2" r:id="rId2"/>
    <hyperlink ref="I2" r:id="rId3"/>
    <hyperlink ref="J2" r:id="rId4"/>
    <hyperlink ref="K2" r:id="rId5"/>
  </hyperlink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4" activeCellId="1" sqref="B4 D4:G4"/>
    </sheetView>
  </sheetViews>
  <sheetFormatPr defaultRowHeight="15"/>
  <cols>
    <col min="1" max="1" width="11.140625" style="66" customWidth="1"/>
    <col min="2" max="2" width="12" style="66" customWidth="1"/>
    <col min="3" max="3" width="12.140625" style="66" customWidth="1"/>
    <col min="4" max="4" width="11" style="66" customWidth="1"/>
    <col min="5" max="16384" width="9.140625" style="66"/>
  </cols>
  <sheetData>
    <row r="1" spans="1:15" ht="15.75">
      <c r="A1" s="270" t="s">
        <v>303</v>
      </c>
      <c r="B1" s="354" t="s">
        <v>304</v>
      </c>
      <c r="C1" s="354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15.75" thickBot="1"/>
    <row r="3" spans="1:15" s="275" customFormat="1" ht="25.5">
      <c r="A3" s="271" t="s">
        <v>305</v>
      </c>
      <c r="B3" s="272" t="s">
        <v>306</v>
      </c>
      <c r="C3" s="273" t="s">
        <v>307</v>
      </c>
      <c r="D3" s="273" t="s">
        <v>281</v>
      </c>
      <c r="E3" s="273" t="s">
        <v>280</v>
      </c>
      <c r="F3" s="273" t="s">
        <v>308</v>
      </c>
      <c r="G3" s="273" t="s">
        <v>309</v>
      </c>
      <c r="H3" s="274" t="s">
        <v>310</v>
      </c>
    </row>
    <row r="4" spans="1:15">
      <c r="A4" s="276">
        <v>1990</v>
      </c>
      <c r="B4" s="277">
        <v>3502.1179333304976</v>
      </c>
      <c r="C4" s="278">
        <v>25009.165789394716</v>
      </c>
      <c r="D4" s="278">
        <v>0.68661645495356771</v>
      </c>
      <c r="E4" s="278">
        <v>199.71675482295868</v>
      </c>
      <c r="F4" s="278">
        <v>0</v>
      </c>
      <c r="G4" s="278">
        <v>0</v>
      </c>
      <c r="H4" s="279">
        <v>28711.687094003126</v>
      </c>
    </row>
    <row r="5" spans="1:15">
      <c r="A5" s="276">
        <v>1991</v>
      </c>
      <c r="B5" s="277">
        <v>3359.3636342069294</v>
      </c>
      <c r="C5" s="278">
        <v>24043.848137644523</v>
      </c>
      <c r="D5" s="278">
        <v>0.64248687479116462</v>
      </c>
      <c r="E5" s="278">
        <v>186.88074357075129</v>
      </c>
      <c r="F5" s="278">
        <v>0</v>
      </c>
      <c r="G5" s="278">
        <v>0</v>
      </c>
      <c r="H5" s="279">
        <v>27590.735002296999</v>
      </c>
    </row>
    <row r="6" spans="1:15">
      <c r="A6" s="276">
        <v>1992</v>
      </c>
      <c r="B6" s="277">
        <v>2668.3820387582064</v>
      </c>
      <c r="C6" s="278">
        <v>23521.157313924279</v>
      </c>
      <c r="D6" s="278">
        <v>0.6083061883673162</v>
      </c>
      <c r="E6" s="278">
        <v>176.93857611912244</v>
      </c>
      <c r="F6" s="278">
        <v>0</v>
      </c>
      <c r="G6" s="278">
        <v>0</v>
      </c>
      <c r="H6" s="279">
        <v>26367.086234989973</v>
      </c>
    </row>
    <row r="7" spans="1:15">
      <c r="A7" s="276">
        <v>1993</v>
      </c>
      <c r="B7" s="277">
        <v>2567.1025603154085</v>
      </c>
      <c r="C7" s="278">
        <v>22486.63833185675</v>
      </c>
      <c r="D7" s="278">
        <v>0.56756149986944471</v>
      </c>
      <c r="E7" s="278">
        <v>165.08713139425413</v>
      </c>
      <c r="F7" s="278">
        <v>0</v>
      </c>
      <c r="G7" s="278">
        <v>0</v>
      </c>
      <c r="H7" s="279">
        <v>25219.395585066282</v>
      </c>
    </row>
    <row r="8" spans="1:15">
      <c r="A8" s="276">
        <v>1994</v>
      </c>
      <c r="B8" s="277">
        <v>3217.8413338800001</v>
      </c>
      <c r="C8" s="278">
        <v>21997.936559466572</v>
      </c>
      <c r="D8" s="278">
        <v>0.58369223049409158</v>
      </c>
      <c r="E8" s="278">
        <v>169.77909173111445</v>
      </c>
      <c r="F8" s="278">
        <v>0</v>
      </c>
      <c r="G8" s="278">
        <v>0</v>
      </c>
      <c r="H8" s="279">
        <v>25386.140677308184</v>
      </c>
    </row>
    <row r="9" spans="1:15">
      <c r="A9" s="276">
        <v>1995</v>
      </c>
      <c r="B9" s="277">
        <v>2377.4985056400001</v>
      </c>
      <c r="C9" s="278">
        <v>24866.528858749891</v>
      </c>
      <c r="D9" s="278">
        <v>0.58411639185652042</v>
      </c>
      <c r="E9" s="278">
        <v>169.90246793367183</v>
      </c>
      <c r="F9" s="278">
        <v>0</v>
      </c>
      <c r="G9" s="278">
        <v>0</v>
      </c>
      <c r="H9" s="279">
        <v>27414.513948715419</v>
      </c>
    </row>
    <row r="10" spans="1:15">
      <c r="A10" s="276">
        <v>1996</v>
      </c>
      <c r="B10" s="277">
        <v>2584.9795819199999</v>
      </c>
      <c r="C10" s="278">
        <v>24380.360078472288</v>
      </c>
      <c r="D10" s="278">
        <v>0.58939531099090747</v>
      </c>
      <c r="E10" s="278">
        <v>171.43795195955926</v>
      </c>
      <c r="F10" s="278">
        <v>0</v>
      </c>
      <c r="G10" s="278">
        <v>0</v>
      </c>
      <c r="H10" s="279">
        <v>27137.36700766284</v>
      </c>
    </row>
    <row r="11" spans="1:15">
      <c r="A11" s="276">
        <v>1997</v>
      </c>
      <c r="B11" s="277">
        <v>2417.7167577449995</v>
      </c>
      <c r="C11" s="278">
        <v>23914.438158849676</v>
      </c>
      <c r="D11" s="278">
        <v>0.60675936667790253</v>
      </c>
      <c r="E11" s="278">
        <v>176.48865068277334</v>
      </c>
      <c r="F11" s="278">
        <v>0</v>
      </c>
      <c r="G11" s="278">
        <v>0</v>
      </c>
      <c r="H11" s="279">
        <v>26509.250326644124</v>
      </c>
    </row>
    <row r="12" spans="1:15">
      <c r="A12" s="276">
        <v>1998</v>
      </c>
      <c r="B12" s="277">
        <v>2889.9013779900001</v>
      </c>
      <c r="C12" s="278">
        <v>21019.482517917084</v>
      </c>
      <c r="D12" s="278">
        <v>0.62354520022012405</v>
      </c>
      <c r="E12" s="278">
        <v>181.3711614030816</v>
      </c>
      <c r="F12" s="278">
        <v>0</v>
      </c>
      <c r="G12" s="278">
        <v>0</v>
      </c>
      <c r="H12" s="279">
        <v>24091.378602510384</v>
      </c>
    </row>
    <row r="13" spans="1:15">
      <c r="A13" s="276">
        <v>1999</v>
      </c>
      <c r="B13" s="277">
        <v>3349.221663285</v>
      </c>
      <c r="C13" s="278">
        <v>22498.028881883336</v>
      </c>
      <c r="D13" s="278">
        <v>0.63171535717280114</v>
      </c>
      <c r="E13" s="278">
        <v>183.74762241156887</v>
      </c>
      <c r="F13" s="278">
        <v>0</v>
      </c>
      <c r="G13" s="278">
        <v>0</v>
      </c>
      <c r="H13" s="279">
        <v>26031.629882937075</v>
      </c>
    </row>
    <row r="14" spans="1:15">
      <c r="A14" s="276">
        <v>2000</v>
      </c>
      <c r="B14" s="277">
        <v>3214.8767134800005</v>
      </c>
      <c r="C14" s="278">
        <v>22013.849715594668</v>
      </c>
      <c r="D14" s="278">
        <v>0.63959240512926885</v>
      </c>
      <c r="E14" s="278">
        <v>186.03882653885262</v>
      </c>
      <c r="F14" s="278">
        <v>0</v>
      </c>
      <c r="G14" s="278">
        <v>0</v>
      </c>
      <c r="H14" s="279">
        <v>25415.40484801865</v>
      </c>
    </row>
    <row r="15" spans="1:15">
      <c r="A15" s="276">
        <v>2001</v>
      </c>
      <c r="B15" s="277">
        <v>3144.4034513999995</v>
      </c>
      <c r="C15" s="278">
        <v>22067.074085094802</v>
      </c>
      <c r="D15" s="278">
        <v>0.68888643499127233</v>
      </c>
      <c r="E15" s="278">
        <v>200.37702598799208</v>
      </c>
      <c r="F15" s="278">
        <v>0</v>
      </c>
      <c r="G15" s="278">
        <v>0</v>
      </c>
      <c r="H15" s="279">
        <v>25412.543448917786</v>
      </c>
    </row>
    <row r="16" spans="1:15">
      <c r="A16" s="276">
        <v>2002</v>
      </c>
      <c r="B16" s="277">
        <v>4260.4189190850002</v>
      </c>
      <c r="C16" s="278">
        <v>23339.009716048266</v>
      </c>
      <c r="D16" s="278">
        <v>0.71610875384451311</v>
      </c>
      <c r="E16" s="278">
        <v>208.29520671451249</v>
      </c>
      <c r="F16" s="278">
        <v>0</v>
      </c>
      <c r="G16" s="278">
        <v>0</v>
      </c>
      <c r="H16" s="279">
        <v>27808.439950601623</v>
      </c>
    </row>
    <row r="17" spans="1:9">
      <c r="A17" s="276">
        <v>2003</v>
      </c>
      <c r="B17" s="277">
        <v>5081.4243686352529</v>
      </c>
      <c r="C17" s="278">
        <v>24474.456439866397</v>
      </c>
      <c r="D17" s="278">
        <v>0.71462161861615947</v>
      </c>
      <c r="E17" s="278">
        <v>207.86264233355868</v>
      </c>
      <c r="F17" s="278">
        <v>0</v>
      </c>
      <c r="G17" s="278">
        <v>0</v>
      </c>
      <c r="H17" s="279">
        <v>29764.458072453825</v>
      </c>
    </row>
    <row r="18" spans="1:9">
      <c r="A18" s="276">
        <v>2004</v>
      </c>
      <c r="B18" s="277">
        <v>4537.4521075350003</v>
      </c>
      <c r="C18" s="278">
        <v>24364.624240224988</v>
      </c>
      <c r="D18" s="278">
        <v>0.69424492007786331</v>
      </c>
      <c r="E18" s="278">
        <v>201.93565343500472</v>
      </c>
      <c r="F18" s="278">
        <v>0</v>
      </c>
      <c r="G18" s="278">
        <v>0</v>
      </c>
      <c r="H18" s="279">
        <v>29104.706246115074</v>
      </c>
    </row>
    <row r="19" spans="1:9">
      <c r="A19" s="276">
        <v>2005</v>
      </c>
      <c r="B19" s="277">
        <v>4826.4337749900005</v>
      </c>
      <c r="C19" s="278">
        <v>22489.311369863019</v>
      </c>
      <c r="D19" s="278">
        <v>1.2774243504</v>
      </c>
      <c r="E19" s="278">
        <v>217.93865398760005</v>
      </c>
      <c r="F19" s="278">
        <v>0</v>
      </c>
      <c r="G19" s="278">
        <v>0</v>
      </c>
      <c r="H19" s="279">
        <v>27534.961223191018</v>
      </c>
    </row>
    <row r="20" spans="1:9">
      <c r="A20" s="276">
        <v>2006</v>
      </c>
      <c r="B20" s="277">
        <v>4488.8005691850003</v>
      </c>
      <c r="C20" s="278">
        <v>21737.374279687927</v>
      </c>
      <c r="D20" s="278">
        <v>0.16312002600000006</v>
      </c>
      <c r="E20" s="278">
        <v>204.28825000079999</v>
      </c>
      <c r="F20" s="278">
        <v>16.461653999999999</v>
      </c>
      <c r="G20" s="278">
        <v>12.416698000000002</v>
      </c>
      <c r="H20" s="279">
        <v>26459.504570899731</v>
      </c>
    </row>
    <row r="21" spans="1:9">
      <c r="A21" s="276">
        <v>2007</v>
      </c>
      <c r="B21" s="277">
        <v>4165.9375257300007</v>
      </c>
      <c r="C21" s="278">
        <v>20551.725966161663</v>
      </c>
      <c r="D21" s="278">
        <v>3.6384246044000008</v>
      </c>
      <c r="E21" s="278">
        <v>211.77868729359966</v>
      </c>
      <c r="F21" s="278">
        <v>7.7072466352000006</v>
      </c>
      <c r="G21" s="278">
        <v>110.68450114960001</v>
      </c>
      <c r="H21" s="279">
        <v>25051.472351574466</v>
      </c>
    </row>
    <row r="22" spans="1:9">
      <c r="A22" s="276">
        <v>2008</v>
      </c>
      <c r="B22" s="277">
        <v>3974.1318798149996</v>
      </c>
      <c r="C22" s="278">
        <v>21500.078664610362</v>
      </c>
      <c r="D22" s="278">
        <v>3.0275475896000006</v>
      </c>
      <c r="E22" s="278">
        <v>217.52556328999964</v>
      </c>
      <c r="F22" s="278">
        <v>12.421066200000002</v>
      </c>
      <c r="G22" s="278">
        <v>223.16026084240002</v>
      </c>
      <c r="H22" s="279">
        <v>25930.344982347364</v>
      </c>
    </row>
    <row r="23" spans="1:9">
      <c r="A23" s="276">
        <v>2009</v>
      </c>
      <c r="B23" s="277">
        <v>3705.4366862399993</v>
      </c>
      <c r="C23" s="278">
        <v>20229.737646738635</v>
      </c>
      <c r="D23" s="278">
        <v>4.2324408948000007</v>
      </c>
      <c r="E23" s="278">
        <v>198.13282182400013</v>
      </c>
      <c r="F23" s="278">
        <v>19.880988954799999</v>
      </c>
      <c r="G23" s="278">
        <v>203.55018434519999</v>
      </c>
      <c r="H23" s="279">
        <v>24360.970768997435</v>
      </c>
    </row>
    <row r="24" spans="1:9">
      <c r="A24" s="276">
        <v>2010</v>
      </c>
      <c r="B24" s="277">
        <v>5526.0365437049995</v>
      </c>
      <c r="C24" s="278">
        <v>18275.996545985668</v>
      </c>
      <c r="D24" s="278">
        <v>5.6250968231999998</v>
      </c>
      <c r="E24" s="278">
        <v>155.35018972480003</v>
      </c>
      <c r="F24" s="278">
        <v>18.231231921200003</v>
      </c>
      <c r="G24" s="278">
        <v>198.49085088840002</v>
      </c>
      <c r="H24" s="279">
        <v>24179.730459048267</v>
      </c>
    </row>
    <row r="25" spans="1:9">
      <c r="A25" s="276">
        <v>2011</v>
      </c>
      <c r="B25" s="277">
        <v>3246.5663879700005</v>
      </c>
      <c r="C25" s="278">
        <v>20548.961300916271</v>
      </c>
      <c r="D25" s="278">
        <v>1.4180966664000001</v>
      </c>
      <c r="E25" s="278">
        <v>88.974118777599983</v>
      </c>
      <c r="F25" s="278">
        <v>20.283251918000001</v>
      </c>
      <c r="G25" s="278">
        <v>200.08875147240002</v>
      </c>
      <c r="H25" s="279">
        <v>24106.291907720675</v>
      </c>
    </row>
    <row r="26" spans="1:9">
      <c r="A26" s="276">
        <v>2012</v>
      </c>
      <c r="B26" s="277">
        <v>3995.3621617752001</v>
      </c>
      <c r="C26" s="278">
        <v>19745.434600381024</v>
      </c>
      <c r="D26" s="278">
        <v>1.6705086944000003</v>
      </c>
      <c r="E26" s="278">
        <v>77.922401233599999</v>
      </c>
      <c r="F26" s="278">
        <v>14.718813795600001</v>
      </c>
      <c r="G26" s="278">
        <v>212.07283458760003</v>
      </c>
      <c r="H26" s="279">
        <v>24047.181320467425</v>
      </c>
    </row>
    <row r="27" spans="1:9">
      <c r="A27" s="276">
        <v>2013</v>
      </c>
      <c r="B27" s="277">
        <v>3944.8986050850003</v>
      </c>
      <c r="C27" s="278">
        <v>20270.718357978778</v>
      </c>
      <c r="D27" s="278">
        <v>0.55999553879999986</v>
      </c>
      <c r="E27" s="278">
        <v>46.547888727200039</v>
      </c>
      <c r="F27" s="278">
        <v>11.716008570800001</v>
      </c>
      <c r="G27" s="278">
        <v>198.87602542360005</v>
      </c>
      <c r="H27" s="279">
        <v>24473.316881324175</v>
      </c>
    </row>
    <row r="28" spans="1:9">
      <c r="A28" s="276">
        <v>2014</v>
      </c>
      <c r="B28" s="277">
        <v>3676.6057528499996</v>
      </c>
      <c r="C28" s="278">
        <v>19323.721568538509</v>
      </c>
      <c r="D28" s="278">
        <v>9.4978755200000015E-2</v>
      </c>
      <c r="E28" s="278">
        <v>24.024597982000028</v>
      </c>
      <c r="F28" s="278">
        <v>9.4978755200000015E-2</v>
      </c>
      <c r="G28" s="278">
        <v>157.6135396892</v>
      </c>
      <c r="H28" s="279">
        <v>23182.155416570109</v>
      </c>
      <c r="I28" s="96"/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B1" workbookViewId="0">
      <selection activeCell="G25" sqref="G25"/>
    </sheetView>
  </sheetViews>
  <sheetFormatPr defaultColWidth="20.7109375" defaultRowHeight="15" customHeight="1"/>
  <cols>
    <col min="1" max="1" width="8.85546875" style="66" bestFit="1" customWidth="1"/>
    <col min="2" max="2" width="10.42578125" style="66" bestFit="1" customWidth="1"/>
    <col min="3" max="3" width="10.7109375" style="66" customWidth="1"/>
    <col min="4" max="4" width="14.7109375" style="66" bestFit="1" customWidth="1"/>
    <col min="5" max="5" width="15.7109375" style="66" bestFit="1" customWidth="1"/>
    <col min="6" max="6" width="10.7109375" style="66" customWidth="1"/>
    <col min="7" max="8" width="23.28515625" style="66" customWidth="1"/>
    <col min="9" max="9" width="10.7109375" style="66" customWidth="1"/>
    <col min="10" max="10" width="22.42578125" style="66" bestFit="1" customWidth="1"/>
    <col min="11" max="11" width="11" style="66" bestFit="1" customWidth="1"/>
    <col min="12" max="12" width="8.5703125" style="66" bestFit="1" customWidth="1"/>
    <col min="13" max="13" width="10.7109375" style="66" customWidth="1"/>
    <col min="14" max="14" width="20.7109375" style="66"/>
    <col min="15" max="15" width="7" style="66" bestFit="1" customWidth="1"/>
    <col min="16" max="16384" width="20.7109375" style="66"/>
  </cols>
  <sheetData>
    <row r="1" spans="1:16" ht="15" customHeight="1">
      <c r="A1" s="355" t="s">
        <v>177</v>
      </c>
      <c r="B1" s="356"/>
      <c r="C1" s="266"/>
      <c r="D1" s="355" t="s">
        <v>169</v>
      </c>
      <c r="E1" s="353"/>
      <c r="G1" s="355" t="s">
        <v>178</v>
      </c>
      <c r="H1" s="373"/>
      <c r="J1" s="262" t="s">
        <v>171</v>
      </c>
      <c r="K1" s="263" t="s">
        <v>172</v>
      </c>
      <c r="L1" s="263" t="s">
        <v>173</v>
      </c>
      <c r="N1" s="355" t="s">
        <v>290</v>
      </c>
      <c r="O1" s="355" t="s">
        <v>291</v>
      </c>
      <c r="P1" s="265" t="s">
        <v>170</v>
      </c>
    </row>
    <row r="2" spans="1:16" ht="15" customHeight="1">
      <c r="A2" s="301" t="s">
        <v>429</v>
      </c>
      <c r="B2" s="117">
        <v>16235.2</v>
      </c>
      <c r="C2" s="267"/>
      <c r="D2" s="142">
        <v>0.4535923</v>
      </c>
      <c r="E2" s="138" t="s">
        <v>292</v>
      </c>
      <c r="G2" s="357" t="s">
        <v>289</v>
      </c>
      <c r="H2" s="353"/>
      <c r="J2" s="139" t="s">
        <v>174</v>
      </c>
      <c r="K2" s="140">
        <v>0.65031000000000005</v>
      </c>
      <c r="L2" s="140">
        <f>K2*[3]Reference!A34</f>
        <v>0</v>
      </c>
      <c r="N2" s="138" t="s">
        <v>263</v>
      </c>
      <c r="O2" s="251">
        <v>12.7</v>
      </c>
      <c r="P2" s="251" t="s">
        <v>295</v>
      </c>
    </row>
    <row r="3" spans="1:16" ht="15" customHeight="1">
      <c r="A3" s="301" t="s">
        <v>430</v>
      </c>
      <c r="B3" s="117">
        <v>16030.1</v>
      </c>
      <c r="C3" s="267"/>
      <c r="D3" s="142">
        <v>2.2046230000000002</v>
      </c>
      <c r="E3" s="138" t="s">
        <v>293</v>
      </c>
      <c r="G3" s="252" t="s">
        <v>37</v>
      </c>
      <c r="H3" s="254" t="s">
        <v>167</v>
      </c>
      <c r="J3" s="139" t="s">
        <v>175</v>
      </c>
      <c r="K3" s="140">
        <v>3.112E-5</v>
      </c>
      <c r="L3" s="141">
        <f>K3*[3]Reference!A34</f>
        <v>0</v>
      </c>
      <c r="N3" s="138" t="s">
        <v>297</v>
      </c>
      <c r="O3" s="251">
        <v>22.4</v>
      </c>
      <c r="P3" s="251" t="s">
        <v>295</v>
      </c>
    </row>
    <row r="4" spans="1:16" ht="15" customHeight="1">
      <c r="A4" s="301" t="s">
        <v>431</v>
      </c>
      <c r="B4" s="117">
        <v>16382.6</v>
      </c>
      <c r="C4" s="267"/>
      <c r="D4" s="142">
        <v>4.53592E-4</v>
      </c>
      <c r="E4" s="138" t="s">
        <v>299</v>
      </c>
      <c r="G4" s="252">
        <v>1990</v>
      </c>
      <c r="H4" s="117">
        <v>1551</v>
      </c>
      <c r="J4" s="139" t="s">
        <v>176</v>
      </c>
      <c r="K4" s="140">
        <v>5.6699999999999999E-6</v>
      </c>
      <c r="L4" s="141">
        <f>K4*[3]Reference!A34</f>
        <v>0</v>
      </c>
      <c r="N4" s="138" t="s">
        <v>264</v>
      </c>
      <c r="O4" s="251">
        <v>19.600000000000001</v>
      </c>
      <c r="P4" s="251" t="s">
        <v>295</v>
      </c>
    </row>
    <row r="5" spans="1:16" ht="15" customHeight="1">
      <c r="A5" s="301" t="s">
        <v>432</v>
      </c>
      <c r="B5" s="117">
        <v>16190.6</v>
      </c>
      <c r="D5" s="142">
        <v>2204.6226218488</v>
      </c>
      <c r="E5" s="138" t="s">
        <v>294</v>
      </c>
      <c r="G5" s="252">
        <v>2000</v>
      </c>
      <c r="H5" s="117">
        <v>1406</v>
      </c>
      <c r="N5" s="261" t="s">
        <v>2</v>
      </c>
      <c r="O5" s="251">
        <v>5.3E-3</v>
      </c>
      <c r="P5" s="251" t="s">
        <v>296</v>
      </c>
    </row>
    <row r="6" spans="1:16" ht="15" customHeight="1">
      <c r="A6" s="301" t="s">
        <v>433</v>
      </c>
      <c r="B6" s="117">
        <v>15616.5</v>
      </c>
      <c r="D6" s="370">
        <v>3.4121412000000001E-3</v>
      </c>
      <c r="E6" s="371" t="s">
        <v>475</v>
      </c>
      <c r="G6" s="252">
        <v>2001</v>
      </c>
      <c r="H6" s="117">
        <v>1412</v>
      </c>
    </row>
    <row r="7" spans="1:16" ht="15" customHeight="1">
      <c r="A7" s="301" t="s">
        <v>434</v>
      </c>
      <c r="B7" s="117">
        <v>15074.1</v>
      </c>
      <c r="D7" s="370">
        <v>0.1</v>
      </c>
      <c r="E7" s="371" t="s">
        <v>476</v>
      </c>
      <c r="G7" s="252">
        <v>2002</v>
      </c>
      <c r="H7" s="117">
        <v>1374</v>
      </c>
    </row>
    <row r="8" spans="1:16" ht="15" customHeight="1">
      <c r="A8" s="301" t="s">
        <v>435</v>
      </c>
      <c r="B8" s="117">
        <v>15532.7</v>
      </c>
      <c r="G8" s="252">
        <v>2003</v>
      </c>
      <c r="H8" s="117">
        <v>1381</v>
      </c>
    </row>
    <row r="9" spans="1:16" ht="15" customHeight="1">
      <c r="A9" s="301" t="s">
        <v>436</v>
      </c>
      <c r="B9" s="117">
        <v>15656.1</v>
      </c>
      <c r="G9" s="252">
        <v>2004</v>
      </c>
      <c r="H9" s="117">
        <v>1380</v>
      </c>
    </row>
    <row r="10" spans="1:16" ht="15" customHeight="1">
      <c r="A10" s="301" t="s">
        <v>437</v>
      </c>
      <c r="B10" s="117">
        <v>15548</v>
      </c>
      <c r="G10" s="252">
        <v>2005</v>
      </c>
      <c r="H10" s="117">
        <v>1313</v>
      </c>
    </row>
    <row r="11" spans="1:16" ht="15" customHeight="1">
      <c r="A11" s="301" t="s">
        <v>438</v>
      </c>
      <c r="B11" s="117">
        <v>15650.6</v>
      </c>
      <c r="G11" s="252">
        <v>2006</v>
      </c>
      <c r="H11" s="117">
        <v>1271</v>
      </c>
    </row>
    <row r="12" spans="1:16" ht="15" customHeight="1">
      <c r="A12" s="301" t="s">
        <v>439</v>
      </c>
      <c r="B12" s="117">
        <v>15677.7</v>
      </c>
      <c r="G12" s="252">
        <v>2007</v>
      </c>
      <c r="H12" s="117">
        <v>1236</v>
      </c>
    </row>
    <row r="13" spans="1:16" ht="15" customHeight="1">
      <c r="A13" s="301" t="s">
        <v>440</v>
      </c>
      <c r="B13" s="117">
        <v>16349.5</v>
      </c>
      <c r="G13" s="252">
        <v>2008</v>
      </c>
      <c r="H13" s="117">
        <v>1208</v>
      </c>
    </row>
    <row r="14" spans="1:16" ht="15" customHeight="1">
      <c r="A14" s="301" t="s">
        <v>441</v>
      </c>
      <c r="B14" s="117">
        <v>15298.7</v>
      </c>
      <c r="G14" s="252">
        <v>2009</v>
      </c>
      <c r="H14" s="117">
        <v>1145</v>
      </c>
    </row>
    <row r="15" spans="1:16" ht="15" customHeight="1">
      <c r="A15" s="301" t="s">
        <v>442</v>
      </c>
      <c r="B15" s="117">
        <v>14484.8</v>
      </c>
      <c r="G15" s="252">
        <v>2010</v>
      </c>
      <c r="H15" s="117">
        <v>1096</v>
      </c>
    </row>
    <row r="16" spans="1:16" ht="15" customHeight="1">
      <c r="A16" s="301" t="s">
        <v>443</v>
      </c>
      <c r="B16" s="117">
        <v>13514.6</v>
      </c>
      <c r="G16" s="252">
        <v>2011</v>
      </c>
      <c r="H16" s="117">
        <v>1148</v>
      </c>
    </row>
    <row r="17" spans="1:8" ht="15" customHeight="1">
      <c r="A17" s="301" t="s">
        <v>444</v>
      </c>
      <c r="B17" s="117">
        <v>13898.7</v>
      </c>
      <c r="G17" s="252">
        <v>2012</v>
      </c>
      <c r="H17" s="117">
        <v>1084</v>
      </c>
    </row>
    <row r="18" spans="1:8" ht="15" customHeight="1">
      <c r="A18" s="301" t="s">
        <v>445</v>
      </c>
      <c r="B18" s="117">
        <v>13908.8</v>
      </c>
      <c r="G18" s="252">
        <v>2013</v>
      </c>
      <c r="H18" s="117">
        <v>1150</v>
      </c>
    </row>
    <row r="19" spans="1:8" ht="15" customHeight="1">
      <c r="A19" s="301" t="s">
        <v>446</v>
      </c>
      <c r="B19" s="117">
        <v>14034.5</v>
      </c>
      <c r="G19" s="252">
        <v>2014</v>
      </c>
      <c r="H19" s="117">
        <v>1154</v>
      </c>
    </row>
    <row r="20" spans="1:8" ht="15" customHeight="1">
      <c r="A20" s="301" t="s">
        <v>447</v>
      </c>
      <c r="B20" s="117">
        <v>14448</v>
      </c>
      <c r="G20" s="252">
        <v>2015</v>
      </c>
      <c r="H20" s="117">
        <v>1131</v>
      </c>
    </row>
    <row r="21" spans="1:8" ht="15" customHeight="1">
      <c r="A21" s="301" t="s">
        <v>448</v>
      </c>
      <c r="B21" s="117">
        <v>14847.7</v>
      </c>
      <c r="G21" s="252">
        <v>2016</v>
      </c>
      <c r="H21" s="117">
        <v>834</v>
      </c>
    </row>
    <row r="22" spans="1:8" ht="15" customHeight="1">
      <c r="A22" s="301" t="s">
        <v>449</v>
      </c>
      <c r="B22" s="117">
        <v>15042.2</v>
      </c>
      <c r="G22" s="254" t="s">
        <v>168</v>
      </c>
      <c r="H22" s="264">
        <v>-0.46</v>
      </c>
    </row>
    <row r="23" spans="1:8" ht="15" customHeight="1">
      <c r="A23" s="301" t="s">
        <v>450</v>
      </c>
      <c r="B23" s="117">
        <v>15229.8</v>
      </c>
    </row>
    <row r="24" spans="1:8" ht="15" customHeight="1">
      <c r="A24" s="301" t="s">
        <v>451</v>
      </c>
      <c r="B24" s="117">
        <v>16403.599999999999</v>
      </c>
    </row>
    <row r="25" spans="1:8" ht="15" customHeight="1">
      <c r="A25" s="301" t="s">
        <v>452</v>
      </c>
      <c r="B25" s="117">
        <v>17051.8</v>
      </c>
      <c r="G25" s="74"/>
    </row>
    <row r="26" spans="1:8" ht="15" customHeight="1">
      <c r="A26" s="301" t="s">
        <v>453</v>
      </c>
      <c r="B26" s="117">
        <v>17016.400000000001</v>
      </c>
      <c r="G26" s="71"/>
    </row>
    <row r="27" spans="1:8" ht="15" customHeight="1">
      <c r="A27" s="301" t="s">
        <v>454</v>
      </c>
      <c r="B27" s="117">
        <v>16531.099999999999</v>
      </c>
      <c r="G27" s="146"/>
      <c r="H27" s="74"/>
    </row>
    <row r="28" spans="1:8" ht="15" customHeight="1">
      <c r="A28" s="301" t="s">
        <v>455</v>
      </c>
      <c r="B28" s="117">
        <v>16458.8</v>
      </c>
      <c r="H28" s="71"/>
    </row>
    <row r="29" spans="1:8" ht="15" customHeight="1">
      <c r="A29" s="301" t="s">
        <v>456</v>
      </c>
      <c r="B29" s="117">
        <v>17469.099999999999</v>
      </c>
    </row>
    <row r="30" spans="1:8" ht="15" customHeight="1">
      <c r="A30" s="301" t="s">
        <v>457</v>
      </c>
      <c r="B30" s="117">
        <v>18026.599999999999</v>
      </c>
    </row>
    <row r="31" spans="1:8" ht="15" customHeight="1">
      <c r="A31" s="301" t="s">
        <v>458</v>
      </c>
      <c r="B31" s="117">
        <v>17991.900000000001</v>
      </c>
    </row>
    <row r="32" spans="1:8" ht="15" customHeight="1">
      <c r="A32" s="301" t="s">
        <v>459</v>
      </c>
      <c r="B32" s="117">
        <v>16877.5</v>
      </c>
    </row>
    <row r="33" spans="1:2" ht="15" customHeight="1">
      <c r="A33" s="301" t="s">
        <v>460</v>
      </c>
      <c r="B33" s="117">
        <v>15758.4</v>
      </c>
    </row>
    <row r="34" spans="1:2" ht="15" customHeight="1">
      <c r="A34" s="301" t="s">
        <v>128</v>
      </c>
      <c r="B34" s="117">
        <v>17208.900000000001</v>
      </c>
    </row>
    <row r="35" spans="1:2" ht="15" customHeight="1">
      <c r="A35" s="301" t="s">
        <v>129</v>
      </c>
      <c r="B35" s="117">
        <v>17668.3</v>
      </c>
    </row>
    <row r="36" spans="1:2" ht="15" customHeight="1">
      <c r="A36" s="301" t="s">
        <v>9</v>
      </c>
      <c r="B36" s="117">
        <v>18219.900000000001</v>
      </c>
    </row>
    <row r="37" spans="1:2" ht="15" customHeight="1">
      <c r="A37" s="301" t="s">
        <v>10</v>
      </c>
      <c r="B37" s="117">
        <v>19980.900000000001</v>
      </c>
    </row>
    <row r="38" spans="1:2" ht="15" customHeight="1">
      <c r="A38" s="301" t="s">
        <v>11</v>
      </c>
      <c r="B38" s="117">
        <v>22469</v>
      </c>
    </row>
    <row r="39" spans="1:2" ht="15" customHeight="1">
      <c r="A39" s="301" t="s">
        <v>103</v>
      </c>
      <c r="B39" s="117">
        <v>22166.7</v>
      </c>
    </row>
    <row r="40" spans="1:2" ht="15" customHeight="1">
      <c r="A40" s="301" t="s">
        <v>118</v>
      </c>
      <c r="B40" s="117">
        <v>22745.599999999999</v>
      </c>
    </row>
  </sheetData>
  <mergeCells count="5">
    <mergeCell ref="A1:B1"/>
    <mergeCell ref="N1:O1"/>
    <mergeCell ref="G1:H1"/>
    <mergeCell ref="G2:H2"/>
    <mergeCell ref="D1:E1"/>
  </mergeCells>
  <hyperlinks>
    <hyperlink ref="J1" r:id="rId1"/>
    <hyperlink ref="A1" r:id="rId2"/>
    <hyperlink ref="N1:O1" r:id="rId3" display="Carbon Dioxide (CO2) Factors"/>
    <hyperlink ref="N5" r:id="rId4"/>
    <hyperlink ref="D1" r:id="rId5"/>
    <hyperlink ref="G1:H1" r:id="rId6" display="2017 Power Strategic Long-Term Resource Plan"/>
  </hyperlinks>
  <pageMargins left="0.7" right="0.7" top="0.75" bottom="0.75" header="0.3" footer="0.3"/>
  <pageSetup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4" activeCellId="2" sqref="B4 D4 E4"/>
    </sheetView>
  </sheetViews>
  <sheetFormatPr defaultColWidth="53.28515625" defaultRowHeight="15"/>
  <cols>
    <col min="1" max="1" width="20.85546875" bestFit="1" customWidth="1"/>
    <col min="2" max="2" width="12" bestFit="1" customWidth="1"/>
    <col min="3" max="3" width="7.5703125" bestFit="1" customWidth="1"/>
    <col min="4" max="4" width="13.42578125" bestFit="1" customWidth="1"/>
    <col min="5" max="5" width="12" bestFit="1" customWidth="1"/>
    <col min="6" max="6" width="16.28515625" bestFit="1" customWidth="1"/>
    <col min="7" max="9" width="12.7109375" bestFit="1" customWidth="1"/>
  </cols>
  <sheetData>
    <row r="1" spans="1:9">
      <c r="A1" s="220" t="s">
        <v>272</v>
      </c>
      <c r="B1" t="s">
        <v>275</v>
      </c>
      <c r="C1" t="s">
        <v>279</v>
      </c>
      <c r="D1" s="184" t="s">
        <v>270</v>
      </c>
      <c r="E1" t="s">
        <v>273</v>
      </c>
      <c r="F1" t="s">
        <v>274</v>
      </c>
      <c r="G1" t="s">
        <v>277</v>
      </c>
      <c r="H1" t="s">
        <v>278</v>
      </c>
      <c r="I1" t="s">
        <v>276</v>
      </c>
    </row>
    <row r="2" spans="1:9">
      <c r="A2" s="221" t="s">
        <v>25</v>
      </c>
      <c r="B2" s="222">
        <v>266.12293493146268</v>
      </c>
      <c r="C2" s="222">
        <v>-226.4011734052487</v>
      </c>
      <c r="D2" s="222">
        <v>26.660789200342155</v>
      </c>
      <c r="E2" s="222">
        <v>929.46711418632708</v>
      </c>
      <c r="F2" s="222">
        <v>-376.6843459435575</v>
      </c>
      <c r="G2" s="222">
        <v>-863.57824992694032</v>
      </c>
      <c r="H2" s="222">
        <v>-303.58577187568562</v>
      </c>
      <c r="I2" s="222">
        <v>-691.31706607568094</v>
      </c>
    </row>
    <row r="3" spans="1:9">
      <c r="A3" s="221" t="s">
        <v>66</v>
      </c>
      <c r="B3" s="222">
        <v>57.976876286275385</v>
      </c>
      <c r="C3" s="222">
        <v>-49.323192775414761</v>
      </c>
      <c r="D3" s="222">
        <v>5.6731483105194496</v>
      </c>
      <c r="E3" s="222">
        <v>209.64233374442725</v>
      </c>
      <c r="F3" s="222">
        <v>-84.961570090332359</v>
      </c>
      <c r="G3" s="222">
        <v>-197.92571261273412</v>
      </c>
      <c r="H3" s="222">
        <v>-70.745818266877293</v>
      </c>
      <c r="I3" s="222">
        <v>-166.8748025399606</v>
      </c>
    </row>
    <row r="4" spans="1:9">
      <c r="A4" s="184" t="s">
        <v>271</v>
      </c>
      <c r="B4" s="117">
        <f>SUM(B2:B3)</f>
        <v>324.09981121773808</v>
      </c>
      <c r="C4" s="117">
        <f>SUM(C2:C3)</f>
        <v>-275.72436618066348</v>
      </c>
      <c r="D4" s="117">
        <f>SUM(D2:D3)</f>
        <v>32.333937510861603</v>
      </c>
      <c r="E4" s="117">
        <f t="shared" ref="E4:H4" si="0">SUM(E2:E3)</f>
        <v>1139.1094479307544</v>
      </c>
      <c r="F4" s="117">
        <f t="shared" si="0"/>
        <v>-461.64591603388988</v>
      </c>
      <c r="G4" s="117">
        <f t="shared" si="0"/>
        <v>-1061.5039625396744</v>
      </c>
      <c r="H4" s="117">
        <f t="shared" si="0"/>
        <v>-374.3315901425629</v>
      </c>
      <c r="I4" s="117">
        <f>SUM(I2:I3)</f>
        <v>-858.19186861564151</v>
      </c>
    </row>
    <row r="5" spans="1:9">
      <c r="B5">
        <v>2019</v>
      </c>
      <c r="C5">
        <v>2019</v>
      </c>
      <c r="D5">
        <v>2019</v>
      </c>
      <c r="E5">
        <v>2021</v>
      </c>
      <c r="F5">
        <v>2021</v>
      </c>
      <c r="G5">
        <v>2022</v>
      </c>
      <c r="H5">
        <v>2023</v>
      </c>
      <c r="I5">
        <v>2025</v>
      </c>
    </row>
    <row r="8" spans="1:9">
      <c r="F8" s="184" t="s">
        <v>203</v>
      </c>
      <c r="G8" s="3" t="s">
        <v>204</v>
      </c>
    </row>
    <row r="9" spans="1:9">
      <c r="E9" s="3">
        <v>2019</v>
      </c>
      <c r="F9" s="207">
        <f>SUM(B3:D3)</f>
        <v>14.326831821380074</v>
      </c>
      <c r="G9" s="207">
        <f>SUM(B2:D2)-Sunnyportal!N8</f>
        <v>66.382550726556133</v>
      </c>
    </row>
    <row r="10" spans="1:9">
      <c r="E10" s="3">
        <v>2020</v>
      </c>
      <c r="F10" s="3"/>
      <c r="G10" s="3"/>
    </row>
    <row r="11" spans="1:9">
      <c r="E11" s="3">
        <v>2021</v>
      </c>
      <c r="F11" s="207">
        <f>SUM(E3:F3)</f>
        <v>124.68076365409489</v>
      </c>
      <c r="G11" s="207">
        <f>SUM(E2:F2)</f>
        <v>552.78276824276963</v>
      </c>
    </row>
    <row r="12" spans="1:9">
      <c r="E12" s="3">
        <v>2022</v>
      </c>
      <c r="F12" s="207">
        <f>G3</f>
        <v>-197.92571261273412</v>
      </c>
      <c r="G12" s="207">
        <f>G2</f>
        <v>-863.57824992694032</v>
      </c>
    </row>
    <row r="13" spans="1:9">
      <c r="E13" s="3">
        <v>2023</v>
      </c>
      <c r="F13" s="207">
        <f>H3</f>
        <v>-70.745818266877293</v>
      </c>
      <c r="G13" s="207">
        <f>H2</f>
        <v>-303.58577187568562</v>
      </c>
    </row>
    <row r="14" spans="1:9">
      <c r="E14" s="3">
        <v>2024</v>
      </c>
      <c r="F14" s="3"/>
      <c r="G14" s="3"/>
    </row>
    <row r="15" spans="1:9">
      <c r="E15" s="3">
        <v>2025</v>
      </c>
      <c r="F15" s="207">
        <f>I3</f>
        <v>-166.8748025399606</v>
      </c>
      <c r="G15" s="207">
        <f>I2</f>
        <v>-691.31706607568094</v>
      </c>
    </row>
    <row r="16" spans="1:9">
      <c r="F16" s="146">
        <f>SUM(F9:F15)</f>
        <v>-296.53873794409708</v>
      </c>
      <c r="G16" s="146">
        <f>SUM(G9:G15)</f>
        <v>-1239.3157689089812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O31" sqref="O31"/>
    </sheetView>
  </sheetViews>
  <sheetFormatPr defaultRowHeight="15"/>
  <cols>
    <col min="1" max="1" width="18" bestFit="1" customWidth="1"/>
    <col min="2" max="13" width="10.5703125" bestFit="1" customWidth="1"/>
    <col min="14" max="15" width="11.5703125" bestFit="1" customWidth="1"/>
  </cols>
  <sheetData>
    <row r="1" spans="1:15">
      <c r="A1" s="20" t="s">
        <v>56</v>
      </c>
      <c r="B1" s="20">
        <v>41456</v>
      </c>
      <c r="C1" s="20">
        <v>41487</v>
      </c>
      <c r="D1" s="20">
        <v>41518</v>
      </c>
      <c r="E1" s="20">
        <v>41548</v>
      </c>
      <c r="F1" s="20">
        <v>41579</v>
      </c>
      <c r="G1" s="20">
        <v>41609</v>
      </c>
      <c r="H1" s="20">
        <v>41640</v>
      </c>
      <c r="I1" s="20">
        <v>41671</v>
      </c>
      <c r="J1" s="20">
        <v>41699</v>
      </c>
      <c r="K1" s="20">
        <v>41730</v>
      </c>
      <c r="L1" s="20">
        <v>41760</v>
      </c>
      <c r="M1" s="20">
        <v>41791</v>
      </c>
      <c r="N1" s="20" t="s">
        <v>57</v>
      </c>
    </row>
    <row r="2" spans="1:15">
      <c r="A2" s="21" t="s">
        <v>58</v>
      </c>
      <c r="B2" s="22">
        <v>3297503</v>
      </c>
      <c r="C2" s="22">
        <v>3758993</v>
      </c>
      <c r="D2" s="22">
        <v>3685601</v>
      </c>
      <c r="E2" s="22">
        <v>3483511</v>
      </c>
      <c r="F2" s="22">
        <v>3501135</v>
      </c>
      <c r="G2" s="22">
        <v>3235174</v>
      </c>
      <c r="H2" s="22">
        <v>3018698</v>
      </c>
      <c r="I2" s="22">
        <v>3274357</v>
      </c>
      <c r="J2" s="22">
        <v>2699130</v>
      </c>
      <c r="K2" s="22">
        <v>3244715</v>
      </c>
      <c r="L2" s="22">
        <v>3343883</v>
      </c>
      <c r="M2" s="22">
        <v>3701502</v>
      </c>
      <c r="N2" s="23">
        <f>SUM(B2:M2)</f>
        <v>40244202</v>
      </c>
      <c r="O2" s="74">
        <f>N2*Reference!$D$6</f>
        <v>137318.8997053224</v>
      </c>
    </row>
    <row r="3" spans="1:15">
      <c r="A3" s="21" t="s">
        <v>59</v>
      </c>
      <c r="B3" s="22">
        <v>51653</v>
      </c>
      <c r="C3" s="22">
        <v>29700</v>
      </c>
      <c r="D3" s="22">
        <v>27465</v>
      </c>
      <c r="E3" s="22">
        <v>17688</v>
      </c>
      <c r="F3" s="22">
        <v>53790</v>
      </c>
      <c r="G3" s="22">
        <v>72078</v>
      </c>
      <c r="H3" s="22">
        <v>101498</v>
      </c>
      <c r="I3" s="22">
        <v>88482</v>
      </c>
      <c r="J3" s="22">
        <v>87522</v>
      </c>
      <c r="K3" s="22">
        <v>77868</v>
      </c>
      <c r="L3" s="22">
        <v>70360</v>
      </c>
      <c r="M3" s="22">
        <v>55787</v>
      </c>
      <c r="N3" s="23">
        <f t="shared" ref="N3:N7" si="0">SUM(B3:M3)</f>
        <v>733891</v>
      </c>
      <c r="O3" s="74">
        <f>N3*Reference!$D$7</f>
        <v>73389.100000000006</v>
      </c>
    </row>
    <row r="4" spans="1:15">
      <c r="A4" s="21" t="s">
        <v>60</v>
      </c>
      <c r="B4" s="22">
        <v>31.43</v>
      </c>
      <c r="C4" s="22">
        <v>502</v>
      </c>
      <c r="D4" s="22">
        <v>0</v>
      </c>
      <c r="E4" s="22">
        <v>0</v>
      </c>
      <c r="F4" s="22">
        <v>450</v>
      </c>
      <c r="G4" s="22">
        <v>0</v>
      </c>
      <c r="H4" s="22">
        <v>0</v>
      </c>
      <c r="I4" s="22">
        <v>9.52</v>
      </c>
      <c r="J4" s="22">
        <v>579</v>
      </c>
      <c r="K4" s="22">
        <v>0</v>
      </c>
      <c r="L4" s="22">
        <v>0</v>
      </c>
      <c r="M4" s="22">
        <v>0</v>
      </c>
      <c r="N4" s="23">
        <f t="shared" si="0"/>
        <v>1571.9499999999998</v>
      </c>
    </row>
    <row r="5" spans="1:15">
      <c r="A5" s="21" t="s">
        <v>61</v>
      </c>
      <c r="B5" s="22">
        <v>2320.13</v>
      </c>
      <c r="C5" s="22">
        <v>1537.28</v>
      </c>
      <c r="D5" s="22">
        <v>1504.96</v>
      </c>
      <c r="E5" s="22">
        <v>2985.41</v>
      </c>
      <c r="F5" s="22">
        <v>1576.9199999999998</v>
      </c>
      <c r="G5" s="22">
        <v>1204.98</v>
      </c>
      <c r="H5" s="22">
        <v>1146.6100000000001</v>
      </c>
      <c r="I5" s="22">
        <v>1677.96</v>
      </c>
      <c r="J5" s="22">
        <v>1302.92</v>
      </c>
      <c r="K5" s="22">
        <v>1450.04</v>
      </c>
      <c r="L5" s="22">
        <v>1576.6100000000001</v>
      </c>
      <c r="M5" s="22">
        <v>1454.8799999999999</v>
      </c>
      <c r="N5" s="23">
        <f t="shared" si="0"/>
        <v>19738.7</v>
      </c>
    </row>
    <row r="6" spans="1:15">
      <c r="A6" s="21" t="s">
        <v>62</v>
      </c>
      <c r="B6" s="22">
        <v>0</v>
      </c>
      <c r="C6" s="22">
        <v>0</v>
      </c>
      <c r="D6" s="22">
        <v>0</v>
      </c>
      <c r="E6" s="22">
        <v>26</v>
      </c>
      <c r="F6" s="22">
        <v>48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46</v>
      </c>
      <c r="M6" s="22">
        <v>0</v>
      </c>
      <c r="N6" s="23">
        <f t="shared" si="0"/>
        <v>120</v>
      </c>
    </row>
    <row r="7" spans="1:15">
      <c r="A7" s="21" t="s">
        <v>63</v>
      </c>
      <c r="B7" s="22">
        <v>9070</v>
      </c>
      <c r="C7" s="22">
        <v>7952</v>
      </c>
      <c r="D7" s="22">
        <v>7733</v>
      </c>
      <c r="E7" s="22">
        <v>8793</v>
      </c>
      <c r="F7" s="22">
        <v>16456.96</v>
      </c>
      <c r="G7" s="22">
        <v>7259</v>
      </c>
      <c r="H7" s="22">
        <v>6643.79</v>
      </c>
      <c r="I7" s="22">
        <v>5319.57</v>
      </c>
      <c r="J7" s="22">
        <v>5693</v>
      </c>
      <c r="K7" s="22">
        <v>5904</v>
      </c>
      <c r="L7" s="22">
        <v>5347.84</v>
      </c>
      <c r="M7" s="22">
        <v>8456</v>
      </c>
      <c r="N7" s="23">
        <f t="shared" si="0"/>
        <v>94628.160000000003</v>
      </c>
    </row>
    <row r="8" spans="1:15">
      <c r="A8" s="20" t="s">
        <v>56</v>
      </c>
      <c r="B8" s="20">
        <v>41821</v>
      </c>
      <c r="C8" s="20">
        <v>41852</v>
      </c>
      <c r="D8" s="20">
        <v>41883</v>
      </c>
      <c r="E8" s="20">
        <v>41913</v>
      </c>
      <c r="F8" s="20">
        <v>41944</v>
      </c>
      <c r="G8" s="20">
        <v>41974</v>
      </c>
      <c r="H8" s="20">
        <v>42005</v>
      </c>
      <c r="I8" s="20">
        <v>42036</v>
      </c>
      <c r="J8" s="20">
        <v>42064</v>
      </c>
      <c r="K8" s="20">
        <v>42095</v>
      </c>
      <c r="L8" s="20">
        <v>42125</v>
      </c>
      <c r="M8" s="20">
        <v>42156</v>
      </c>
      <c r="N8" s="20" t="s">
        <v>64</v>
      </c>
    </row>
    <row r="9" spans="1:15">
      <c r="A9" s="21" t="s">
        <v>58</v>
      </c>
      <c r="B9" s="22">
        <v>1233796</v>
      </c>
      <c r="C9" s="22">
        <v>3739407</v>
      </c>
      <c r="D9" s="22">
        <v>3745982</v>
      </c>
      <c r="E9" s="22">
        <v>3737669</v>
      </c>
      <c r="F9" s="22">
        <v>3880991</v>
      </c>
      <c r="G9" s="22">
        <v>3320525</v>
      </c>
      <c r="H9" s="22">
        <v>3028289</v>
      </c>
      <c r="I9" s="22">
        <v>3248766</v>
      </c>
      <c r="J9" s="22">
        <v>3077531</v>
      </c>
      <c r="K9" s="22">
        <v>3545142</v>
      </c>
      <c r="L9" s="22">
        <v>3423807</v>
      </c>
      <c r="M9" s="22">
        <v>3457352</v>
      </c>
      <c r="N9" s="23">
        <f>SUM(B9:M9)</f>
        <v>39439257</v>
      </c>
      <c r="O9" s="74">
        <f>N9*Reference!$D$6</f>
        <v>134572.31370708841</v>
      </c>
    </row>
    <row r="10" spans="1:15">
      <c r="A10" s="21" t="s">
        <v>59</v>
      </c>
      <c r="B10" s="22">
        <v>66656</v>
      </c>
      <c r="C10" s="22">
        <v>24081</v>
      </c>
      <c r="D10" s="22">
        <v>23520</v>
      </c>
      <c r="E10" s="22">
        <v>19343</v>
      </c>
      <c r="F10" s="22">
        <v>40237</v>
      </c>
      <c r="G10" s="22">
        <v>69136</v>
      </c>
      <c r="H10" s="22">
        <v>100222</v>
      </c>
      <c r="I10" s="22">
        <v>94320</v>
      </c>
      <c r="J10" s="22">
        <v>76553</v>
      </c>
      <c r="K10" s="22">
        <v>66534</v>
      </c>
      <c r="L10" s="22">
        <v>72301</v>
      </c>
      <c r="M10" s="22">
        <v>78690</v>
      </c>
      <c r="N10" s="23">
        <f t="shared" ref="N10:N14" si="1">SUM(B10:M10)</f>
        <v>731593</v>
      </c>
      <c r="O10" s="74">
        <f>N10*Reference!$D$7</f>
        <v>73159.3</v>
      </c>
    </row>
    <row r="11" spans="1:15">
      <c r="A11" s="21" t="s">
        <v>60</v>
      </c>
      <c r="B11" s="22">
        <v>756</v>
      </c>
      <c r="C11" s="22">
        <v>0</v>
      </c>
      <c r="D11" s="22">
        <v>1000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3">
        <f t="shared" si="1"/>
        <v>1756</v>
      </c>
    </row>
    <row r="12" spans="1:15">
      <c r="A12" s="21" t="s">
        <v>61</v>
      </c>
      <c r="B12" s="22">
        <v>1413.61</v>
      </c>
      <c r="C12" s="22">
        <v>1432.54</v>
      </c>
      <c r="D12" s="22">
        <v>2102.17</v>
      </c>
      <c r="E12" s="22">
        <v>1760.94</v>
      </c>
      <c r="F12" s="22">
        <v>1709.3400000000001</v>
      </c>
      <c r="G12" s="22">
        <v>1408.29</v>
      </c>
      <c r="H12" s="22">
        <v>1245.26</v>
      </c>
      <c r="I12" s="22">
        <v>1899.1699999999998</v>
      </c>
      <c r="J12" s="22">
        <v>1592.75</v>
      </c>
      <c r="K12" s="22">
        <v>2169.88</v>
      </c>
      <c r="L12" s="22">
        <v>1990.67</v>
      </c>
      <c r="M12" s="22">
        <v>1624.67</v>
      </c>
      <c r="N12" s="23">
        <f t="shared" si="1"/>
        <v>20349.29</v>
      </c>
    </row>
    <row r="13" spans="1:15">
      <c r="A13" s="21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44</v>
      </c>
      <c r="K13" s="22">
        <v>0</v>
      </c>
      <c r="L13" s="22">
        <v>0</v>
      </c>
      <c r="M13" s="22">
        <v>0</v>
      </c>
      <c r="N13" s="23">
        <f t="shared" si="1"/>
        <v>44</v>
      </c>
    </row>
    <row r="14" spans="1:15">
      <c r="A14" s="21" t="s">
        <v>63</v>
      </c>
      <c r="B14" s="22">
        <v>9080</v>
      </c>
      <c r="C14" s="22">
        <v>9464.74</v>
      </c>
      <c r="D14" s="22">
        <v>7344</v>
      </c>
      <c r="E14" s="22">
        <v>6907</v>
      </c>
      <c r="F14" s="22">
        <v>8244</v>
      </c>
      <c r="G14" s="22">
        <v>7259</v>
      </c>
      <c r="H14" s="22">
        <v>6169.7199999999993</v>
      </c>
      <c r="I14" s="22">
        <v>2972</v>
      </c>
      <c r="J14" s="22">
        <v>4894.79</v>
      </c>
      <c r="K14" s="22">
        <v>5400</v>
      </c>
      <c r="L14" s="22">
        <v>6050</v>
      </c>
      <c r="M14" s="22">
        <v>6768.76</v>
      </c>
      <c r="N14" s="23">
        <f t="shared" si="1"/>
        <v>80554.009999999995</v>
      </c>
    </row>
    <row r="15" spans="1:15">
      <c r="A15" s="20" t="s">
        <v>56</v>
      </c>
      <c r="B15" s="20">
        <v>42186</v>
      </c>
      <c r="C15" s="20">
        <v>42217</v>
      </c>
      <c r="D15" s="20">
        <v>42248</v>
      </c>
      <c r="E15" s="20">
        <v>42278</v>
      </c>
      <c r="F15" s="20">
        <v>42309</v>
      </c>
      <c r="G15" s="20">
        <v>42339</v>
      </c>
      <c r="H15" s="20">
        <v>42370</v>
      </c>
      <c r="I15" s="20">
        <v>42401</v>
      </c>
      <c r="J15" s="20">
        <v>42430</v>
      </c>
      <c r="K15" s="20">
        <v>42461</v>
      </c>
      <c r="L15" s="20">
        <v>42491</v>
      </c>
      <c r="M15" s="20">
        <v>42522</v>
      </c>
      <c r="N15" s="20" t="s">
        <v>65</v>
      </c>
    </row>
    <row r="16" spans="1:15">
      <c r="A16" s="21" t="s">
        <v>58</v>
      </c>
      <c r="B16" s="22">
        <v>3602201</v>
      </c>
      <c r="C16" s="22">
        <v>3747191</v>
      </c>
      <c r="D16" s="22">
        <v>3838143</v>
      </c>
      <c r="E16" s="22">
        <v>3884550</v>
      </c>
      <c r="F16" s="22">
        <v>4034263</v>
      </c>
      <c r="G16" s="22">
        <v>3250943</v>
      </c>
      <c r="H16" s="22">
        <v>3003197</v>
      </c>
      <c r="I16" s="22">
        <v>3262268</v>
      </c>
      <c r="J16" s="22">
        <v>3353334</v>
      </c>
      <c r="K16" s="22">
        <v>3377332</v>
      </c>
      <c r="L16" s="22">
        <v>3424122</v>
      </c>
      <c r="M16" s="22">
        <v>3391704</v>
      </c>
      <c r="N16" s="23">
        <f>SUM(B16:M16)</f>
        <v>42169248</v>
      </c>
      <c r="O16" s="74">
        <f>N16*Reference!$D$6</f>
        <v>143887.42847381759</v>
      </c>
    </row>
    <row r="17" spans="1:15">
      <c r="A17" s="21" t="s">
        <v>59</v>
      </c>
      <c r="B17" s="22">
        <v>37894</v>
      </c>
      <c r="C17" s="22">
        <v>20109</v>
      </c>
      <c r="D17" s="22">
        <v>12085</v>
      </c>
      <c r="E17" s="22">
        <v>12155</v>
      </c>
      <c r="F17" s="22">
        <v>19830</v>
      </c>
      <c r="G17" s="22">
        <v>59999</v>
      </c>
      <c r="H17" s="22">
        <v>71033</v>
      </c>
      <c r="I17" s="22">
        <v>89671</v>
      </c>
      <c r="J17" s="22">
        <v>47167</v>
      </c>
      <c r="K17" s="22">
        <v>77455</v>
      </c>
      <c r="L17" s="22">
        <v>59387</v>
      </c>
      <c r="M17" s="22">
        <v>63281</v>
      </c>
      <c r="N17" s="23">
        <f t="shared" ref="N17:N21" si="2">SUM(B17:M17)</f>
        <v>570066</v>
      </c>
      <c r="O17" s="74">
        <f>N17*Reference!$D$7</f>
        <v>57006.600000000006</v>
      </c>
    </row>
    <row r="18" spans="1:15">
      <c r="A18" s="21" t="s">
        <v>60</v>
      </c>
      <c r="B18" s="22">
        <v>0</v>
      </c>
      <c r="C18" s="22">
        <v>236.5</v>
      </c>
      <c r="D18" s="22">
        <v>0</v>
      </c>
      <c r="E18" s="22">
        <v>179.3</v>
      </c>
      <c r="F18" s="22">
        <v>149.69999999999999</v>
      </c>
      <c r="G18" s="22">
        <v>157.4</v>
      </c>
      <c r="H18" s="22">
        <v>0</v>
      </c>
      <c r="I18" s="22">
        <v>498.7</v>
      </c>
      <c r="J18" s="22">
        <v>487.8</v>
      </c>
      <c r="K18" s="22">
        <v>276.60000000000002</v>
      </c>
      <c r="L18" s="22">
        <v>119.8</v>
      </c>
      <c r="M18" s="22">
        <v>0</v>
      </c>
      <c r="N18" s="23">
        <f t="shared" si="2"/>
        <v>2105.8000000000002</v>
      </c>
    </row>
    <row r="19" spans="1:15">
      <c r="A19" s="21" t="s">
        <v>61</v>
      </c>
      <c r="B19" s="22">
        <v>1565.04</v>
      </c>
      <c r="C19" s="22">
        <v>1814.19</v>
      </c>
      <c r="D19" s="22">
        <v>2019.85</v>
      </c>
      <c r="E19" s="22">
        <v>2098.9699999999998</v>
      </c>
      <c r="F19" s="22">
        <v>2104.85</v>
      </c>
      <c r="G19" s="22">
        <v>1705.1799999999998</v>
      </c>
      <c r="H19" s="22">
        <v>1788.3400000000001</v>
      </c>
      <c r="I19" s="22">
        <v>2559.84</v>
      </c>
      <c r="J19" s="22">
        <v>2377.6799999999998</v>
      </c>
      <c r="K19" s="22">
        <v>2298.94</v>
      </c>
      <c r="L19" s="22">
        <v>2171.71</v>
      </c>
      <c r="M19" s="22">
        <v>2097.8000000000002</v>
      </c>
      <c r="N19" s="23">
        <f t="shared" si="2"/>
        <v>24602.389999999996</v>
      </c>
    </row>
    <row r="20" spans="1:15">
      <c r="A20" s="21" t="s">
        <v>62</v>
      </c>
      <c r="B20" s="22">
        <v>0</v>
      </c>
      <c r="C20" s="22">
        <v>0</v>
      </c>
      <c r="D20" s="22">
        <v>32.86</v>
      </c>
      <c r="E20" s="22">
        <v>31</v>
      </c>
      <c r="F20" s="22">
        <v>31</v>
      </c>
      <c r="G20" s="22">
        <v>0</v>
      </c>
      <c r="H20" s="22">
        <v>32</v>
      </c>
      <c r="I20" s="22">
        <v>0</v>
      </c>
      <c r="J20" s="22">
        <v>15</v>
      </c>
      <c r="K20" s="22">
        <v>0</v>
      </c>
      <c r="L20" s="22">
        <v>0</v>
      </c>
      <c r="M20" s="22">
        <v>0</v>
      </c>
      <c r="N20" s="23">
        <f t="shared" si="2"/>
        <v>141.86000000000001</v>
      </c>
    </row>
    <row r="21" spans="1:15">
      <c r="A21" s="21" t="s">
        <v>63</v>
      </c>
      <c r="B21" s="22">
        <v>4546</v>
      </c>
      <c r="C21" s="22">
        <v>3303</v>
      </c>
      <c r="D21" s="22">
        <v>3091.79</v>
      </c>
      <c r="E21" s="22">
        <v>4946</v>
      </c>
      <c r="F21" s="22">
        <v>6219</v>
      </c>
      <c r="G21" s="22">
        <v>6570</v>
      </c>
      <c r="H21" s="22">
        <v>5987</v>
      </c>
      <c r="I21" s="22">
        <v>3414</v>
      </c>
      <c r="J21" s="22">
        <v>4489</v>
      </c>
      <c r="K21" s="22">
        <v>5209.3099999999995</v>
      </c>
      <c r="L21" s="22">
        <v>4620</v>
      </c>
      <c r="M21" s="22">
        <v>5618</v>
      </c>
      <c r="N21" s="23">
        <f t="shared" si="2"/>
        <v>58013.1</v>
      </c>
    </row>
    <row r="22" spans="1:15">
      <c r="A22" s="20" t="s">
        <v>56</v>
      </c>
      <c r="B22" s="20">
        <v>42552</v>
      </c>
      <c r="C22" s="20">
        <v>42583</v>
      </c>
      <c r="D22" s="20">
        <v>42614</v>
      </c>
      <c r="E22" s="20">
        <v>42644</v>
      </c>
      <c r="F22" s="20">
        <v>42675</v>
      </c>
      <c r="G22" s="20">
        <v>42705</v>
      </c>
      <c r="H22" s="20">
        <v>42736</v>
      </c>
      <c r="I22" s="20">
        <v>42767</v>
      </c>
      <c r="J22" s="20">
        <v>42795</v>
      </c>
      <c r="K22" s="20">
        <v>42826</v>
      </c>
      <c r="L22" s="20">
        <v>42856</v>
      </c>
      <c r="M22" s="20">
        <v>42887</v>
      </c>
      <c r="N22" s="20" t="s">
        <v>117</v>
      </c>
    </row>
    <row r="23" spans="1:15">
      <c r="A23" s="21" t="s">
        <v>58</v>
      </c>
      <c r="B23" s="22">
        <v>3544247</v>
      </c>
      <c r="C23" s="22">
        <v>3835962</v>
      </c>
      <c r="D23" s="22">
        <v>3832749</v>
      </c>
      <c r="E23" s="22">
        <v>3742548</v>
      </c>
      <c r="F23" s="22">
        <v>3656626</v>
      </c>
      <c r="G23" s="22">
        <v>3262197</v>
      </c>
      <c r="H23" s="22">
        <v>2789569</v>
      </c>
      <c r="I23" s="22">
        <v>2882196</v>
      </c>
      <c r="J23" s="22">
        <v>2899559</v>
      </c>
      <c r="K23" s="22">
        <v>3274487</v>
      </c>
      <c r="L23" s="22">
        <v>3279115</v>
      </c>
      <c r="M23" s="22">
        <v>3373168</v>
      </c>
      <c r="N23" s="23">
        <f>SUM(B23:M23)</f>
        <v>40372423</v>
      </c>
      <c r="O23" s="74">
        <f>N23*Reference!$D$6</f>
        <v>137756.40786212761</v>
      </c>
    </row>
    <row r="24" spans="1:15">
      <c r="A24" s="21" t="s">
        <v>59</v>
      </c>
      <c r="B24" s="22">
        <v>38372</v>
      </c>
      <c r="C24" s="22">
        <v>25078</v>
      </c>
      <c r="D24" s="22">
        <v>19185</v>
      </c>
      <c r="E24" s="22">
        <v>23055</v>
      </c>
      <c r="F24" s="22">
        <v>36384</v>
      </c>
      <c r="G24" s="22">
        <v>53196</v>
      </c>
      <c r="H24" s="22">
        <v>78713</v>
      </c>
      <c r="I24" s="22">
        <v>109688</v>
      </c>
      <c r="J24" s="22">
        <v>98696</v>
      </c>
      <c r="K24" s="22">
        <v>76100</v>
      </c>
      <c r="L24" s="22">
        <v>66531</v>
      </c>
      <c r="M24" s="22">
        <v>49701</v>
      </c>
      <c r="N24" s="23">
        <f t="shared" ref="N24:N28" si="3">SUM(B24:M24)</f>
        <v>674699</v>
      </c>
      <c r="O24" s="74">
        <f>N24*Reference!$D$7</f>
        <v>67469.900000000009</v>
      </c>
    </row>
    <row r="25" spans="1:15">
      <c r="A25" s="21" t="s">
        <v>60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72.3</v>
      </c>
      <c r="H25" s="22">
        <v>131.69999999999999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3">
        <f t="shared" si="3"/>
        <v>204</v>
      </c>
    </row>
    <row r="26" spans="1:15">
      <c r="A26" s="21" t="s">
        <v>61</v>
      </c>
      <c r="B26" s="22">
        <v>1518.15</v>
      </c>
      <c r="C26" s="22">
        <v>1809.8500000000001</v>
      </c>
      <c r="D26" s="22">
        <v>1805.79</v>
      </c>
      <c r="E26" s="22">
        <v>1883.1100000000001</v>
      </c>
      <c r="F26" s="22">
        <v>1660.73</v>
      </c>
      <c r="G26" s="22">
        <v>1653.7300000000002</v>
      </c>
      <c r="H26" s="22">
        <v>1320.3600000000001</v>
      </c>
      <c r="I26" s="22">
        <v>1909.99</v>
      </c>
      <c r="J26" s="22">
        <v>1555.69</v>
      </c>
      <c r="K26" s="22">
        <v>1591.29</v>
      </c>
      <c r="L26" s="22">
        <v>1810.67</v>
      </c>
      <c r="M26" s="22">
        <v>1658.8600000000001</v>
      </c>
      <c r="N26" s="23">
        <f t="shared" si="3"/>
        <v>20178.22</v>
      </c>
    </row>
    <row r="27" spans="1:15">
      <c r="A27" s="21" t="s">
        <v>62</v>
      </c>
      <c r="B27" s="22">
        <v>5</v>
      </c>
      <c r="C27" s="22">
        <v>7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3">
        <f t="shared" si="3"/>
        <v>12</v>
      </c>
    </row>
    <row r="28" spans="1:15">
      <c r="A28" s="21" t="s">
        <v>63</v>
      </c>
      <c r="B28" s="22">
        <v>5893.54</v>
      </c>
      <c r="C28" s="22">
        <v>6546</v>
      </c>
      <c r="D28" s="22">
        <v>7277.59</v>
      </c>
      <c r="E28" s="22">
        <v>7805.53</v>
      </c>
      <c r="F28" s="22">
        <v>7403.6200000000008</v>
      </c>
      <c r="G28" s="22">
        <v>6571.77</v>
      </c>
      <c r="H28" s="22">
        <v>5252.83</v>
      </c>
      <c r="I28" s="22">
        <v>2134.0500000000002</v>
      </c>
      <c r="J28" s="22">
        <v>2797.72</v>
      </c>
      <c r="K28" s="22">
        <v>3877.6299999999997</v>
      </c>
      <c r="L28" s="22">
        <v>4561</v>
      </c>
      <c r="M28" s="22">
        <v>6325</v>
      </c>
      <c r="N28" s="23">
        <f t="shared" si="3"/>
        <v>66446.28</v>
      </c>
    </row>
    <row r="29" spans="1:15">
      <c r="A29" s="20" t="s">
        <v>56</v>
      </c>
      <c r="B29" s="20">
        <v>42917</v>
      </c>
      <c r="C29" s="20">
        <v>42948</v>
      </c>
      <c r="D29" s="20">
        <v>42979</v>
      </c>
      <c r="E29" s="20">
        <v>43009</v>
      </c>
      <c r="F29" s="20">
        <v>43040</v>
      </c>
      <c r="G29" s="20">
        <v>43070</v>
      </c>
      <c r="H29" s="20">
        <v>43101</v>
      </c>
      <c r="I29" s="20">
        <v>43132</v>
      </c>
      <c r="J29" s="20">
        <v>43160</v>
      </c>
      <c r="K29" s="20">
        <v>43191</v>
      </c>
      <c r="L29" s="20">
        <v>43221</v>
      </c>
      <c r="M29" s="20">
        <v>43252</v>
      </c>
      <c r="N29" s="20" t="s">
        <v>125</v>
      </c>
    </row>
    <row r="30" spans="1:15">
      <c r="A30" s="21" t="s">
        <v>58</v>
      </c>
      <c r="B30" s="22">
        <v>3327004</v>
      </c>
      <c r="C30" s="22">
        <v>3625614</v>
      </c>
      <c r="D30" s="22">
        <v>3780169</v>
      </c>
      <c r="E30" s="22">
        <v>3622482</v>
      </c>
      <c r="F30" s="22">
        <v>3641765</v>
      </c>
      <c r="G30" s="22">
        <v>3150298</v>
      </c>
      <c r="H30" s="22">
        <v>2802018</v>
      </c>
      <c r="I30" s="22">
        <v>2951128</v>
      </c>
      <c r="J30" s="22">
        <v>2860387</v>
      </c>
      <c r="K30" s="226">
        <v>3012811</v>
      </c>
      <c r="L30" s="22">
        <v>3076307</v>
      </c>
      <c r="M30" s="22">
        <v>3050088</v>
      </c>
      <c r="N30" s="23">
        <f>SUM(B30:M30)</f>
        <v>38900071</v>
      </c>
      <c r="O30" s="74">
        <f>N30*Reference!$D$6</f>
        <v>132732.5349420252</v>
      </c>
    </row>
    <row r="31" spans="1:15">
      <c r="A31" s="21" t="s">
        <v>59</v>
      </c>
      <c r="B31" s="22">
        <v>28217</v>
      </c>
      <c r="C31" s="22">
        <v>15470</v>
      </c>
      <c r="D31" s="22">
        <v>14059</v>
      </c>
      <c r="E31" s="22">
        <v>17714</v>
      </c>
      <c r="F31" s="22">
        <v>26408</v>
      </c>
      <c r="G31" s="22">
        <v>55047</v>
      </c>
      <c r="H31" s="22">
        <v>59153</v>
      </c>
      <c r="I31" s="22">
        <v>67923</v>
      </c>
      <c r="J31" s="22">
        <v>77212</v>
      </c>
      <c r="K31" s="22">
        <v>80393</v>
      </c>
      <c r="L31" s="22">
        <v>62439</v>
      </c>
      <c r="M31" s="22">
        <v>53151</v>
      </c>
      <c r="N31" s="23">
        <f t="shared" ref="N31:N35" si="4">SUM(B31:M31)</f>
        <v>557186</v>
      </c>
      <c r="O31" s="74">
        <f>N31*Reference!$D$7</f>
        <v>55718.600000000006</v>
      </c>
    </row>
    <row r="32" spans="1:15">
      <c r="A32" s="21" t="s">
        <v>60</v>
      </c>
      <c r="B32" s="22">
        <v>280.10000000000002</v>
      </c>
      <c r="C32" s="22">
        <v>247.3</v>
      </c>
      <c r="D32" s="22">
        <v>145.5</v>
      </c>
      <c r="E32" s="22">
        <v>164.9</v>
      </c>
      <c r="F32" s="22">
        <v>33.200000000000003</v>
      </c>
      <c r="G32" s="22">
        <v>123.6</v>
      </c>
      <c r="H32" s="22">
        <v>251.9</v>
      </c>
      <c r="I32" s="22">
        <v>133.30000000000001</v>
      </c>
      <c r="J32" s="22">
        <v>135.4</v>
      </c>
      <c r="K32" s="22">
        <v>191</v>
      </c>
      <c r="L32" s="22">
        <v>308.2</v>
      </c>
      <c r="M32" s="22">
        <v>74.3</v>
      </c>
      <c r="N32" s="23">
        <f t="shared" si="4"/>
        <v>2088.7000000000003</v>
      </c>
    </row>
    <row r="33" spans="1:14">
      <c r="A33" s="21" t="s">
        <v>61</v>
      </c>
      <c r="B33" s="22">
        <v>1702.0800000000002</v>
      </c>
      <c r="C33" s="22">
        <v>1810.2700000000002</v>
      </c>
      <c r="D33" s="22">
        <v>2365.7399999999998</v>
      </c>
      <c r="E33" s="162">
        <v>2298.9100000000003</v>
      </c>
      <c r="F33" s="162">
        <v>1943.7</v>
      </c>
      <c r="G33" s="22">
        <v>1908.8</v>
      </c>
      <c r="H33" s="22">
        <v>1577.57</v>
      </c>
      <c r="I33" s="22">
        <v>2441.98</v>
      </c>
      <c r="J33" s="22">
        <v>2236.63</v>
      </c>
      <c r="K33" s="22">
        <v>2383.48</v>
      </c>
      <c r="L33" s="22">
        <v>2363.8200000000002</v>
      </c>
      <c r="M33" s="22">
        <v>1921.93</v>
      </c>
      <c r="N33" s="23">
        <f t="shared" si="4"/>
        <v>24954.91</v>
      </c>
    </row>
    <row r="34" spans="1:14">
      <c r="A34" s="21" t="s">
        <v>62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3">
        <f t="shared" si="4"/>
        <v>0</v>
      </c>
    </row>
    <row r="35" spans="1:14">
      <c r="A35" s="21" t="s">
        <v>63</v>
      </c>
      <c r="B35" s="22">
        <v>4689</v>
      </c>
      <c r="C35" s="22">
        <v>5288</v>
      </c>
      <c r="D35" s="22">
        <v>5661.33</v>
      </c>
      <c r="E35" s="22">
        <v>6421.49</v>
      </c>
      <c r="F35" s="22">
        <v>6914</v>
      </c>
      <c r="G35" s="22">
        <v>5667.38</v>
      </c>
      <c r="H35" s="22">
        <v>5164.53</v>
      </c>
      <c r="I35" s="22">
        <v>2600</v>
      </c>
      <c r="J35" s="22">
        <v>3879</v>
      </c>
      <c r="K35" s="22">
        <v>4055.75</v>
      </c>
      <c r="L35" s="22">
        <v>4355</v>
      </c>
      <c r="M35" s="22">
        <v>7188.6</v>
      </c>
      <c r="N35" s="23">
        <f t="shared" si="4"/>
        <v>61884.079999999994</v>
      </c>
    </row>
    <row r="48" spans="1:14">
      <c r="B48" s="4"/>
      <c r="D48" s="4"/>
      <c r="E48" s="4"/>
      <c r="F48" s="4"/>
      <c r="G48" s="4"/>
      <c r="H48" s="4"/>
      <c r="I48" s="4"/>
      <c r="J48" s="4"/>
      <c r="K48" s="4"/>
      <c r="L48" s="4"/>
      <c r="M4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9" sqref="E19"/>
    </sheetView>
  </sheetViews>
  <sheetFormatPr defaultRowHeight="15"/>
  <cols>
    <col min="1" max="1" width="17.85546875" bestFit="1" customWidth="1"/>
    <col min="2" max="2" width="10.7109375" customWidth="1"/>
    <col min="9" max="9" width="13.5703125" customWidth="1"/>
    <col min="13" max="13" width="11" customWidth="1"/>
    <col min="14" max="14" width="10.85546875" customWidth="1"/>
    <col min="22" max="22" width="16.140625" customWidth="1"/>
  </cols>
  <sheetData>
    <row r="1" spans="1:9">
      <c r="A1" s="143" t="s">
        <v>36</v>
      </c>
      <c r="B1" s="10">
        <v>2013</v>
      </c>
      <c r="C1" s="10">
        <v>2014</v>
      </c>
      <c r="D1" s="10">
        <v>2015</v>
      </c>
      <c r="E1" s="10">
        <v>2016</v>
      </c>
      <c r="F1" s="10">
        <v>2017</v>
      </c>
    </row>
    <row r="2" spans="1:9">
      <c r="A2" s="143" t="s">
        <v>26</v>
      </c>
      <c r="B2" s="144">
        <v>600</v>
      </c>
      <c r="C2" s="144">
        <v>355</v>
      </c>
      <c r="D2" s="144">
        <v>524</v>
      </c>
      <c r="E2" s="144">
        <v>260</v>
      </c>
      <c r="F2" s="144">
        <v>255</v>
      </c>
      <c r="I2" s="155"/>
    </row>
    <row r="4" spans="1:9">
      <c r="A4" s="47" t="s">
        <v>35</v>
      </c>
      <c r="B4" s="10">
        <v>2013</v>
      </c>
      <c r="C4" s="10">
        <v>2014</v>
      </c>
      <c r="D4" s="10">
        <v>2015</v>
      </c>
      <c r="E4" s="10">
        <v>2016</v>
      </c>
      <c r="F4" s="10">
        <v>2017</v>
      </c>
      <c r="I4" s="165"/>
    </row>
    <row r="5" spans="1:9">
      <c r="A5" s="143" t="s">
        <v>194</v>
      </c>
      <c r="B5" s="3">
        <v>0.16439999999999999</v>
      </c>
      <c r="C5" s="3">
        <f>6.38/37.5</f>
        <v>0.17013333333333333</v>
      </c>
      <c r="D5" s="45">
        <v>0.19</v>
      </c>
      <c r="E5" s="45">
        <v>9.4049999999999995E-2</v>
      </c>
      <c r="F5" s="45">
        <v>0.05</v>
      </c>
      <c r="I5" s="163"/>
    </row>
    <row r="6" spans="1:9">
      <c r="A6" s="143" t="s">
        <v>194</v>
      </c>
      <c r="B6" s="3">
        <v>0.15090000000000001</v>
      </c>
      <c r="C6" s="3">
        <f t="shared" ref="C6:C19" si="0">6.38/37.5</f>
        <v>0.17013333333333333</v>
      </c>
      <c r="D6" s="45">
        <v>0.19</v>
      </c>
      <c r="E6" s="45">
        <v>0.05</v>
      </c>
      <c r="F6" s="45">
        <v>0.05</v>
      </c>
      <c r="I6" s="163"/>
    </row>
    <row r="7" spans="1:9">
      <c r="A7" s="143" t="s">
        <v>194</v>
      </c>
      <c r="B7" s="3">
        <v>0.1187</v>
      </c>
      <c r="C7" s="3">
        <f t="shared" si="0"/>
        <v>0.17013333333333333</v>
      </c>
      <c r="D7" s="45">
        <v>0.185</v>
      </c>
      <c r="E7" s="45">
        <v>0.05</v>
      </c>
      <c r="F7" s="45">
        <v>0.29287400000000002</v>
      </c>
      <c r="I7" s="163"/>
    </row>
    <row r="8" spans="1:9">
      <c r="A8" s="143" t="s">
        <v>194</v>
      </c>
      <c r="B8" s="3">
        <v>0.31030000000000002</v>
      </c>
      <c r="C8" s="3">
        <f t="shared" si="0"/>
        <v>0.17013333333333333</v>
      </c>
      <c r="D8" s="45">
        <v>0.19500000000000001</v>
      </c>
      <c r="E8" s="45">
        <v>0.13950799999999999</v>
      </c>
      <c r="F8" s="45">
        <v>0.244842</v>
      </c>
      <c r="I8" s="163"/>
    </row>
    <row r="9" spans="1:9">
      <c r="A9" s="143" t="s">
        <v>194</v>
      </c>
      <c r="B9" s="3">
        <v>0.13339999999999999</v>
      </c>
      <c r="C9" s="3">
        <f t="shared" si="0"/>
        <v>0.17013333333333333</v>
      </c>
      <c r="D9" s="45">
        <v>0.18</v>
      </c>
      <c r="E9" s="45">
        <v>0.24609800000000001</v>
      </c>
      <c r="F9" s="45">
        <v>0.226128</v>
      </c>
      <c r="I9" s="163"/>
    </row>
    <row r="10" spans="1:9">
      <c r="A10" s="143" t="s">
        <v>194</v>
      </c>
      <c r="B10" s="3">
        <v>0.26919999999999999</v>
      </c>
      <c r="C10" s="3">
        <f t="shared" si="0"/>
        <v>0.17013333333333333</v>
      </c>
      <c r="D10" s="45">
        <v>0.22</v>
      </c>
      <c r="E10" s="45">
        <v>0.22728799999999999</v>
      </c>
      <c r="F10" s="45">
        <v>0.27634300000000001</v>
      </c>
      <c r="I10" s="163"/>
    </row>
    <row r="11" spans="1:9">
      <c r="A11" s="143" t="s">
        <v>194</v>
      </c>
      <c r="B11" s="3">
        <v>0.11310000000000001</v>
      </c>
      <c r="C11" s="3">
        <f t="shared" si="0"/>
        <v>0.17013333333333333</v>
      </c>
      <c r="D11" s="45">
        <v>0.19</v>
      </c>
      <c r="E11" s="45">
        <v>0.27776099999999998</v>
      </c>
      <c r="F11" s="45">
        <v>0.23860400000000001</v>
      </c>
      <c r="I11" s="163"/>
    </row>
    <row r="12" spans="1:9">
      <c r="A12" s="143" t="s">
        <v>194</v>
      </c>
      <c r="B12" s="3">
        <v>0.11409999999999999</v>
      </c>
      <c r="C12" s="3">
        <f t="shared" si="0"/>
        <v>0.17013333333333333</v>
      </c>
      <c r="D12" s="45">
        <v>0.19500000000000001</v>
      </c>
      <c r="E12" s="45">
        <v>0.23982800000000001</v>
      </c>
      <c r="F12" s="45">
        <v>0.244842</v>
      </c>
      <c r="I12" s="163"/>
    </row>
    <row r="13" spans="1:9">
      <c r="A13" s="143" t="s">
        <v>194</v>
      </c>
      <c r="B13" s="3">
        <v>2.0891999999999999</v>
      </c>
      <c r="C13" s="3">
        <f t="shared" si="0"/>
        <v>0.17013333333333333</v>
      </c>
      <c r="D13" s="45">
        <v>0.16</v>
      </c>
      <c r="E13" s="45">
        <v>0.24609800000000001</v>
      </c>
      <c r="F13" s="45">
        <v>0.20086399999999999</v>
      </c>
      <c r="I13" s="163"/>
    </row>
    <row r="14" spans="1:9">
      <c r="A14" s="143" t="s">
        <v>194</v>
      </c>
      <c r="B14" s="3">
        <v>0.1356</v>
      </c>
      <c r="C14" s="3">
        <f t="shared" si="0"/>
        <v>0.17013333333333333</v>
      </c>
      <c r="D14" s="45">
        <v>0.18</v>
      </c>
      <c r="E14" s="45">
        <v>0.20189399999999999</v>
      </c>
      <c r="F14" s="45">
        <v>0.226128</v>
      </c>
      <c r="I14" s="163"/>
    </row>
    <row r="15" spans="1:9">
      <c r="A15" s="143" t="s">
        <v>194</v>
      </c>
      <c r="B15" s="3">
        <v>0.1215</v>
      </c>
      <c r="C15" s="3">
        <f t="shared" si="0"/>
        <v>0.17013333333333333</v>
      </c>
      <c r="D15" s="45">
        <v>0.185</v>
      </c>
      <c r="E15" s="45">
        <v>0.22728799999999999</v>
      </c>
      <c r="F15" s="45">
        <v>0.23236599999999999</v>
      </c>
      <c r="I15" s="163"/>
    </row>
    <row r="16" spans="1:9">
      <c r="A16" s="143" t="s">
        <v>194</v>
      </c>
      <c r="B16" s="3">
        <v>0.1055</v>
      </c>
      <c r="C16" s="3">
        <f>9.38/37.5</f>
        <v>0.25013333333333337</v>
      </c>
      <c r="D16" s="45">
        <v>0.187</v>
      </c>
      <c r="E16" s="45">
        <v>0.23355799999999999</v>
      </c>
      <c r="F16" s="45">
        <v>0.23486099999999999</v>
      </c>
      <c r="I16" s="163"/>
    </row>
    <row r="17" spans="1:9">
      <c r="A17" s="143" t="s">
        <v>194</v>
      </c>
      <c r="B17" s="3"/>
      <c r="C17" s="3">
        <f t="shared" si="0"/>
        <v>0.17013333333333333</v>
      </c>
      <c r="D17" s="45">
        <v>0.22</v>
      </c>
      <c r="E17" s="45">
        <v>0.236065</v>
      </c>
      <c r="F17" s="45">
        <v>0.27634300000000001</v>
      </c>
      <c r="I17" s="163"/>
    </row>
    <row r="18" spans="1:9">
      <c r="A18" s="143" t="s">
        <v>194</v>
      </c>
      <c r="B18" s="3"/>
      <c r="C18" s="3">
        <f t="shared" si="0"/>
        <v>0.17013333333333333</v>
      </c>
      <c r="D18" s="45">
        <v>0.19500000000000001</v>
      </c>
      <c r="E18" s="45">
        <v>0.27776099999999998</v>
      </c>
      <c r="F18" s="45">
        <v>0.24671299999999999</v>
      </c>
      <c r="I18" s="163"/>
    </row>
    <row r="19" spans="1:9">
      <c r="A19" s="143" t="s">
        <v>194</v>
      </c>
      <c r="B19" s="3"/>
      <c r="C19" s="3">
        <f t="shared" si="0"/>
        <v>0.17013333333333333</v>
      </c>
      <c r="D19" s="45">
        <v>0.19</v>
      </c>
      <c r="E19" s="45">
        <v>0.247979</v>
      </c>
      <c r="F19" s="45">
        <v>0.178095</v>
      </c>
      <c r="I19" s="163"/>
    </row>
    <row r="20" spans="1:9">
      <c r="A20" s="143" t="s">
        <v>194</v>
      </c>
      <c r="B20" s="3"/>
      <c r="C20" s="3"/>
      <c r="D20" s="45"/>
      <c r="E20" s="45">
        <v>0.23982800000000001</v>
      </c>
      <c r="F20" s="3"/>
      <c r="I20" s="164"/>
    </row>
    <row r="21" spans="1:9">
      <c r="A21" s="143" t="s">
        <v>195</v>
      </c>
      <c r="B21" s="46">
        <f t="shared" ref="B21:D21" si="1">SUM(B5:B20)</f>
        <v>3.8259000000000007</v>
      </c>
      <c r="C21" s="46">
        <f t="shared" si="1"/>
        <v>2.6319999999999992</v>
      </c>
      <c r="D21" s="46">
        <f t="shared" si="1"/>
        <v>2.8619999999999997</v>
      </c>
      <c r="E21" s="46">
        <f>SUM(E5:E20)</f>
        <v>3.235004</v>
      </c>
      <c r="F21" s="46">
        <f>SUM(F5:F20)</f>
        <v>3.2190030000000003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Input Summary</vt:lpstr>
      <vt:lpstr>Historical MERs</vt:lpstr>
      <vt:lpstr>Historical Summary</vt:lpstr>
      <vt:lpstr>GHG Summary</vt:lpstr>
      <vt:lpstr>CO Data</vt:lpstr>
      <vt:lpstr>Reference</vt:lpstr>
      <vt:lpstr>New Construction</vt:lpstr>
      <vt:lpstr>MER</vt:lpstr>
      <vt:lpstr>Oil</vt:lpstr>
      <vt:lpstr>Sunnyportal</vt:lpstr>
      <vt:lpstr>Diesel</vt:lpstr>
      <vt:lpstr>Hydrogen Fleet</vt:lpstr>
      <vt:lpstr>Refrigerants</vt:lpstr>
      <vt:lpstr>Fertilizers</vt:lpstr>
      <vt:lpstr>Student Commuting</vt:lpstr>
      <vt:lpstr>Employee Commuting</vt:lpstr>
      <vt:lpstr>Business Travel</vt:lpstr>
      <vt:lpstr>Business Mileage</vt:lpstr>
      <vt:lpstr>Waste Characterization</vt:lpstr>
      <vt:lpstr>Graphics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Haydel, Brad</cp:lastModifiedBy>
  <dcterms:created xsi:type="dcterms:W3CDTF">2017-03-06T23:39:16Z</dcterms:created>
  <dcterms:modified xsi:type="dcterms:W3CDTF">2019-04-26T23:07:21Z</dcterms:modified>
</cp:coreProperties>
</file>