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4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omments4.xml" ContentType="application/vnd.openxmlformats-officedocument.spreadsheetml.comment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omments5.xml" ContentType="application/vnd.openxmlformats-officedocument.spreadsheetml.comments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wist\Desktop\"/>
    </mc:Choice>
  </mc:AlternateContent>
  <bookViews>
    <workbookView xWindow="0" yWindow="0" windowWidth="22170" windowHeight="11025" firstSheet="20" activeTab="23"/>
  </bookViews>
  <sheets>
    <sheet name="BAU Data" sheetId="1" r:id="rId1"/>
    <sheet name="Cum GSF Chart" sheetId="3" r:id="rId2"/>
    <sheet name="BAU Emissions Chart" sheetId="2" r:id="rId3"/>
    <sheet name="BAU Offset Chart Low $" sheetId="4" r:id="rId4"/>
    <sheet name="BAU Offset Chart High $" sheetId="5" r:id="rId5"/>
    <sheet name="Functional Distribution" sheetId="6" r:id="rId6"/>
    <sheet name="Mit w RECs Chart Scenario 1" sheetId="7" r:id="rId7"/>
    <sheet name="Wedges Chart Scenario 1" sheetId="8" r:id="rId8"/>
    <sheet name="Mit w RECs Data Scenario 1" sheetId="9" r:id="rId9"/>
    <sheet name="Post Mit Chart Scenario 1" sheetId="10" r:id="rId10"/>
    <sheet name="Mitigation Data Scenario 1" sheetId="11" r:id="rId11"/>
    <sheet name="Mit w RECs Chart Scenario 2" sheetId="12" r:id="rId12"/>
    <sheet name="Wedges Scenario 2" sheetId="13" r:id="rId13"/>
    <sheet name="Mit w RECs Data Scenario 2" sheetId="14" r:id="rId14"/>
    <sheet name="Post Mit Chart Scenario 2" sheetId="15" r:id="rId15"/>
    <sheet name="Mitigation Data Scenario 2" sheetId="16" r:id="rId16"/>
    <sheet name="Mit w RECs Chart Scenario 3" sheetId="17" r:id="rId17"/>
    <sheet name="Chart7" sheetId="18" r:id="rId18"/>
    <sheet name="Mit w RECs Data Scenario 3" sheetId="19" r:id="rId19"/>
    <sheet name="Post Mit Em Chart Scenario 3" sheetId="20" r:id="rId20"/>
    <sheet name="Mitigation Data Scenario 3 " sheetId="21" r:id="rId21"/>
    <sheet name="Conversion Calculator" sheetId="22" r:id="rId22"/>
    <sheet name="SF" sheetId="23" r:id="rId23"/>
    <sheet name="Other" sheetId="24" r:id="rId24"/>
  </sheets>
  <calcPr calcId="152511"/>
</workbook>
</file>

<file path=xl/calcChain.xml><?xml version="1.0" encoding="utf-8"?>
<calcChain xmlns="http://schemas.openxmlformats.org/spreadsheetml/2006/main">
  <c r="J42" i="24" l="1"/>
  <c r="F42" i="24"/>
  <c r="H41" i="24"/>
  <c r="C40" i="24"/>
  <c r="J41" i="24" s="1"/>
  <c r="C25" i="24"/>
  <c r="C18" i="24"/>
  <c r="C10" i="24"/>
  <c r="F41" i="24" s="1"/>
  <c r="L92" i="23"/>
  <c r="K92" i="23"/>
  <c r="K84" i="23"/>
  <c r="H80" i="23"/>
  <c r="I80" i="23" s="1"/>
  <c r="I79" i="23"/>
  <c r="L79" i="23" s="1"/>
  <c r="H79" i="23"/>
  <c r="H78" i="23"/>
  <c r="I78" i="23" s="1"/>
  <c r="L78" i="23" s="1"/>
  <c r="H77" i="23"/>
  <c r="I77" i="23" s="1"/>
  <c r="L77" i="23" s="1"/>
  <c r="H76" i="23"/>
  <c r="I76" i="23" s="1"/>
  <c r="L76" i="23" s="1"/>
  <c r="I75" i="23"/>
  <c r="L75" i="23" s="1"/>
  <c r="H75" i="23"/>
  <c r="H74" i="23"/>
  <c r="I74" i="23" s="1"/>
  <c r="K70" i="23"/>
  <c r="I68" i="23"/>
  <c r="L68" i="23" s="1"/>
  <c r="L67" i="23"/>
  <c r="L70" i="23" s="1"/>
  <c r="I67" i="23"/>
  <c r="E58" i="23"/>
  <c r="K57" i="23"/>
  <c r="K56" i="23"/>
  <c r="L53" i="23"/>
  <c r="L60" i="23" s="1"/>
  <c r="I51" i="23"/>
  <c r="K51" i="23" s="1"/>
  <c r="G50" i="23"/>
  <c r="E50" i="23"/>
  <c r="K50" i="23" s="1"/>
  <c r="D50" i="23"/>
  <c r="I49" i="23"/>
  <c r="K49" i="23" s="1"/>
  <c r="I48" i="23"/>
  <c r="K48" i="23" s="1"/>
  <c r="K53" i="23" s="1"/>
  <c r="K60" i="23" s="1"/>
  <c r="I47" i="23"/>
  <c r="K47" i="23" s="1"/>
  <c r="L44" i="23"/>
  <c r="E42" i="23"/>
  <c r="K42" i="23" s="1"/>
  <c r="I41" i="23"/>
  <c r="G41" i="23"/>
  <c r="E41" i="23"/>
  <c r="K41" i="23" s="1"/>
  <c r="D41" i="23"/>
  <c r="D94" i="23" s="1"/>
  <c r="K40" i="23"/>
  <c r="G40" i="23"/>
  <c r="K39" i="23"/>
  <c r="G39" i="23"/>
  <c r="K38" i="23"/>
  <c r="G38" i="23"/>
  <c r="E28" i="23"/>
  <c r="K28" i="23" s="1"/>
  <c r="I27" i="23"/>
  <c r="K27" i="23" s="1"/>
  <c r="K26" i="23"/>
  <c r="G26" i="23"/>
  <c r="I24" i="23"/>
  <c r="K24" i="23" s="1"/>
  <c r="H24" i="23"/>
  <c r="K23" i="23"/>
  <c r="H23" i="23"/>
  <c r="I23" i="23" s="1"/>
  <c r="K22" i="23"/>
  <c r="I22" i="23"/>
  <c r="H22" i="23"/>
  <c r="I21" i="23"/>
  <c r="K21" i="23" s="1"/>
  <c r="H21" i="23"/>
  <c r="I20" i="23"/>
  <c r="K20" i="23" s="1"/>
  <c r="H20" i="23"/>
  <c r="K19" i="23"/>
  <c r="K34" i="23" s="1"/>
  <c r="K9" i="23"/>
  <c r="E9" i="23"/>
  <c r="I8" i="23"/>
  <c r="G8" i="23"/>
  <c r="H7" i="23"/>
  <c r="K6" i="23"/>
  <c r="G6" i="23"/>
  <c r="F6" i="23"/>
  <c r="G5" i="23"/>
  <c r="K5" i="23" s="1"/>
  <c r="F5" i="23"/>
  <c r="F92" i="23" s="1"/>
  <c r="I4" i="23"/>
  <c r="G4" i="23"/>
  <c r="E4" i="23"/>
  <c r="D4" i="23"/>
  <c r="B55" i="22"/>
  <c r="B53" i="22"/>
  <c r="B46" i="22"/>
  <c r="B38" i="22"/>
  <c r="H21" i="22"/>
  <c r="D21" i="22"/>
  <c r="F83" i="21"/>
  <c r="B66" i="21"/>
  <c r="B65" i="21"/>
  <c r="R61" i="21"/>
  <c r="N61" i="21"/>
  <c r="M59" i="21"/>
  <c r="Z57" i="21"/>
  <c r="X51" i="21"/>
  <c r="X61" i="21" s="1"/>
  <c r="W51" i="21"/>
  <c r="W61" i="21" s="1"/>
  <c r="V51" i="21"/>
  <c r="V61" i="21" s="1"/>
  <c r="U51" i="21"/>
  <c r="U61" i="21" s="1"/>
  <c r="T51" i="21"/>
  <c r="T61" i="21" s="1"/>
  <c r="S51" i="21"/>
  <c r="S61" i="21" s="1"/>
  <c r="R51" i="21"/>
  <c r="Q51" i="21"/>
  <c r="Q61" i="21" s="1"/>
  <c r="P51" i="21"/>
  <c r="P61" i="21" s="1"/>
  <c r="O51" i="21"/>
  <c r="O61" i="21" s="1"/>
  <c r="N51" i="21"/>
  <c r="M51" i="21"/>
  <c r="M61" i="21" s="1"/>
  <c r="L51" i="21"/>
  <c r="L61" i="21" s="1"/>
  <c r="K51" i="21"/>
  <c r="K61" i="21" s="1"/>
  <c r="AF50" i="21"/>
  <c r="AG50" i="21" s="1"/>
  <c r="AE50" i="21"/>
  <c r="L50" i="21"/>
  <c r="K50" i="21"/>
  <c r="M49" i="21"/>
  <c r="K48" i="21"/>
  <c r="K58" i="21" s="1"/>
  <c r="AA47" i="21"/>
  <c r="AA57" i="21" s="1"/>
  <c r="K47" i="21"/>
  <c r="M46" i="21"/>
  <c r="M56" i="21" s="1"/>
  <c r="B44" i="21"/>
  <c r="B41" i="21"/>
  <c r="B67" i="21" s="1"/>
  <c r="D37" i="21"/>
  <c r="E37" i="21" s="1"/>
  <c r="F37" i="21" s="1"/>
  <c r="G37" i="21" s="1"/>
  <c r="H37" i="21" s="1"/>
  <c r="I37" i="21" s="1"/>
  <c r="J37" i="21" s="1"/>
  <c r="K37" i="21" s="1"/>
  <c r="C37" i="21"/>
  <c r="L33" i="21"/>
  <c r="M33" i="21" s="1"/>
  <c r="N33" i="21" s="1"/>
  <c r="O33" i="21" s="1"/>
  <c r="P32" i="21"/>
  <c r="L32" i="21"/>
  <c r="L30" i="21"/>
  <c r="M30" i="21" s="1"/>
  <c r="N30" i="21" s="1"/>
  <c r="O30" i="21" s="1"/>
  <c r="P30" i="21" s="1"/>
  <c r="Q30" i="21" s="1"/>
  <c r="R30" i="21" s="1"/>
  <c r="S30" i="21" s="1"/>
  <c r="V29" i="21"/>
  <c r="T29" i="21"/>
  <c r="L29" i="21"/>
  <c r="K24" i="21"/>
  <c r="J24" i="21"/>
  <c r="I24" i="21"/>
  <c r="H24" i="21"/>
  <c r="G24" i="21"/>
  <c r="F24" i="21"/>
  <c r="E24" i="21"/>
  <c r="D24" i="21"/>
  <c r="C24" i="21"/>
  <c r="B24" i="21"/>
  <c r="M23" i="21"/>
  <c r="N23" i="21" s="1"/>
  <c r="O23" i="21" s="1"/>
  <c r="P23" i="21" s="1"/>
  <c r="Q23" i="21" s="1"/>
  <c r="R23" i="21" s="1"/>
  <c r="S23" i="21" s="1"/>
  <c r="T23" i="21" s="1"/>
  <c r="U23" i="21" s="1"/>
  <c r="V23" i="21" s="1"/>
  <c r="W23" i="21" s="1"/>
  <c r="X23" i="21" s="1"/>
  <c r="Y23" i="21" s="1"/>
  <c r="Z23" i="21" s="1"/>
  <c r="AA23" i="21" s="1"/>
  <c r="AB23" i="21" s="1"/>
  <c r="AC23" i="21" s="1"/>
  <c r="AD23" i="21" s="1"/>
  <c r="AE23" i="21" s="1"/>
  <c r="AF23" i="21" s="1"/>
  <c r="AG23" i="21" s="1"/>
  <c r="AH23" i="21" s="1"/>
  <c r="AI23" i="21" s="1"/>
  <c r="AJ23" i="21" s="1"/>
  <c r="AK23" i="21" s="1"/>
  <c r="AL23" i="21" s="1"/>
  <c r="AM23" i="21" s="1"/>
  <c r="AN23" i="21" s="1"/>
  <c r="AO23" i="21" s="1"/>
  <c r="AP23" i="21" s="1"/>
  <c r="J23" i="21"/>
  <c r="I23" i="21"/>
  <c r="H23" i="21"/>
  <c r="G23" i="21"/>
  <c r="F23" i="21"/>
  <c r="E23" i="21"/>
  <c r="D23" i="21"/>
  <c r="C23" i="21"/>
  <c r="B23" i="21"/>
  <c r="K20" i="21"/>
  <c r="J20" i="21"/>
  <c r="I20" i="21"/>
  <c r="H20" i="21"/>
  <c r="G20" i="21"/>
  <c r="F20" i="21"/>
  <c r="E20" i="21"/>
  <c r="D20" i="21"/>
  <c r="C20" i="21"/>
  <c r="B20" i="21"/>
  <c r="K19" i="21"/>
  <c r="J19" i="21"/>
  <c r="I19" i="21"/>
  <c r="H19" i="21"/>
  <c r="G19" i="21"/>
  <c r="F19" i="21"/>
  <c r="E19" i="21"/>
  <c r="D19" i="21"/>
  <c r="C19" i="21"/>
  <c r="B19" i="21"/>
  <c r="K18" i="21"/>
  <c r="J18" i="21"/>
  <c r="I18" i="21"/>
  <c r="H18" i="21"/>
  <c r="G18" i="21"/>
  <c r="F18" i="21"/>
  <c r="E18" i="21"/>
  <c r="D18" i="21"/>
  <c r="C18" i="21"/>
  <c r="B18" i="21"/>
  <c r="K13" i="21"/>
  <c r="J13" i="21"/>
  <c r="I13" i="21"/>
  <c r="H13" i="21"/>
  <c r="G13" i="21"/>
  <c r="F13" i="21"/>
  <c r="E13" i="21"/>
  <c r="D13" i="21"/>
  <c r="C13" i="21"/>
  <c r="B13" i="21"/>
  <c r="K12" i="21"/>
  <c r="J12" i="21"/>
  <c r="I12" i="21"/>
  <c r="H12" i="21"/>
  <c r="G12" i="21"/>
  <c r="F12" i="21"/>
  <c r="E12" i="21"/>
  <c r="D12" i="21"/>
  <c r="C12" i="21"/>
  <c r="B12" i="21"/>
  <c r="K11" i="21"/>
  <c r="J11" i="21"/>
  <c r="I11" i="21"/>
  <c r="H11" i="21"/>
  <c r="G11" i="21"/>
  <c r="F11" i="21"/>
  <c r="E11" i="21"/>
  <c r="D11" i="21"/>
  <c r="C11" i="21"/>
  <c r="B11" i="21"/>
  <c r="K10" i="21"/>
  <c r="J10" i="21"/>
  <c r="I10" i="21"/>
  <c r="H10" i="21"/>
  <c r="G10" i="21"/>
  <c r="F10" i="21"/>
  <c r="E10" i="21"/>
  <c r="D10" i="21"/>
  <c r="C10" i="21"/>
  <c r="B10" i="21"/>
  <c r="L8" i="21"/>
  <c r="J8" i="21"/>
  <c r="I8" i="21"/>
  <c r="H8" i="21"/>
  <c r="G8" i="21"/>
  <c r="F8" i="21"/>
  <c r="E8" i="21"/>
  <c r="D8" i="21"/>
  <c r="C8" i="21"/>
  <c r="B8" i="21"/>
  <c r="AP7" i="21"/>
  <c r="AO7" i="21"/>
  <c r="AN7" i="21"/>
  <c r="AM7" i="21"/>
  <c r="AL7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F96" i="19"/>
  <c r="B79" i="19"/>
  <c r="B78" i="19"/>
  <c r="X64" i="19"/>
  <c r="X74" i="19" s="1"/>
  <c r="W64" i="19"/>
  <c r="W74" i="19" s="1"/>
  <c r="V64" i="19"/>
  <c r="V74" i="19" s="1"/>
  <c r="U64" i="19"/>
  <c r="U74" i="19" s="1"/>
  <c r="T64" i="19"/>
  <c r="T74" i="19" s="1"/>
  <c r="S64" i="19"/>
  <c r="S74" i="19" s="1"/>
  <c r="R64" i="19"/>
  <c r="R74" i="19" s="1"/>
  <c r="Q64" i="19"/>
  <c r="Q74" i="19" s="1"/>
  <c r="P64" i="19"/>
  <c r="P74" i="19" s="1"/>
  <c r="O64" i="19"/>
  <c r="O74" i="19" s="1"/>
  <c r="N64" i="19"/>
  <c r="N74" i="19" s="1"/>
  <c r="M64" i="19"/>
  <c r="M74" i="19" s="1"/>
  <c r="L64" i="19"/>
  <c r="L74" i="19" s="1"/>
  <c r="K64" i="19"/>
  <c r="K74" i="19" s="1"/>
  <c r="AG63" i="19"/>
  <c r="AF63" i="19"/>
  <c r="AE63" i="19"/>
  <c r="AD63" i="19"/>
  <c r="L63" i="19"/>
  <c r="K63" i="19"/>
  <c r="M62" i="19"/>
  <c r="M72" i="19" s="1"/>
  <c r="L62" i="19"/>
  <c r="L72" i="19" s="1"/>
  <c r="K62" i="19"/>
  <c r="K72" i="19" s="1"/>
  <c r="K61" i="19"/>
  <c r="K71" i="19" s="1"/>
  <c r="AA60" i="19"/>
  <c r="AA70" i="19" s="1"/>
  <c r="Z60" i="19"/>
  <c r="Z70" i="19" s="1"/>
  <c r="K60" i="19"/>
  <c r="K70" i="19" s="1"/>
  <c r="M59" i="19"/>
  <c r="M69" i="19" s="1"/>
  <c r="D57" i="19"/>
  <c r="C57" i="19"/>
  <c r="B57" i="19"/>
  <c r="B54" i="19"/>
  <c r="B80" i="19" s="1"/>
  <c r="D50" i="19"/>
  <c r="E50" i="19" s="1"/>
  <c r="F50" i="19" s="1"/>
  <c r="G50" i="19" s="1"/>
  <c r="H50" i="19" s="1"/>
  <c r="I50" i="19" s="1"/>
  <c r="J50" i="19" s="1"/>
  <c r="K50" i="19" s="1"/>
  <c r="C50" i="19"/>
  <c r="L46" i="19"/>
  <c r="M46" i="19" s="1"/>
  <c r="N46" i="19" s="1"/>
  <c r="O46" i="19" s="1"/>
  <c r="P46" i="19" s="1"/>
  <c r="Q46" i="19" s="1"/>
  <c r="R46" i="19" s="1"/>
  <c r="S46" i="19" s="1"/>
  <c r="T46" i="19" s="1"/>
  <c r="U46" i="19" s="1"/>
  <c r="V46" i="19" s="1"/>
  <c r="W46" i="19" s="1"/>
  <c r="X46" i="19" s="1"/>
  <c r="Y46" i="19" s="1"/>
  <c r="Z46" i="19" s="1"/>
  <c r="AA46" i="19" s="1"/>
  <c r="AB46" i="19" s="1"/>
  <c r="AC46" i="19" s="1"/>
  <c r="AD46" i="19" s="1"/>
  <c r="AE46" i="19" s="1"/>
  <c r="AF46" i="19" s="1"/>
  <c r="AG46" i="19" s="1"/>
  <c r="AH46" i="19" s="1"/>
  <c r="AI46" i="19" s="1"/>
  <c r="AJ46" i="19" s="1"/>
  <c r="AK46" i="19" s="1"/>
  <c r="AL46" i="19" s="1"/>
  <c r="AM46" i="19" s="1"/>
  <c r="AN46" i="19" s="1"/>
  <c r="AO46" i="19" s="1"/>
  <c r="AP46" i="19" s="1"/>
  <c r="K46" i="19"/>
  <c r="T45" i="19"/>
  <c r="S45" i="19"/>
  <c r="P45" i="19"/>
  <c r="M45" i="19"/>
  <c r="L45" i="19"/>
  <c r="K45" i="19"/>
  <c r="S43" i="19"/>
  <c r="R43" i="19"/>
  <c r="Q43" i="19"/>
  <c r="P43" i="19"/>
  <c r="O43" i="19"/>
  <c r="N43" i="19"/>
  <c r="M43" i="19"/>
  <c r="L43" i="19"/>
  <c r="K43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K37" i="19"/>
  <c r="J37" i="19"/>
  <c r="I37" i="19"/>
  <c r="H37" i="19"/>
  <c r="G37" i="19"/>
  <c r="F37" i="19"/>
  <c r="E37" i="19"/>
  <c r="D37" i="19"/>
  <c r="C37" i="19"/>
  <c r="B37" i="19"/>
  <c r="M36" i="19"/>
  <c r="N36" i="19" s="1"/>
  <c r="O36" i="19" s="1"/>
  <c r="P36" i="19" s="1"/>
  <c r="Q36" i="19" s="1"/>
  <c r="R36" i="19" s="1"/>
  <c r="S36" i="19" s="1"/>
  <c r="T36" i="19" s="1"/>
  <c r="U36" i="19" s="1"/>
  <c r="V36" i="19" s="1"/>
  <c r="W36" i="19" s="1"/>
  <c r="X36" i="19" s="1"/>
  <c r="Y36" i="19" s="1"/>
  <c r="Z36" i="19" s="1"/>
  <c r="AA36" i="19" s="1"/>
  <c r="AB36" i="19" s="1"/>
  <c r="AC36" i="19" s="1"/>
  <c r="AD36" i="19" s="1"/>
  <c r="AE36" i="19" s="1"/>
  <c r="AF36" i="19" s="1"/>
  <c r="AG36" i="19" s="1"/>
  <c r="AH36" i="19" s="1"/>
  <c r="AI36" i="19" s="1"/>
  <c r="AJ36" i="19" s="1"/>
  <c r="AK36" i="19" s="1"/>
  <c r="AL36" i="19" s="1"/>
  <c r="AM36" i="19" s="1"/>
  <c r="AN36" i="19" s="1"/>
  <c r="AO36" i="19" s="1"/>
  <c r="AP36" i="19" s="1"/>
  <c r="J36" i="19"/>
  <c r="I36" i="19"/>
  <c r="H36" i="19"/>
  <c r="G36" i="19"/>
  <c r="F36" i="19"/>
  <c r="E36" i="19"/>
  <c r="D36" i="19"/>
  <c r="C36" i="19"/>
  <c r="B36" i="19"/>
  <c r="K33" i="19"/>
  <c r="J33" i="19"/>
  <c r="I33" i="19"/>
  <c r="H33" i="19"/>
  <c r="G33" i="19"/>
  <c r="F33" i="19"/>
  <c r="E33" i="19"/>
  <c r="D33" i="19"/>
  <c r="C33" i="19"/>
  <c r="B33" i="19"/>
  <c r="K32" i="19"/>
  <c r="J32" i="19"/>
  <c r="I32" i="19"/>
  <c r="H32" i="19"/>
  <c r="G32" i="19"/>
  <c r="F32" i="19"/>
  <c r="E32" i="19"/>
  <c r="D32" i="19"/>
  <c r="C32" i="19"/>
  <c r="B32" i="19"/>
  <c r="K31" i="19"/>
  <c r="J31" i="19"/>
  <c r="I31" i="19"/>
  <c r="H31" i="19"/>
  <c r="G31" i="19"/>
  <c r="F31" i="19"/>
  <c r="E31" i="19"/>
  <c r="D31" i="19"/>
  <c r="C31" i="19"/>
  <c r="B31" i="19"/>
  <c r="K25" i="19"/>
  <c r="J25" i="19"/>
  <c r="I25" i="19"/>
  <c r="H25" i="19"/>
  <c r="G25" i="19"/>
  <c r="F25" i="19"/>
  <c r="E25" i="19"/>
  <c r="D25" i="19"/>
  <c r="C25" i="19"/>
  <c r="B25" i="19"/>
  <c r="K24" i="19"/>
  <c r="J24" i="19"/>
  <c r="I24" i="19"/>
  <c r="H24" i="19"/>
  <c r="G24" i="19"/>
  <c r="F24" i="19"/>
  <c r="E24" i="19"/>
  <c r="D24" i="19"/>
  <c r="C24" i="19"/>
  <c r="B24" i="19"/>
  <c r="K23" i="19"/>
  <c r="J23" i="19"/>
  <c r="I23" i="19"/>
  <c r="H23" i="19"/>
  <c r="G23" i="19"/>
  <c r="F23" i="19"/>
  <c r="E23" i="19"/>
  <c r="D23" i="19"/>
  <c r="C23" i="19"/>
  <c r="B23" i="19"/>
  <c r="K22" i="19"/>
  <c r="J22" i="19"/>
  <c r="I22" i="19"/>
  <c r="H22" i="19"/>
  <c r="G22" i="19"/>
  <c r="F22" i="19"/>
  <c r="E22" i="19"/>
  <c r="D22" i="19"/>
  <c r="C22" i="19"/>
  <c r="B22" i="19"/>
  <c r="L20" i="19"/>
  <c r="J20" i="19"/>
  <c r="I20" i="19"/>
  <c r="H20" i="19"/>
  <c r="G20" i="19"/>
  <c r="F20" i="19"/>
  <c r="E20" i="19"/>
  <c r="D20" i="19"/>
  <c r="C20" i="19"/>
  <c r="B20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L14" i="19"/>
  <c r="W13" i="19"/>
  <c r="X13" i="19" s="1"/>
  <c r="X12" i="19" s="1"/>
  <c r="C13" i="19"/>
  <c r="W12" i="19"/>
  <c r="V12" i="19"/>
  <c r="C12" i="19"/>
  <c r="V11" i="19"/>
  <c r="W11" i="19" s="1"/>
  <c r="X11" i="19" s="1"/>
  <c r="Y11" i="19" s="1"/>
  <c r="C11" i="19"/>
  <c r="C10" i="19"/>
  <c r="C9" i="19"/>
  <c r="C8" i="19"/>
  <c r="C7" i="19"/>
  <c r="B7" i="19"/>
  <c r="F83" i="16"/>
  <c r="B66" i="16"/>
  <c r="B65" i="16"/>
  <c r="X61" i="16"/>
  <c r="T61" i="16"/>
  <c r="P61" i="16"/>
  <c r="L61" i="16"/>
  <c r="Z57" i="16"/>
  <c r="X51" i="16"/>
  <c r="W51" i="16"/>
  <c r="W61" i="16" s="1"/>
  <c r="V51" i="16"/>
  <c r="V61" i="16" s="1"/>
  <c r="U51" i="16"/>
  <c r="U61" i="16" s="1"/>
  <c r="T51" i="16"/>
  <c r="S51" i="16"/>
  <c r="S61" i="16" s="1"/>
  <c r="R51" i="16"/>
  <c r="R61" i="16" s="1"/>
  <c r="Q51" i="16"/>
  <c r="Q61" i="16" s="1"/>
  <c r="P51" i="16"/>
  <c r="O51" i="16"/>
  <c r="O61" i="16" s="1"/>
  <c r="N51" i="16"/>
  <c r="N61" i="16" s="1"/>
  <c r="M51" i="16"/>
  <c r="M61" i="16" s="1"/>
  <c r="L51" i="16"/>
  <c r="K51" i="16"/>
  <c r="K61" i="16" s="1"/>
  <c r="AE50" i="16"/>
  <c r="K50" i="16"/>
  <c r="M49" i="16"/>
  <c r="M59" i="16" s="1"/>
  <c r="K48" i="16"/>
  <c r="K58" i="16" s="1"/>
  <c r="AA47" i="16"/>
  <c r="AA57" i="16" s="1"/>
  <c r="L47" i="16"/>
  <c r="L57" i="16" s="1"/>
  <c r="K47" i="16"/>
  <c r="K57" i="16" s="1"/>
  <c r="M46" i="16"/>
  <c r="M56" i="16" s="1"/>
  <c r="C44" i="16"/>
  <c r="B44" i="16"/>
  <c r="B41" i="16"/>
  <c r="B67" i="16" s="1"/>
  <c r="B72" i="16" s="1"/>
  <c r="AD60" i="16" s="1"/>
  <c r="E37" i="16"/>
  <c r="F37" i="16" s="1"/>
  <c r="G37" i="16" s="1"/>
  <c r="H37" i="16" s="1"/>
  <c r="I37" i="16" s="1"/>
  <c r="J37" i="16" s="1"/>
  <c r="K37" i="16" s="1"/>
  <c r="D37" i="16"/>
  <c r="C37" i="16"/>
  <c r="U32" i="16"/>
  <c r="S32" i="16"/>
  <c r="P32" i="16"/>
  <c r="L32" i="16"/>
  <c r="L33" i="16" s="1"/>
  <c r="M33" i="16" s="1"/>
  <c r="N33" i="16" s="1"/>
  <c r="O33" i="16" s="1"/>
  <c r="L30" i="16"/>
  <c r="M30" i="16" s="1"/>
  <c r="N30" i="16" s="1"/>
  <c r="O30" i="16" s="1"/>
  <c r="P30" i="16" s="1"/>
  <c r="Q30" i="16" s="1"/>
  <c r="R30" i="16" s="1"/>
  <c r="S30" i="16" s="1"/>
  <c r="V29" i="16"/>
  <c r="T29" i="16"/>
  <c r="L29" i="16"/>
  <c r="K24" i="16"/>
  <c r="J24" i="16"/>
  <c r="I24" i="16"/>
  <c r="H24" i="16"/>
  <c r="G24" i="16"/>
  <c r="F24" i="16"/>
  <c r="E24" i="16"/>
  <c r="D24" i="16"/>
  <c r="C24" i="16"/>
  <c r="B24" i="16"/>
  <c r="M23" i="16"/>
  <c r="N23" i="16" s="1"/>
  <c r="O23" i="16" s="1"/>
  <c r="P23" i="16" s="1"/>
  <c r="Q23" i="16" s="1"/>
  <c r="R23" i="16" s="1"/>
  <c r="S23" i="16" s="1"/>
  <c r="T23" i="16" s="1"/>
  <c r="U23" i="16" s="1"/>
  <c r="V23" i="16" s="1"/>
  <c r="W23" i="16" s="1"/>
  <c r="X23" i="16" s="1"/>
  <c r="Y23" i="16" s="1"/>
  <c r="Z23" i="16" s="1"/>
  <c r="AA23" i="16" s="1"/>
  <c r="AB23" i="16" s="1"/>
  <c r="AC23" i="16" s="1"/>
  <c r="AD23" i="16" s="1"/>
  <c r="AE23" i="16" s="1"/>
  <c r="AF23" i="16" s="1"/>
  <c r="AG23" i="16" s="1"/>
  <c r="AH23" i="16" s="1"/>
  <c r="AI23" i="16" s="1"/>
  <c r="AJ23" i="16" s="1"/>
  <c r="AK23" i="16" s="1"/>
  <c r="AL23" i="16" s="1"/>
  <c r="AM23" i="16" s="1"/>
  <c r="AN23" i="16" s="1"/>
  <c r="AO23" i="16" s="1"/>
  <c r="AP23" i="16" s="1"/>
  <c r="J23" i="16"/>
  <c r="I23" i="16"/>
  <c r="H23" i="16"/>
  <c r="G23" i="16"/>
  <c r="F23" i="16"/>
  <c r="E23" i="16"/>
  <c r="D23" i="16"/>
  <c r="C23" i="16"/>
  <c r="B23" i="16"/>
  <c r="K20" i="16"/>
  <c r="J20" i="16"/>
  <c r="I20" i="16"/>
  <c r="H20" i="16"/>
  <c r="G20" i="16"/>
  <c r="F20" i="16"/>
  <c r="E20" i="16"/>
  <c r="D20" i="16"/>
  <c r="C20" i="16"/>
  <c r="B20" i="16"/>
  <c r="K19" i="16"/>
  <c r="J19" i="16"/>
  <c r="I19" i="16"/>
  <c r="H19" i="16"/>
  <c r="G19" i="16"/>
  <c r="F19" i="16"/>
  <c r="E19" i="16"/>
  <c r="D19" i="16"/>
  <c r="C19" i="16"/>
  <c r="B19" i="16"/>
  <c r="K18" i="16"/>
  <c r="J18" i="16"/>
  <c r="I18" i="16"/>
  <c r="H18" i="16"/>
  <c r="G18" i="16"/>
  <c r="F18" i="16"/>
  <c r="E18" i="16"/>
  <c r="D18" i="16"/>
  <c r="C18" i="16"/>
  <c r="B18" i="16"/>
  <c r="K13" i="16"/>
  <c r="J13" i="16"/>
  <c r="I13" i="16"/>
  <c r="H13" i="16"/>
  <c r="G13" i="16"/>
  <c r="F13" i="16"/>
  <c r="E13" i="16"/>
  <c r="D13" i="16"/>
  <c r="C13" i="16"/>
  <c r="B13" i="16"/>
  <c r="K12" i="16"/>
  <c r="J12" i="16"/>
  <c r="I12" i="16"/>
  <c r="H12" i="16"/>
  <c r="G12" i="16"/>
  <c r="F12" i="16"/>
  <c r="E12" i="16"/>
  <c r="D12" i="16"/>
  <c r="C12" i="16"/>
  <c r="B12" i="16"/>
  <c r="K11" i="16"/>
  <c r="J11" i="16"/>
  <c r="I11" i="16"/>
  <c r="H11" i="16"/>
  <c r="G11" i="16"/>
  <c r="F11" i="16"/>
  <c r="E11" i="16"/>
  <c r="D11" i="16"/>
  <c r="C11" i="16"/>
  <c r="B11" i="16"/>
  <c r="K10" i="16"/>
  <c r="J10" i="16"/>
  <c r="I10" i="16"/>
  <c r="H10" i="16"/>
  <c r="G10" i="16"/>
  <c r="F10" i="16"/>
  <c r="E10" i="16"/>
  <c r="D10" i="16"/>
  <c r="C10" i="16"/>
  <c r="B10" i="16"/>
  <c r="L8" i="16"/>
  <c r="J8" i="16"/>
  <c r="I8" i="16"/>
  <c r="H8" i="16"/>
  <c r="G8" i="16"/>
  <c r="F8" i="16"/>
  <c r="E8" i="16"/>
  <c r="D8" i="16"/>
  <c r="C8" i="16"/>
  <c r="B8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F96" i="14"/>
  <c r="B79" i="14"/>
  <c r="B78" i="14"/>
  <c r="X64" i="14"/>
  <c r="X74" i="14" s="1"/>
  <c r="W64" i="14"/>
  <c r="W74" i="14" s="1"/>
  <c r="V64" i="14"/>
  <c r="V74" i="14" s="1"/>
  <c r="U64" i="14"/>
  <c r="U74" i="14" s="1"/>
  <c r="T64" i="14"/>
  <c r="T74" i="14" s="1"/>
  <c r="S64" i="14"/>
  <c r="S74" i="14" s="1"/>
  <c r="R64" i="14"/>
  <c r="R74" i="14" s="1"/>
  <c r="Q64" i="14"/>
  <c r="Q74" i="14" s="1"/>
  <c r="P64" i="14"/>
  <c r="P74" i="14" s="1"/>
  <c r="O64" i="14"/>
  <c r="O74" i="14" s="1"/>
  <c r="N64" i="14"/>
  <c r="N74" i="14" s="1"/>
  <c r="M64" i="14"/>
  <c r="M74" i="14" s="1"/>
  <c r="L64" i="14"/>
  <c r="L74" i="14" s="1"/>
  <c r="K64" i="14"/>
  <c r="K74" i="14" s="1"/>
  <c r="AG63" i="14"/>
  <c r="AF63" i="14"/>
  <c r="AE63" i="14"/>
  <c r="AD63" i="14"/>
  <c r="L63" i="14"/>
  <c r="K63" i="14"/>
  <c r="M62" i="14"/>
  <c r="M72" i="14" s="1"/>
  <c r="L62" i="14"/>
  <c r="L72" i="14" s="1"/>
  <c r="K62" i="14"/>
  <c r="K72" i="14" s="1"/>
  <c r="K61" i="14"/>
  <c r="K71" i="14" s="1"/>
  <c r="AA60" i="14"/>
  <c r="AA70" i="14" s="1"/>
  <c r="Z60" i="14"/>
  <c r="Z70" i="14" s="1"/>
  <c r="K60" i="14"/>
  <c r="K70" i="14" s="1"/>
  <c r="M59" i="14"/>
  <c r="M69" i="14" s="1"/>
  <c r="B57" i="14"/>
  <c r="B54" i="14"/>
  <c r="B80" i="14" s="1"/>
  <c r="B85" i="14" s="1"/>
  <c r="D50" i="14"/>
  <c r="E50" i="14" s="1"/>
  <c r="F50" i="14" s="1"/>
  <c r="G50" i="14" s="1"/>
  <c r="H50" i="14" s="1"/>
  <c r="I50" i="14" s="1"/>
  <c r="J50" i="14" s="1"/>
  <c r="K50" i="14" s="1"/>
  <c r="C50" i="14"/>
  <c r="L46" i="14"/>
  <c r="M46" i="14" s="1"/>
  <c r="N46" i="14" s="1"/>
  <c r="O46" i="14" s="1"/>
  <c r="P46" i="14" s="1"/>
  <c r="Q46" i="14" s="1"/>
  <c r="R46" i="14" s="1"/>
  <c r="S46" i="14" s="1"/>
  <c r="T46" i="14" s="1"/>
  <c r="U46" i="14" s="1"/>
  <c r="V46" i="14" s="1"/>
  <c r="W46" i="14" s="1"/>
  <c r="X46" i="14" s="1"/>
  <c r="Y46" i="14" s="1"/>
  <c r="Z46" i="14" s="1"/>
  <c r="AA46" i="14" s="1"/>
  <c r="AB46" i="14" s="1"/>
  <c r="AC46" i="14" s="1"/>
  <c r="AD46" i="14" s="1"/>
  <c r="AE46" i="14" s="1"/>
  <c r="AF46" i="14" s="1"/>
  <c r="AG46" i="14" s="1"/>
  <c r="AH46" i="14" s="1"/>
  <c r="AI46" i="14" s="1"/>
  <c r="AJ46" i="14" s="1"/>
  <c r="AK46" i="14" s="1"/>
  <c r="AL46" i="14" s="1"/>
  <c r="AM46" i="14" s="1"/>
  <c r="AN46" i="14" s="1"/>
  <c r="AO46" i="14" s="1"/>
  <c r="AP46" i="14" s="1"/>
  <c r="K46" i="14"/>
  <c r="T45" i="14"/>
  <c r="S45" i="14"/>
  <c r="P45" i="14"/>
  <c r="M45" i="14"/>
  <c r="L45" i="14"/>
  <c r="K45" i="14"/>
  <c r="S43" i="14"/>
  <c r="R43" i="14"/>
  <c r="Q43" i="14"/>
  <c r="P43" i="14"/>
  <c r="O43" i="14"/>
  <c r="N43" i="14"/>
  <c r="M43" i="14"/>
  <c r="L43" i="14"/>
  <c r="K43" i="14"/>
  <c r="AP42" i="14"/>
  <c r="AO42" i="14"/>
  <c r="AN42" i="14"/>
  <c r="AM42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K37" i="14"/>
  <c r="J37" i="14"/>
  <c r="I37" i="14"/>
  <c r="H37" i="14"/>
  <c r="G37" i="14"/>
  <c r="F37" i="14"/>
  <c r="E37" i="14"/>
  <c r="D37" i="14"/>
  <c r="C37" i="14"/>
  <c r="B37" i="14"/>
  <c r="M36" i="14"/>
  <c r="N36" i="14" s="1"/>
  <c r="O36" i="14" s="1"/>
  <c r="P36" i="14" s="1"/>
  <c r="Q36" i="14" s="1"/>
  <c r="R36" i="14" s="1"/>
  <c r="S36" i="14" s="1"/>
  <c r="T36" i="14" s="1"/>
  <c r="U36" i="14" s="1"/>
  <c r="V36" i="14" s="1"/>
  <c r="W36" i="14" s="1"/>
  <c r="X36" i="14" s="1"/>
  <c r="Y36" i="14" s="1"/>
  <c r="Z36" i="14" s="1"/>
  <c r="AA36" i="14" s="1"/>
  <c r="AB36" i="14" s="1"/>
  <c r="AC36" i="14" s="1"/>
  <c r="AD36" i="14" s="1"/>
  <c r="AE36" i="14" s="1"/>
  <c r="AF36" i="14" s="1"/>
  <c r="AG36" i="14" s="1"/>
  <c r="AH36" i="14" s="1"/>
  <c r="AI36" i="14" s="1"/>
  <c r="AJ36" i="14" s="1"/>
  <c r="AK36" i="14" s="1"/>
  <c r="AL36" i="14" s="1"/>
  <c r="AM36" i="14" s="1"/>
  <c r="AN36" i="14" s="1"/>
  <c r="AO36" i="14" s="1"/>
  <c r="AP36" i="14" s="1"/>
  <c r="J36" i="14"/>
  <c r="I36" i="14"/>
  <c r="H36" i="14"/>
  <c r="G36" i="14"/>
  <c r="F36" i="14"/>
  <c r="E36" i="14"/>
  <c r="D36" i="14"/>
  <c r="C36" i="14"/>
  <c r="B36" i="14"/>
  <c r="K33" i="14"/>
  <c r="J33" i="14"/>
  <c r="I33" i="14"/>
  <c r="H33" i="14"/>
  <c r="G33" i="14"/>
  <c r="F33" i="14"/>
  <c r="E33" i="14"/>
  <c r="D33" i="14"/>
  <c r="C33" i="14"/>
  <c r="B33" i="14"/>
  <c r="K32" i="14"/>
  <c r="J32" i="14"/>
  <c r="I32" i="14"/>
  <c r="H32" i="14"/>
  <c r="G32" i="14"/>
  <c r="F32" i="14"/>
  <c r="E32" i="14"/>
  <c r="D32" i="14"/>
  <c r="C32" i="14"/>
  <c r="B32" i="14"/>
  <c r="K31" i="14"/>
  <c r="J31" i="14"/>
  <c r="I31" i="14"/>
  <c r="H31" i="14"/>
  <c r="G31" i="14"/>
  <c r="F31" i="14"/>
  <c r="E31" i="14"/>
  <c r="D31" i="14"/>
  <c r="C31" i="14"/>
  <c r="B31" i="14"/>
  <c r="K25" i="14"/>
  <c r="J25" i="14"/>
  <c r="I25" i="14"/>
  <c r="H25" i="14"/>
  <c r="G25" i="14"/>
  <c r="F25" i="14"/>
  <c r="E25" i="14"/>
  <c r="D25" i="14"/>
  <c r="C25" i="14"/>
  <c r="B25" i="14"/>
  <c r="K24" i="14"/>
  <c r="J24" i="14"/>
  <c r="I24" i="14"/>
  <c r="H24" i="14"/>
  <c r="G24" i="14"/>
  <c r="F24" i="14"/>
  <c r="E24" i="14"/>
  <c r="D24" i="14"/>
  <c r="C24" i="14"/>
  <c r="B24" i="14"/>
  <c r="K23" i="14"/>
  <c r="J23" i="14"/>
  <c r="I23" i="14"/>
  <c r="H23" i="14"/>
  <c r="G23" i="14"/>
  <c r="F23" i="14"/>
  <c r="E23" i="14"/>
  <c r="D23" i="14"/>
  <c r="C23" i="14"/>
  <c r="B23" i="14"/>
  <c r="K22" i="14"/>
  <c r="J22" i="14"/>
  <c r="I22" i="14"/>
  <c r="H22" i="14"/>
  <c r="G22" i="14"/>
  <c r="F22" i="14"/>
  <c r="E22" i="14"/>
  <c r="D22" i="14"/>
  <c r="C22" i="14"/>
  <c r="B22" i="14"/>
  <c r="L20" i="14"/>
  <c r="J20" i="14"/>
  <c r="I20" i="14"/>
  <c r="H20" i="14"/>
  <c r="G20" i="14"/>
  <c r="F20" i="14"/>
  <c r="E20" i="14"/>
  <c r="D20" i="14"/>
  <c r="C20" i="14"/>
  <c r="B20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L14" i="14"/>
  <c r="X13" i="14"/>
  <c r="W13" i="14"/>
  <c r="C13" i="14"/>
  <c r="X12" i="14"/>
  <c r="W12" i="14"/>
  <c r="V12" i="14"/>
  <c r="C12" i="14"/>
  <c r="V11" i="14"/>
  <c r="W11" i="14" s="1"/>
  <c r="X11" i="14" s="1"/>
  <c r="Y11" i="14" s="1"/>
  <c r="Z11" i="14" s="1"/>
  <c r="AA11" i="14" s="1"/>
  <c r="AB11" i="14" s="1"/>
  <c r="AC11" i="14" s="1"/>
  <c r="AD11" i="14" s="1"/>
  <c r="AE11" i="14" s="1"/>
  <c r="AF11" i="14" s="1"/>
  <c r="AG11" i="14" s="1"/>
  <c r="AH11" i="14" s="1"/>
  <c r="AI11" i="14" s="1"/>
  <c r="AJ11" i="14" s="1"/>
  <c r="AK11" i="14" s="1"/>
  <c r="C11" i="14"/>
  <c r="C10" i="14"/>
  <c r="C9" i="14"/>
  <c r="C8" i="14"/>
  <c r="B7" i="14"/>
  <c r="C7" i="14" s="1"/>
  <c r="F83" i="11"/>
  <c r="B66" i="11"/>
  <c r="B65" i="11"/>
  <c r="Z57" i="11"/>
  <c r="X51" i="11"/>
  <c r="X61" i="11" s="1"/>
  <c r="W51" i="11"/>
  <c r="W61" i="11" s="1"/>
  <c r="V51" i="11"/>
  <c r="V61" i="11" s="1"/>
  <c r="U51" i="11"/>
  <c r="U61" i="11" s="1"/>
  <c r="T51" i="11"/>
  <c r="T61" i="11" s="1"/>
  <c r="S51" i="11"/>
  <c r="S61" i="11" s="1"/>
  <c r="R51" i="11"/>
  <c r="R61" i="11" s="1"/>
  <c r="Q51" i="11"/>
  <c r="Q61" i="11" s="1"/>
  <c r="P51" i="11"/>
  <c r="P61" i="11" s="1"/>
  <c r="O51" i="11"/>
  <c r="O61" i="11" s="1"/>
  <c r="N51" i="11"/>
  <c r="N61" i="11" s="1"/>
  <c r="M51" i="11"/>
  <c r="M61" i="11" s="1"/>
  <c r="L51" i="11"/>
  <c r="L61" i="11" s="1"/>
  <c r="K51" i="11"/>
  <c r="K61" i="11" s="1"/>
  <c r="AE50" i="11"/>
  <c r="AF50" i="11" s="1"/>
  <c r="L50" i="11"/>
  <c r="K50" i="11"/>
  <c r="M49" i="11"/>
  <c r="M59" i="11" s="1"/>
  <c r="L48" i="11"/>
  <c r="L58" i="11" s="1"/>
  <c r="K48" i="11"/>
  <c r="K58" i="11" s="1"/>
  <c r="AB47" i="11"/>
  <c r="AB57" i="11" s="1"/>
  <c r="AA47" i="11"/>
  <c r="AA57" i="11" s="1"/>
  <c r="K47" i="11"/>
  <c r="L47" i="11" s="1"/>
  <c r="M46" i="11"/>
  <c r="M56" i="11" s="1"/>
  <c r="C44" i="11"/>
  <c r="D44" i="11" s="1"/>
  <c r="B44" i="11"/>
  <c r="B52" i="11" s="1"/>
  <c r="B41" i="11"/>
  <c r="B67" i="11" s="1"/>
  <c r="E37" i="11"/>
  <c r="F37" i="11" s="1"/>
  <c r="G37" i="11" s="1"/>
  <c r="H37" i="11" s="1"/>
  <c r="I37" i="11" s="1"/>
  <c r="J37" i="11" s="1"/>
  <c r="K37" i="11" s="1"/>
  <c r="D37" i="11"/>
  <c r="C37" i="11"/>
  <c r="U32" i="11"/>
  <c r="S32" i="11"/>
  <c r="P32" i="11"/>
  <c r="L32" i="11"/>
  <c r="L33" i="11" s="1"/>
  <c r="M33" i="11" s="1"/>
  <c r="N33" i="11" s="1"/>
  <c r="O33" i="11" s="1"/>
  <c r="L29" i="11"/>
  <c r="L30" i="11" s="1"/>
  <c r="M30" i="11" s="1"/>
  <c r="N30" i="11" s="1"/>
  <c r="O30" i="11" s="1"/>
  <c r="P30" i="11" s="1"/>
  <c r="Q30" i="11" s="1"/>
  <c r="R30" i="11" s="1"/>
  <c r="S30" i="11" s="1"/>
  <c r="T30" i="11" s="1"/>
  <c r="U30" i="11" s="1"/>
  <c r="V30" i="11" s="1"/>
  <c r="W30" i="11" s="1"/>
  <c r="X30" i="11" s="1"/>
  <c r="Y30" i="11" s="1"/>
  <c r="Z30" i="11" s="1"/>
  <c r="AA30" i="11" s="1"/>
  <c r="AB30" i="11" s="1"/>
  <c r="AC30" i="11" s="1"/>
  <c r="AD30" i="11" s="1"/>
  <c r="AE30" i="11" s="1"/>
  <c r="AF30" i="11" s="1"/>
  <c r="AG30" i="11" s="1"/>
  <c r="AH30" i="11" s="1"/>
  <c r="AI30" i="11" s="1"/>
  <c r="AJ30" i="11" s="1"/>
  <c r="AK30" i="11" s="1"/>
  <c r="AL30" i="11" s="1"/>
  <c r="AM30" i="11" s="1"/>
  <c r="AN30" i="11" s="1"/>
  <c r="AO30" i="11" s="1"/>
  <c r="AP30" i="11" s="1"/>
  <c r="K24" i="11"/>
  <c r="J24" i="11"/>
  <c r="I24" i="11"/>
  <c r="H24" i="11"/>
  <c r="G24" i="11"/>
  <c r="F24" i="11"/>
  <c r="E24" i="11"/>
  <c r="D24" i="11"/>
  <c r="C24" i="11"/>
  <c r="B24" i="11"/>
  <c r="M23" i="11"/>
  <c r="N23" i="11" s="1"/>
  <c r="O23" i="11" s="1"/>
  <c r="P23" i="11" s="1"/>
  <c r="Q23" i="11" s="1"/>
  <c r="R23" i="11" s="1"/>
  <c r="S23" i="11" s="1"/>
  <c r="T23" i="11" s="1"/>
  <c r="U23" i="11" s="1"/>
  <c r="V23" i="11" s="1"/>
  <c r="W23" i="11" s="1"/>
  <c r="X23" i="11" s="1"/>
  <c r="Y23" i="11" s="1"/>
  <c r="Z23" i="11" s="1"/>
  <c r="AA23" i="11" s="1"/>
  <c r="AB23" i="11" s="1"/>
  <c r="AC23" i="11" s="1"/>
  <c r="AD23" i="11" s="1"/>
  <c r="AE23" i="11" s="1"/>
  <c r="AF23" i="11" s="1"/>
  <c r="AG23" i="11" s="1"/>
  <c r="AH23" i="11" s="1"/>
  <c r="AI23" i="11" s="1"/>
  <c r="AJ23" i="11" s="1"/>
  <c r="AK23" i="11" s="1"/>
  <c r="AL23" i="11" s="1"/>
  <c r="AM23" i="11" s="1"/>
  <c r="AN23" i="11" s="1"/>
  <c r="AO23" i="11" s="1"/>
  <c r="AP23" i="11" s="1"/>
  <c r="J23" i="11"/>
  <c r="I23" i="11"/>
  <c r="H23" i="11"/>
  <c r="G23" i="11"/>
  <c r="F23" i="11"/>
  <c r="E23" i="11"/>
  <c r="D23" i="11"/>
  <c r="C23" i="11"/>
  <c r="B23" i="11"/>
  <c r="K20" i="11"/>
  <c r="J20" i="11"/>
  <c r="I20" i="11"/>
  <c r="H20" i="11"/>
  <c r="G20" i="11"/>
  <c r="F20" i="11"/>
  <c r="E20" i="11"/>
  <c r="D20" i="11"/>
  <c r="C20" i="11"/>
  <c r="B20" i="11"/>
  <c r="K19" i="11"/>
  <c r="J19" i="11"/>
  <c r="I19" i="11"/>
  <c r="H19" i="11"/>
  <c r="G19" i="11"/>
  <c r="F19" i="11"/>
  <c r="E19" i="11"/>
  <c r="D19" i="11"/>
  <c r="C19" i="11"/>
  <c r="B19" i="11"/>
  <c r="K18" i="11"/>
  <c r="J18" i="11"/>
  <c r="I18" i="11"/>
  <c r="H18" i="11"/>
  <c r="G18" i="11"/>
  <c r="F18" i="11"/>
  <c r="E18" i="11"/>
  <c r="D18" i="11"/>
  <c r="C18" i="11"/>
  <c r="B18" i="11"/>
  <c r="K13" i="11"/>
  <c r="J13" i="11"/>
  <c r="I13" i="11"/>
  <c r="H13" i="11"/>
  <c r="G13" i="11"/>
  <c r="F13" i="11"/>
  <c r="E13" i="11"/>
  <c r="D13" i="11"/>
  <c r="C13" i="11"/>
  <c r="B13" i="11"/>
  <c r="K12" i="11"/>
  <c r="J12" i="11"/>
  <c r="I12" i="11"/>
  <c r="H12" i="11"/>
  <c r="G12" i="11"/>
  <c r="F12" i="11"/>
  <c r="E12" i="11"/>
  <c r="D12" i="11"/>
  <c r="C12" i="11"/>
  <c r="B12" i="11"/>
  <c r="K11" i="11"/>
  <c r="J11" i="11"/>
  <c r="I11" i="11"/>
  <c r="H11" i="11"/>
  <c r="G11" i="11"/>
  <c r="F11" i="11"/>
  <c r="E11" i="11"/>
  <c r="D11" i="11"/>
  <c r="C11" i="11"/>
  <c r="B11" i="11"/>
  <c r="K10" i="11"/>
  <c r="J10" i="11"/>
  <c r="I10" i="11"/>
  <c r="H10" i="11"/>
  <c r="G10" i="11"/>
  <c r="F10" i="11"/>
  <c r="E10" i="11"/>
  <c r="D10" i="11"/>
  <c r="C10" i="11"/>
  <c r="B10" i="11"/>
  <c r="L8" i="11"/>
  <c r="J8" i="11"/>
  <c r="I8" i="11"/>
  <c r="H8" i="11"/>
  <c r="G8" i="11"/>
  <c r="F8" i="11"/>
  <c r="E8" i="11"/>
  <c r="D8" i="11"/>
  <c r="C8" i="11"/>
  <c r="B8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F96" i="9"/>
  <c r="B79" i="9"/>
  <c r="B78" i="9"/>
  <c r="X64" i="9"/>
  <c r="X74" i="9" s="1"/>
  <c r="W64" i="9"/>
  <c r="W74" i="9" s="1"/>
  <c r="V64" i="9"/>
  <c r="V74" i="9" s="1"/>
  <c r="U64" i="9"/>
  <c r="U74" i="9" s="1"/>
  <c r="T64" i="9"/>
  <c r="T74" i="9" s="1"/>
  <c r="S64" i="9"/>
  <c r="S74" i="9" s="1"/>
  <c r="R64" i="9"/>
  <c r="R74" i="9" s="1"/>
  <c r="Q64" i="9"/>
  <c r="Q74" i="9" s="1"/>
  <c r="P64" i="9"/>
  <c r="P74" i="9" s="1"/>
  <c r="O64" i="9"/>
  <c r="O74" i="9" s="1"/>
  <c r="N64" i="9"/>
  <c r="N74" i="9" s="1"/>
  <c r="M64" i="9"/>
  <c r="M74" i="9" s="1"/>
  <c r="L64" i="9"/>
  <c r="L74" i="9" s="1"/>
  <c r="K64" i="9"/>
  <c r="K74" i="9" s="1"/>
  <c r="AG63" i="9"/>
  <c r="AF63" i="9"/>
  <c r="AE63" i="9"/>
  <c r="AD63" i="9"/>
  <c r="L63" i="9"/>
  <c r="K63" i="9"/>
  <c r="M62" i="9"/>
  <c r="M72" i="9" s="1"/>
  <c r="L62" i="9"/>
  <c r="L72" i="9" s="1"/>
  <c r="K62" i="9"/>
  <c r="K72" i="9" s="1"/>
  <c r="K61" i="9"/>
  <c r="K71" i="9" s="1"/>
  <c r="AA60" i="9"/>
  <c r="AA70" i="9" s="1"/>
  <c r="Z60" i="9"/>
  <c r="Z70" i="9" s="1"/>
  <c r="K60" i="9"/>
  <c r="K70" i="9" s="1"/>
  <c r="M59" i="9"/>
  <c r="M69" i="9" s="1"/>
  <c r="C57" i="9"/>
  <c r="C68" i="9" s="1"/>
  <c r="C75" i="9" s="1"/>
  <c r="B57" i="9"/>
  <c r="B54" i="9"/>
  <c r="B80" i="9" s="1"/>
  <c r="D50" i="9"/>
  <c r="E50" i="9" s="1"/>
  <c r="F50" i="9" s="1"/>
  <c r="G50" i="9" s="1"/>
  <c r="H50" i="9" s="1"/>
  <c r="I50" i="9" s="1"/>
  <c r="J50" i="9" s="1"/>
  <c r="K50" i="9" s="1"/>
  <c r="C50" i="9"/>
  <c r="L46" i="9"/>
  <c r="M46" i="9" s="1"/>
  <c r="N46" i="9" s="1"/>
  <c r="O46" i="9" s="1"/>
  <c r="P46" i="9" s="1"/>
  <c r="Q46" i="9" s="1"/>
  <c r="R46" i="9" s="1"/>
  <c r="S46" i="9" s="1"/>
  <c r="T46" i="9" s="1"/>
  <c r="U46" i="9" s="1"/>
  <c r="V46" i="9" s="1"/>
  <c r="W46" i="9" s="1"/>
  <c r="X46" i="9" s="1"/>
  <c r="Y46" i="9" s="1"/>
  <c r="Z46" i="9" s="1"/>
  <c r="AA46" i="9" s="1"/>
  <c r="AB46" i="9" s="1"/>
  <c r="AC46" i="9" s="1"/>
  <c r="AD46" i="9" s="1"/>
  <c r="AE46" i="9" s="1"/>
  <c r="AF46" i="9" s="1"/>
  <c r="AG46" i="9" s="1"/>
  <c r="AH46" i="9" s="1"/>
  <c r="AI46" i="9" s="1"/>
  <c r="AJ46" i="9" s="1"/>
  <c r="AK46" i="9" s="1"/>
  <c r="AL46" i="9" s="1"/>
  <c r="AM46" i="9" s="1"/>
  <c r="AN46" i="9" s="1"/>
  <c r="AO46" i="9" s="1"/>
  <c r="AP46" i="9" s="1"/>
  <c r="K46" i="9"/>
  <c r="T45" i="9"/>
  <c r="S45" i="9"/>
  <c r="P45" i="9"/>
  <c r="M45" i="9"/>
  <c r="L45" i="9"/>
  <c r="K45" i="9"/>
  <c r="K43" i="9"/>
  <c r="L43" i="9" s="1"/>
  <c r="M43" i="9" s="1"/>
  <c r="N43" i="9" s="1"/>
  <c r="O43" i="9" s="1"/>
  <c r="P43" i="9" s="1"/>
  <c r="Q43" i="9" s="1"/>
  <c r="R43" i="9" s="1"/>
  <c r="S43" i="9" s="1"/>
  <c r="T43" i="9" s="1"/>
  <c r="U43" i="9" s="1"/>
  <c r="V43" i="9" s="1"/>
  <c r="W43" i="9" s="1"/>
  <c r="X43" i="9" s="1"/>
  <c r="Y43" i="9" s="1"/>
  <c r="Z43" i="9" s="1"/>
  <c r="AA43" i="9" s="1"/>
  <c r="AB43" i="9" s="1"/>
  <c r="AC43" i="9" s="1"/>
  <c r="AD43" i="9" s="1"/>
  <c r="AE43" i="9" s="1"/>
  <c r="AF43" i="9" s="1"/>
  <c r="AG43" i="9" s="1"/>
  <c r="AH43" i="9" s="1"/>
  <c r="AI43" i="9" s="1"/>
  <c r="AJ43" i="9" s="1"/>
  <c r="AK43" i="9" s="1"/>
  <c r="AL43" i="9" s="1"/>
  <c r="AM43" i="9" s="1"/>
  <c r="AN43" i="9" s="1"/>
  <c r="AO43" i="9" s="1"/>
  <c r="AP43" i="9" s="1"/>
  <c r="AP42" i="9"/>
  <c r="AN42" i="9"/>
  <c r="AM42" i="9"/>
  <c r="AL42" i="9"/>
  <c r="AJ42" i="9"/>
  <c r="AI42" i="9"/>
  <c r="AH42" i="9"/>
  <c r="AG42" i="9"/>
  <c r="AE42" i="9"/>
  <c r="AD42" i="9"/>
  <c r="Y42" i="9"/>
  <c r="U42" i="9"/>
  <c r="S42" i="9"/>
  <c r="R42" i="9"/>
  <c r="Q42" i="9"/>
  <c r="P42" i="9"/>
  <c r="O42" i="9"/>
  <c r="N42" i="9"/>
  <c r="M42" i="9"/>
  <c r="L42" i="9"/>
  <c r="K42" i="9"/>
  <c r="K37" i="9"/>
  <c r="J37" i="9"/>
  <c r="I37" i="9"/>
  <c r="H37" i="9"/>
  <c r="G37" i="9"/>
  <c r="F37" i="9"/>
  <c r="E37" i="9"/>
  <c r="D37" i="9"/>
  <c r="C37" i="9"/>
  <c r="B37" i="9"/>
  <c r="M36" i="9"/>
  <c r="N36" i="9" s="1"/>
  <c r="O36" i="9" s="1"/>
  <c r="P36" i="9" s="1"/>
  <c r="Q36" i="9" s="1"/>
  <c r="R36" i="9" s="1"/>
  <c r="S36" i="9" s="1"/>
  <c r="T36" i="9" s="1"/>
  <c r="U36" i="9" s="1"/>
  <c r="V36" i="9" s="1"/>
  <c r="W36" i="9" s="1"/>
  <c r="X36" i="9" s="1"/>
  <c r="Y36" i="9" s="1"/>
  <c r="Z36" i="9" s="1"/>
  <c r="AA36" i="9" s="1"/>
  <c r="AB36" i="9" s="1"/>
  <c r="AC36" i="9" s="1"/>
  <c r="AD36" i="9" s="1"/>
  <c r="AE36" i="9" s="1"/>
  <c r="AF36" i="9" s="1"/>
  <c r="AG36" i="9" s="1"/>
  <c r="AH36" i="9" s="1"/>
  <c r="AI36" i="9" s="1"/>
  <c r="AJ36" i="9" s="1"/>
  <c r="AK36" i="9" s="1"/>
  <c r="AL36" i="9" s="1"/>
  <c r="AM36" i="9" s="1"/>
  <c r="AN36" i="9" s="1"/>
  <c r="AO36" i="9" s="1"/>
  <c r="AP36" i="9" s="1"/>
  <c r="J36" i="9"/>
  <c r="I36" i="9"/>
  <c r="H36" i="9"/>
  <c r="G36" i="9"/>
  <c r="F36" i="9"/>
  <c r="E36" i="9"/>
  <c r="D36" i="9"/>
  <c r="C36" i="9"/>
  <c r="B36" i="9"/>
  <c r="K33" i="9"/>
  <c r="J33" i="9"/>
  <c r="I33" i="9"/>
  <c r="H33" i="9"/>
  <c r="G33" i="9"/>
  <c r="F33" i="9"/>
  <c r="E33" i="9"/>
  <c r="D33" i="9"/>
  <c r="C33" i="9"/>
  <c r="B33" i="9"/>
  <c r="K32" i="9"/>
  <c r="J32" i="9"/>
  <c r="I32" i="9"/>
  <c r="H32" i="9"/>
  <c r="G32" i="9"/>
  <c r="F32" i="9"/>
  <c r="E32" i="9"/>
  <c r="D32" i="9"/>
  <c r="C32" i="9"/>
  <c r="B32" i="9"/>
  <c r="K31" i="9"/>
  <c r="J31" i="9"/>
  <c r="I31" i="9"/>
  <c r="H31" i="9"/>
  <c r="G31" i="9"/>
  <c r="F31" i="9"/>
  <c r="E31" i="9"/>
  <c r="D31" i="9"/>
  <c r="C31" i="9"/>
  <c r="B31" i="9"/>
  <c r="K25" i="9"/>
  <c r="I25" i="9"/>
  <c r="H25" i="9"/>
  <c r="G25" i="9"/>
  <c r="E25" i="9"/>
  <c r="D25" i="9"/>
  <c r="C25" i="9"/>
  <c r="K24" i="9"/>
  <c r="J24" i="9"/>
  <c r="I24" i="9"/>
  <c r="H24" i="9"/>
  <c r="G24" i="9"/>
  <c r="F24" i="9"/>
  <c r="E24" i="9"/>
  <c r="D24" i="9"/>
  <c r="C24" i="9"/>
  <c r="B24" i="9"/>
  <c r="K23" i="9"/>
  <c r="J23" i="9"/>
  <c r="I23" i="9"/>
  <c r="H23" i="9"/>
  <c r="G23" i="9"/>
  <c r="F23" i="9"/>
  <c r="E23" i="9"/>
  <c r="D23" i="9"/>
  <c r="C23" i="9"/>
  <c r="B23" i="9"/>
  <c r="K22" i="9"/>
  <c r="J22" i="9"/>
  <c r="I22" i="9"/>
  <c r="H22" i="9"/>
  <c r="G22" i="9"/>
  <c r="F22" i="9"/>
  <c r="E22" i="9"/>
  <c r="D22" i="9"/>
  <c r="C22" i="9"/>
  <c r="B22" i="9"/>
  <c r="L20" i="9"/>
  <c r="J20" i="9"/>
  <c r="I20" i="9"/>
  <c r="H20" i="9"/>
  <c r="G20" i="9"/>
  <c r="F20" i="9"/>
  <c r="E20" i="9"/>
  <c r="D20" i="9"/>
  <c r="C20" i="9"/>
  <c r="B20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L14" i="9"/>
  <c r="S13" i="9"/>
  <c r="T13" i="9" s="1"/>
  <c r="U13" i="9" s="1"/>
  <c r="V13" i="9" s="1"/>
  <c r="W13" i="9" s="1"/>
  <c r="X13" i="9" s="1"/>
  <c r="C13" i="9"/>
  <c r="V12" i="9"/>
  <c r="W12" i="9" s="1"/>
  <c r="X12" i="9" s="1"/>
  <c r="Y12" i="9" s="1"/>
  <c r="Z12" i="9" s="1"/>
  <c r="AA12" i="9" s="1"/>
  <c r="AB12" i="9" s="1"/>
  <c r="AC12" i="9" s="1"/>
  <c r="AD12" i="9" s="1"/>
  <c r="AE12" i="9" s="1"/>
  <c r="AF12" i="9" s="1"/>
  <c r="AG12" i="9" s="1"/>
  <c r="AH12" i="9" s="1"/>
  <c r="AI12" i="9" s="1"/>
  <c r="AJ12" i="9" s="1"/>
  <c r="AK12" i="9" s="1"/>
  <c r="C12" i="9"/>
  <c r="W11" i="9"/>
  <c r="X11" i="9" s="1"/>
  <c r="Y11" i="9" s="1"/>
  <c r="Z11" i="9" s="1"/>
  <c r="AA11" i="9" s="1"/>
  <c r="AB11" i="9" s="1"/>
  <c r="AC11" i="9" s="1"/>
  <c r="AD11" i="9" s="1"/>
  <c r="AE11" i="9" s="1"/>
  <c r="AF11" i="9" s="1"/>
  <c r="AG11" i="9" s="1"/>
  <c r="AH11" i="9" s="1"/>
  <c r="AI11" i="9" s="1"/>
  <c r="AJ11" i="9" s="1"/>
  <c r="AK11" i="9" s="1"/>
  <c r="V11" i="9"/>
  <c r="C11" i="9"/>
  <c r="C10" i="9"/>
  <c r="C9" i="9"/>
  <c r="C8" i="9"/>
  <c r="B7" i="9"/>
  <c r="C7" i="9" s="1"/>
  <c r="B50" i="1"/>
  <c r="B49" i="1"/>
  <c r="B40" i="1"/>
  <c r="B39" i="1"/>
  <c r="M34" i="1"/>
  <c r="M33" i="1"/>
  <c r="Y28" i="1"/>
  <c r="Z28" i="1" s="1"/>
  <c r="O27" i="1"/>
  <c r="P27" i="1" s="1"/>
  <c r="N27" i="1"/>
  <c r="L27" i="1"/>
  <c r="K27" i="1"/>
  <c r="N26" i="1"/>
  <c r="O26" i="1" s="1"/>
  <c r="K26" i="1"/>
  <c r="K25" i="1"/>
  <c r="C24" i="1"/>
  <c r="C32" i="1" s="1"/>
  <c r="C36" i="1" s="1"/>
  <c r="B24" i="1"/>
  <c r="B21" i="1"/>
  <c r="B41" i="1" s="1"/>
  <c r="B43" i="1" s="1"/>
  <c r="T35" i="1" s="1"/>
  <c r="E17" i="1"/>
  <c r="F17" i="1" s="1"/>
  <c r="G17" i="1" s="1"/>
  <c r="H17" i="1" s="1"/>
  <c r="I17" i="1" s="1"/>
  <c r="J17" i="1" s="1"/>
  <c r="K17" i="1" s="1"/>
  <c r="D17" i="1"/>
  <c r="C17" i="1"/>
  <c r="N11" i="1"/>
  <c r="O11" i="1" s="1"/>
  <c r="M11" i="1"/>
  <c r="K11" i="1"/>
  <c r="K10" i="1"/>
  <c r="J10" i="1"/>
  <c r="I10" i="1"/>
  <c r="H10" i="1"/>
  <c r="G10" i="1"/>
  <c r="F10" i="1"/>
  <c r="E10" i="1"/>
  <c r="D10" i="1"/>
  <c r="C10" i="1"/>
  <c r="B10" i="1"/>
  <c r="K9" i="1"/>
  <c r="J9" i="1"/>
  <c r="J14" i="1" s="1"/>
  <c r="I9" i="1"/>
  <c r="H9" i="1"/>
  <c r="G9" i="1"/>
  <c r="F9" i="1"/>
  <c r="E9" i="1"/>
  <c r="D9" i="1"/>
  <c r="C9" i="1"/>
  <c r="B9" i="1"/>
  <c r="O46" i="21" l="1"/>
  <c r="O46" i="16"/>
  <c r="O56" i="16" s="1"/>
  <c r="O46" i="11"/>
  <c r="O56" i="11" s="1"/>
  <c r="O33" i="1"/>
  <c r="P26" i="1"/>
  <c r="P49" i="21"/>
  <c r="P49" i="16"/>
  <c r="P59" i="16" s="1"/>
  <c r="P49" i="11"/>
  <c r="P59" i="11" s="1"/>
  <c r="Q27" i="1"/>
  <c r="P34" i="1"/>
  <c r="F41" i="1"/>
  <c r="J18" i="1"/>
  <c r="F40" i="1"/>
  <c r="Z51" i="21"/>
  <c r="Z51" i="16"/>
  <c r="Z61" i="16" s="1"/>
  <c r="Z51" i="11"/>
  <c r="Z61" i="11" s="1"/>
  <c r="Z35" i="1"/>
  <c r="AA28" i="1"/>
  <c r="O8" i="21"/>
  <c r="O20" i="19"/>
  <c r="O8" i="16"/>
  <c r="O20" i="14"/>
  <c r="O8" i="11"/>
  <c r="O20" i="9"/>
  <c r="P11" i="1"/>
  <c r="B21" i="21"/>
  <c r="B9" i="21" s="1"/>
  <c r="B34" i="19"/>
  <c r="B21" i="19" s="1"/>
  <c r="B21" i="16"/>
  <c r="B9" i="16" s="1"/>
  <c r="B34" i="14"/>
  <c r="B21" i="14" s="1"/>
  <c r="B21" i="11"/>
  <c r="B9" i="11" s="1"/>
  <c r="B34" i="9"/>
  <c r="B21" i="9" s="1"/>
  <c r="F21" i="21"/>
  <c r="F9" i="21" s="1"/>
  <c r="F34" i="19"/>
  <c r="F21" i="19" s="1"/>
  <c r="F21" i="16"/>
  <c r="F9" i="16" s="1"/>
  <c r="F34" i="14"/>
  <c r="F21" i="14" s="1"/>
  <c r="F21" i="11"/>
  <c r="F9" i="11" s="1"/>
  <c r="F34" i="9"/>
  <c r="F21" i="9" s="1"/>
  <c r="E22" i="21"/>
  <c r="E14" i="21" s="1"/>
  <c r="E35" i="19"/>
  <c r="E26" i="19" s="1"/>
  <c r="E22" i="16"/>
  <c r="E14" i="16" s="1"/>
  <c r="E35" i="14"/>
  <c r="E26" i="14" s="1"/>
  <c r="E22" i="11"/>
  <c r="E14" i="11" s="1"/>
  <c r="E35" i="9"/>
  <c r="E26" i="9" s="1"/>
  <c r="C21" i="21"/>
  <c r="C9" i="21" s="1"/>
  <c r="C34" i="19"/>
  <c r="C21" i="19" s="1"/>
  <c r="C21" i="16"/>
  <c r="C9" i="16" s="1"/>
  <c r="C34" i="14"/>
  <c r="C21" i="14" s="1"/>
  <c r="C21" i="11"/>
  <c r="C9" i="11" s="1"/>
  <c r="C34" i="9"/>
  <c r="C21" i="9" s="1"/>
  <c r="G21" i="21"/>
  <c r="G9" i="21" s="1"/>
  <c r="G34" i="19"/>
  <c r="G21" i="19" s="1"/>
  <c r="G21" i="16"/>
  <c r="G9" i="16" s="1"/>
  <c r="G34" i="14"/>
  <c r="G21" i="14" s="1"/>
  <c r="G21" i="11"/>
  <c r="G9" i="11" s="1"/>
  <c r="G34" i="9"/>
  <c r="G21" i="9" s="1"/>
  <c r="K21" i="21"/>
  <c r="K34" i="19"/>
  <c r="K21" i="16"/>
  <c r="K34" i="14"/>
  <c r="K21" i="11"/>
  <c r="K34" i="9"/>
  <c r="B22" i="21"/>
  <c r="B14" i="21" s="1"/>
  <c r="B35" i="19"/>
  <c r="B26" i="19" s="1"/>
  <c r="B22" i="16"/>
  <c r="B14" i="16" s="1"/>
  <c r="B35" i="14"/>
  <c r="B26" i="14" s="1"/>
  <c r="B22" i="11"/>
  <c r="B14" i="11" s="1"/>
  <c r="B35" i="9"/>
  <c r="B26" i="9" s="1"/>
  <c r="F22" i="21"/>
  <c r="F14" i="21" s="1"/>
  <c r="F35" i="19"/>
  <c r="F26" i="19" s="1"/>
  <c r="F22" i="16"/>
  <c r="F14" i="16" s="1"/>
  <c r="F35" i="14"/>
  <c r="F26" i="14" s="1"/>
  <c r="F22" i="11"/>
  <c r="F14" i="11" s="1"/>
  <c r="F35" i="9"/>
  <c r="F26" i="9" s="1"/>
  <c r="J22" i="21"/>
  <c r="J14" i="21" s="1"/>
  <c r="J35" i="19"/>
  <c r="J26" i="19" s="1"/>
  <c r="J22" i="16"/>
  <c r="J14" i="16" s="1"/>
  <c r="J35" i="14"/>
  <c r="J26" i="14" s="1"/>
  <c r="J22" i="11"/>
  <c r="J14" i="11" s="1"/>
  <c r="J35" i="9"/>
  <c r="J26" i="9" s="1"/>
  <c r="B14" i="1"/>
  <c r="B18" i="1" s="1"/>
  <c r="F14" i="1"/>
  <c r="F18" i="1" s="1"/>
  <c r="B32" i="1"/>
  <c r="B36" i="1" s="1"/>
  <c r="K49" i="21"/>
  <c r="K59" i="21" s="1"/>
  <c r="K49" i="16"/>
  <c r="K59" i="16" s="1"/>
  <c r="K49" i="11"/>
  <c r="K59" i="11" s="1"/>
  <c r="P35" i="1"/>
  <c r="X35" i="1"/>
  <c r="B39" i="9"/>
  <c r="B51" i="9" s="1"/>
  <c r="F39" i="9"/>
  <c r="F51" i="9" s="1"/>
  <c r="D21" i="21"/>
  <c r="D9" i="21" s="1"/>
  <c r="D34" i="19"/>
  <c r="D21" i="19" s="1"/>
  <c r="D21" i="16"/>
  <c r="D9" i="16" s="1"/>
  <c r="D34" i="14"/>
  <c r="D21" i="14" s="1"/>
  <c r="D21" i="11"/>
  <c r="D9" i="11" s="1"/>
  <c r="D34" i="9"/>
  <c r="D21" i="9" s="1"/>
  <c r="H21" i="21"/>
  <c r="H9" i="21" s="1"/>
  <c r="H34" i="19"/>
  <c r="H21" i="19" s="1"/>
  <c r="H21" i="16"/>
  <c r="H9" i="16" s="1"/>
  <c r="H34" i="14"/>
  <c r="H21" i="14" s="1"/>
  <c r="H21" i="11"/>
  <c r="H9" i="11" s="1"/>
  <c r="H34" i="9"/>
  <c r="H21" i="9" s="1"/>
  <c r="C22" i="21"/>
  <c r="C14" i="21" s="1"/>
  <c r="C35" i="19"/>
  <c r="C26" i="19" s="1"/>
  <c r="C22" i="16"/>
  <c r="C14" i="16" s="1"/>
  <c r="C35" i="14"/>
  <c r="C26" i="14" s="1"/>
  <c r="C22" i="11"/>
  <c r="C14" i="11" s="1"/>
  <c r="C35" i="9"/>
  <c r="C26" i="9" s="1"/>
  <c r="G22" i="21"/>
  <c r="G14" i="21" s="1"/>
  <c r="G35" i="19"/>
  <c r="G26" i="19" s="1"/>
  <c r="G22" i="16"/>
  <c r="G14" i="16" s="1"/>
  <c r="G35" i="14"/>
  <c r="G26" i="14" s="1"/>
  <c r="G22" i="11"/>
  <c r="G14" i="11" s="1"/>
  <c r="G35" i="9"/>
  <c r="G26" i="9" s="1"/>
  <c r="K22" i="21"/>
  <c r="K35" i="19"/>
  <c r="K22" i="16"/>
  <c r="K35" i="14"/>
  <c r="K22" i="11"/>
  <c r="K35" i="9"/>
  <c r="K23" i="21"/>
  <c r="K8" i="21" s="1"/>
  <c r="K36" i="19"/>
  <c r="K20" i="19" s="1"/>
  <c r="K23" i="16"/>
  <c r="K8" i="16" s="1"/>
  <c r="K36" i="14"/>
  <c r="K20" i="14" s="1"/>
  <c r="K23" i="11"/>
  <c r="K8" i="11" s="1"/>
  <c r="K36" i="9"/>
  <c r="K20" i="9" s="1"/>
  <c r="C14" i="1"/>
  <c r="C18" i="1" s="1"/>
  <c r="G14" i="1"/>
  <c r="G18" i="1" s="1"/>
  <c r="K14" i="1"/>
  <c r="K45" i="21"/>
  <c r="K45" i="16"/>
  <c r="K45" i="11"/>
  <c r="K46" i="21"/>
  <c r="K46" i="16"/>
  <c r="K56" i="16" s="1"/>
  <c r="K46" i="11"/>
  <c r="K56" i="11" s="1"/>
  <c r="L49" i="21"/>
  <c r="L59" i="21" s="1"/>
  <c r="L49" i="16"/>
  <c r="L59" i="16" s="1"/>
  <c r="L49" i="11"/>
  <c r="L59" i="11" s="1"/>
  <c r="B29" i="1"/>
  <c r="K35" i="1"/>
  <c r="S35" i="1"/>
  <c r="C39" i="9"/>
  <c r="C51" i="9" s="1"/>
  <c r="G39" i="9"/>
  <c r="G51" i="9" s="1"/>
  <c r="E21" i="21"/>
  <c r="E9" i="21" s="1"/>
  <c r="E34" i="19"/>
  <c r="E21" i="19" s="1"/>
  <c r="E21" i="16"/>
  <c r="E9" i="16" s="1"/>
  <c r="E34" i="14"/>
  <c r="E21" i="14" s="1"/>
  <c r="E21" i="11"/>
  <c r="E9" i="11" s="1"/>
  <c r="E34" i="9"/>
  <c r="E21" i="9" s="1"/>
  <c r="I21" i="21"/>
  <c r="I34" i="19"/>
  <c r="I21" i="16"/>
  <c r="I34" i="14"/>
  <c r="I21" i="11"/>
  <c r="I34" i="9"/>
  <c r="D22" i="21"/>
  <c r="D14" i="21" s="1"/>
  <c r="D35" i="19"/>
  <c r="D26" i="19" s="1"/>
  <c r="D22" i="16"/>
  <c r="D14" i="16" s="1"/>
  <c r="D35" i="14"/>
  <c r="D26" i="14" s="1"/>
  <c r="D22" i="11"/>
  <c r="D14" i="11" s="1"/>
  <c r="D35" i="9"/>
  <c r="D26" i="9" s="1"/>
  <c r="H22" i="21"/>
  <c r="H14" i="21" s="1"/>
  <c r="H35" i="19"/>
  <c r="H26" i="19" s="1"/>
  <c r="H22" i="16"/>
  <c r="H14" i="16" s="1"/>
  <c r="H35" i="14"/>
  <c r="H26" i="14" s="1"/>
  <c r="H22" i="11"/>
  <c r="H14" i="11" s="1"/>
  <c r="H35" i="9"/>
  <c r="H26" i="9" s="1"/>
  <c r="M8" i="21"/>
  <c r="M20" i="19"/>
  <c r="M8" i="16"/>
  <c r="M20" i="14"/>
  <c r="M8" i="11"/>
  <c r="M20" i="9"/>
  <c r="D14" i="1"/>
  <c r="D18" i="1" s="1"/>
  <c r="H14" i="1"/>
  <c r="H18" i="1" s="1"/>
  <c r="D24" i="1"/>
  <c r="L25" i="1"/>
  <c r="L26" i="1"/>
  <c r="N49" i="21"/>
  <c r="N49" i="16"/>
  <c r="N59" i="16" s="1"/>
  <c r="N49" i="11"/>
  <c r="N59" i="11" s="1"/>
  <c r="N34" i="1"/>
  <c r="C29" i="1"/>
  <c r="L35" i="1"/>
  <c r="B44" i="1"/>
  <c r="D39" i="9"/>
  <c r="D51" i="9" s="1"/>
  <c r="H39" i="9"/>
  <c r="H51" i="9" s="1"/>
  <c r="J21" i="21"/>
  <c r="J34" i="19"/>
  <c r="J21" i="16"/>
  <c r="J34" i="14"/>
  <c r="J21" i="11"/>
  <c r="J34" i="9"/>
  <c r="J39" i="9" s="1"/>
  <c r="F42" i="1"/>
  <c r="I22" i="21"/>
  <c r="I35" i="19"/>
  <c r="I22" i="16"/>
  <c r="I35" i="14"/>
  <c r="I22" i="11"/>
  <c r="I35" i="9"/>
  <c r="N8" i="21"/>
  <c r="N20" i="19"/>
  <c r="N8" i="16"/>
  <c r="N20" i="14"/>
  <c r="N8" i="11"/>
  <c r="N20" i="9"/>
  <c r="E14" i="1"/>
  <c r="E18" i="1" s="1"/>
  <c r="I14" i="1"/>
  <c r="U35" i="1"/>
  <c r="Q35" i="1"/>
  <c r="M35" i="1"/>
  <c r="V35" i="1"/>
  <c r="R35" i="1"/>
  <c r="N35" i="1"/>
  <c r="N46" i="21"/>
  <c r="N46" i="16"/>
  <c r="N56" i="16" s="1"/>
  <c r="N46" i="11"/>
  <c r="N56" i="11" s="1"/>
  <c r="N33" i="1"/>
  <c r="O49" i="21"/>
  <c r="O49" i="16"/>
  <c r="O59" i="16" s="1"/>
  <c r="O49" i="11"/>
  <c r="O59" i="11" s="1"/>
  <c r="Y51" i="21"/>
  <c r="Y51" i="16"/>
  <c r="Y61" i="16" s="1"/>
  <c r="Y51" i="11"/>
  <c r="Y61" i="11" s="1"/>
  <c r="Y35" i="1"/>
  <c r="O34" i="1"/>
  <c r="O35" i="1"/>
  <c r="W35" i="1"/>
  <c r="B45" i="1"/>
  <c r="K33" i="1" s="1"/>
  <c r="E39" i="9"/>
  <c r="E51" i="9" s="1"/>
  <c r="I39" i="9"/>
  <c r="I51" i="9" s="1"/>
  <c r="B25" i="9"/>
  <c r="F25" i="9"/>
  <c r="J25" i="9"/>
  <c r="B93" i="9"/>
  <c r="C26" i="11"/>
  <c r="C38" i="11" s="1"/>
  <c r="G26" i="11"/>
  <c r="G38" i="11" s="1"/>
  <c r="E79" i="9"/>
  <c r="B65" i="9"/>
  <c r="B87" i="9"/>
  <c r="D26" i="11"/>
  <c r="D38" i="11" s="1"/>
  <c r="H26" i="11"/>
  <c r="H38" i="11" s="1"/>
  <c r="M47" i="11"/>
  <c r="L57" i="11"/>
  <c r="AG50" i="11"/>
  <c r="E80" i="9"/>
  <c r="K39" i="9"/>
  <c r="G80" i="9" s="1"/>
  <c r="D57" i="9"/>
  <c r="L73" i="9"/>
  <c r="C65" i="9"/>
  <c r="B68" i="9"/>
  <c r="B75" i="9" s="1"/>
  <c r="B89" i="9" s="1"/>
  <c r="E26" i="11"/>
  <c r="E38" i="11" s="1"/>
  <c r="I26" i="11"/>
  <c r="I38" i="11" s="1"/>
  <c r="G79" i="9"/>
  <c r="B92" i="9"/>
  <c r="B85" i="9"/>
  <c r="AE73" i="9" s="1"/>
  <c r="B88" i="9"/>
  <c r="AG73" i="9"/>
  <c r="B26" i="11"/>
  <c r="B38" i="11" s="1"/>
  <c r="F26" i="11"/>
  <c r="F38" i="11" s="1"/>
  <c r="J26" i="11"/>
  <c r="J38" i="11" s="1"/>
  <c r="P33" i="11"/>
  <c r="Q33" i="11" s="1"/>
  <c r="R33" i="11" s="1"/>
  <c r="S33" i="11" s="1"/>
  <c r="T33" i="11" s="1"/>
  <c r="U33" i="11" s="1"/>
  <c r="V33" i="11" s="1"/>
  <c r="W33" i="11" s="1"/>
  <c r="X33" i="11" s="1"/>
  <c r="Y33" i="11" s="1"/>
  <c r="Z33" i="11" s="1"/>
  <c r="AA33" i="11" s="1"/>
  <c r="AB33" i="11" s="1"/>
  <c r="AC33" i="11" s="1"/>
  <c r="AD33" i="11" s="1"/>
  <c r="AE33" i="11" s="1"/>
  <c r="AF33" i="11" s="1"/>
  <c r="AG33" i="11" s="1"/>
  <c r="AH33" i="11" s="1"/>
  <c r="AI33" i="11" s="1"/>
  <c r="AJ33" i="11" s="1"/>
  <c r="AK33" i="11" s="1"/>
  <c r="AL33" i="11" s="1"/>
  <c r="AM33" i="11" s="1"/>
  <c r="AN33" i="11" s="1"/>
  <c r="AO33" i="11" s="1"/>
  <c r="AP33" i="11" s="1"/>
  <c r="E44" i="11"/>
  <c r="D55" i="11"/>
  <c r="D62" i="11" s="1"/>
  <c r="D52" i="11"/>
  <c r="B80" i="11"/>
  <c r="C52" i="11"/>
  <c r="B55" i="11"/>
  <c r="B62" i="11" s="1"/>
  <c r="E39" i="14"/>
  <c r="E51" i="14" s="1"/>
  <c r="I39" i="14"/>
  <c r="I51" i="14" s="1"/>
  <c r="E66" i="11"/>
  <c r="C55" i="11"/>
  <c r="C62" i="11" s="1"/>
  <c r="K57" i="11"/>
  <c r="B39" i="14"/>
  <c r="B51" i="14" s="1"/>
  <c r="F39" i="14"/>
  <c r="F51" i="14" s="1"/>
  <c r="J39" i="14"/>
  <c r="J51" i="14" s="1"/>
  <c r="F66" i="11"/>
  <c r="E67" i="11"/>
  <c r="K26" i="11"/>
  <c r="G67" i="11" s="1"/>
  <c r="AC47" i="11"/>
  <c r="M48" i="11"/>
  <c r="M50" i="11"/>
  <c r="B75" i="11"/>
  <c r="C39" i="14"/>
  <c r="C51" i="14" s="1"/>
  <c r="G39" i="14"/>
  <c r="G51" i="14" s="1"/>
  <c r="B79" i="11"/>
  <c r="G66" i="11"/>
  <c r="F67" i="11"/>
  <c r="B74" i="11"/>
  <c r="B76" i="11" s="1"/>
  <c r="B72" i="11"/>
  <c r="AD60" i="11" s="1"/>
  <c r="AE60" i="11"/>
  <c r="D39" i="14"/>
  <c r="D51" i="14" s="1"/>
  <c r="H39" i="14"/>
  <c r="H51" i="14" s="1"/>
  <c r="B93" i="14"/>
  <c r="C57" i="14"/>
  <c r="L73" i="14"/>
  <c r="AF73" i="14"/>
  <c r="B87" i="14"/>
  <c r="D26" i="16"/>
  <c r="D38" i="16" s="1"/>
  <c r="H26" i="16"/>
  <c r="H38" i="16" s="1"/>
  <c r="E79" i="14"/>
  <c r="AG73" i="14"/>
  <c r="B88" i="14"/>
  <c r="E26" i="16"/>
  <c r="E38" i="16" s="1"/>
  <c r="I26" i="16"/>
  <c r="I38" i="16" s="1"/>
  <c r="T30" i="16"/>
  <c r="U30" i="16" s="1"/>
  <c r="V30" i="16" s="1"/>
  <c r="W30" i="16" s="1"/>
  <c r="X30" i="16" s="1"/>
  <c r="Y30" i="16" s="1"/>
  <c r="Z30" i="16" s="1"/>
  <c r="AA30" i="16" s="1"/>
  <c r="AB30" i="16" s="1"/>
  <c r="AC30" i="16" s="1"/>
  <c r="AD30" i="16" s="1"/>
  <c r="AE30" i="16" s="1"/>
  <c r="AF30" i="16" s="1"/>
  <c r="AG30" i="16" s="1"/>
  <c r="AH30" i="16" s="1"/>
  <c r="AI30" i="16" s="1"/>
  <c r="AJ30" i="16" s="1"/>
  <c r="AK30" i="16" s="1"/>
  <c r="AL30" i="16" s="1"/>
  <c r="AM30" i="16" s="1"/>
  <c r="AN30" i="16" s="1"/>
  <c r="AO30" i="16" s="1"/>
  <c r="AP30" i="16" s="1"/>
  <c r="P33" i="16"/>
  <c r="Q33" i="16" s="1"/>
  <c r="R33" i="16" s="1"/>
  <c r="S33" i="16" s="1"/>
  <c r="T33" i="16" s="1"/>
  <c r="F79" i="14"/>
  <c r="E80" i="14"/>
  <c r="K39" i="14"/>
  <c r="G80" i="14" s="1"/>
  <c r="AD73" i="14"/>
  <c r="B26" i="16"/>
  <c r="B38" i="16" s="1"/>
  <c r="F26" i="16"/>
  <c r="F38" i="16" s="1"/>
  <c r="J26" i="16"/>
  <c r="J38" i="16" s="1"/>
  <c r="G79" i="14"/>
  <c r="B92" i="14"/>
  <c r="F80" i="14"/>
  <c r="B68" i="14"/>
  <c r="B75" i="14" s="1"/>
  <c r="B89" i="14" s="1"/>
  <c r="B65" i="14"/>
  <c r="K73" i="14"/>
  <c r="AE73" i="14"/>
  <c r="C26" i="16"/>
  <c r="C38" i="16" s="1"/>
  <c r="G26" i="16"/>
  <c r="G38" i="16" s="1"/>
  <c r="U33" i="16"/>
  <c r="V33" i="16" s="1"/>
  <c r="W33" i="16" s="1"/>
  <c r="X33" i="16" s="1"/>
  <c r="Y33" i="16" s="1"/>
  <c r="Z33" i="16" s="1"/>
  <c r="AA33" i="16" s="1"/>
  <c r="AB33" i="16" s="1"/>
  <c r="AC33" i="16" s="1"/>
  <c r="AD33" i="16" s="1"/>
  <c r="AE33" i="16" s="1"/>
  <c r="AF33" i="16" s="1"/>
  <c r="AG33" i="16" s="1"/>
  <c r="AH33" i="16" s="1"/>
  <c r="AI33" i="16" s="1"/>
  <c r="AJ33" i="16" s="1"/>
  <c r="AK33" i="16" s="1"/>
  <c r="AL33" i="16" s="1"/>
  <c r="AM33" i="16" s="1"/>
  <c r="AN33" i="16" s="1"/>
  <c r="AO33" i="16" s="1"/>
  <c r="AP33" i="16" s="1"/>
  <c r="E67" i="16"/>
  <c r="K26" i="16"/>
  <c r="G67" i="16" s="1"/>
  <c r="B55" i="16"/>
  <c r="B62" i="16" s="1"/>
  <c r="B76" i="16" s="1"/>
  <c r="M47" i="16"/>
  <c r="B52" i="16"/>
  <c r="G66" i="16"/>
  <c r="B79" i="16"/>
  <c r="C55" i="16"/>
  <c r="C62" i="16" s="1"/>
  <c r="C52" i="16"/>
  <c r="K60" i="16"/>
  <c r="B74" i="16"/>
  <c r="B80" i="16"/>
  <c r="D44" i="16"/>
  <c r="B75" i="16"/>
  <c r="E66" i="16"/>
  <c r="AE60" i="16"/>
  <c r="AF50" i="16"/>
  <c r="B39" i="19"/>
  <c r="B51" i="19" s="1"/>
  <c r="F39" i="19"/>
  <c r="F51" i="19" s="1"/>
  <c r="J39" i="19"/>
  <c r="J51" i="19" s="1"/>
  <c r="AB47" i="16"/>
  <c r="L48" i="16"/>
  <c r="L50" i="16"/>
  <c r="C39" i="19"/>
  <c r="C51" i="19" s="1"/>
  <c r="G39" i="19"/>
  <c r="G51" i="19" s="1"/>
  <c r="D39" i="19"/>
  <c r="D51" i="19" s="1"/>
  <c r="H39" i="19"/>
  <c r="H51" i="19" s="1"/>
  <c r="E39" i="19"/>
  <c r="E51" i="19" s="1"/>
  <c r="I39" i="19"/>
  <c r="I51" i="19" s="1"/>
  <c r="B92" i="19"/>
  <c r="B68" i="19"/>
  <c r="B75" i="19" s="1"/>
  <c r="B65" i="19"/>
  <c r="AE73" i="19"/>
  <c r="B93" i="19"/>
  <c r="C65" i="19"/>
  <c r="C68" i="19"/>
  <c r="C75" i="19" s="1"/>
  <c r="E79" i="19"/>
  <c r="D68" i="19"/>
  <c r="D75" i="19" s="1"/>
  <c r="D65" i="19"/>
  <c r="B88" i="19"/>
  <c r="F79" i="19"/>
  <c r="E80" i="19"/>
  <c r="K39" i="19"/>
  <c r="G79" i="19" s="1"/>
  <c r="B87" i="19"/>
  <c r="B89" i="19" s="1"/>
  <c r="B85" i="19"/>
  <c r="AG73" i="19" s="1"/>
  <c r="E57" i="19"/>
  <c r="AD73" i="19"/>
  <c r="C26" i="21"/>
  <c r="C38" i="21" s="1"/>
  <c r="G26" i="21"/>
  <c r="G38" i="21" s="1"/>
  <c r="D26" i="21"/>
  <c r="D38" i="21" s="1"/>
  <c r="H26" i="21"/>
  <c r="H38" i="21" s="1"/>
  <c r="E26" i="21"/>
  <c r="E38" i="21" s="1"/>
  <c r="I26" i="21"/>
  <c r="I38" i="21" s="1"/>
  <c r="B26" i="21"/>
  <c r="B38" i="21" s="1"/>
  <c r="F26" i="21"/>
  <c r="F38" i="21" s="1"/>
  <c r="J26" i="21"/>
  <c r="J38" i="21" s="1"/>
  <c r="B80" i="21"/>
  <c r="AG60" i="21"/>
  <c r="AH50" i="21"/>
  <c r="E66" i="21"/>
  <c r="F66" i="21"/>
  <c r="E67" i="21"/>
  <c r="K26" i="21"/>
  <c r="G67" i="21" s="1"/>
  <c r="T30" i="21"/>
  <c r="P33" i="21"/>
  <c r="Q33" i="21" s="1"/>
  <c r="R33" i="21" s="1"/>
  <c r="B79" i="21"/>
  <c r="F67" i="21"/>
  <c r="B75" i="21"/>
  <c r="B72" i="21"/>
  <c r="AD60" i="21" s="1"/>
  <c r="L47" i="21"/>
  <c r="K57" i="21"/>
  <c r="AB47" i="21"/>
  <c r="L48" i="21"/>
  <c r="K60" i="21"/>
  <c r="B55" i="21"/>
  <c r="B62" i="21" s="1"/>
  <c r="B76" i="21" s="1"/>
  <c r="B52" i="21"/>
  <c r="L60" i="21"/>
  <c r="M50" i="21"/>
  <c r="C44" i="21"/>
  <c r="AE60" i="21"/>
  <c r="AF60" i="21"/>
  <c r="K44" i="23"/>
  <c r="K4" i="23"/>
  <c r="K14" i="23" s="1"/>
  <c r="B74" i="21"/>
  <c r="H94" i="23"/>
  <c r="F94" i="23" s="1"/>
  <c r="F96" i="23" s="1"/>
  <c r="I7" i="23"/>
  <c r="L7" i="23" s="1"/>
  <c r="L8" i="23"/>
  <c r="L84" i="23"/>
  <c r="H42" i="24"/>
  <c r="H44" i="24" s="1"/>
  <c r="F20" i="22" l="1"/>
  <c r="H20" i="22"/>
  <c r="J51" i="9"/>
  <c r="F79" i="9"/>
  <c r="F80" i="9"/>
  <c r="D44" i="21"/>
  <c r="C55" i="21"/>
  <c r="C62" i="21" s="1"/>
  <c r="C52" i="21"/>
  <c r="AB57" i="21"/>
  <c r="AC47" i="21"/>
  <c r="AB60" i="19"/>
  <c r="AB70" i="19" s="1"/>
  <c r="AB60" i="14"/>
  <c r="AB70" i="14" s="1"/>
  <c r="AB60" i="9"/>
  <c r="AB70" i="9" s="1"/>
  <c r="G66" i="21"/>
  <c r="L73" i="19"/>
  <c r="AF73" i="19"/>
  <c r="AB57" i="16"/>
  <c r="AC47" i="16"/>
  <c r="B52" i="19"/>
  <c r="K51" i="19" s="1"/>
  <c r="B39" i="16"/>
  <c r="K38" i="16" s="1"/>
  <c r="AD47" i="11"/>
  <c r="AC57" i="11"/>
  <c r="K60" i="11"/>
  <c r="K73" i="9"/>
  <c r="O59" i="21"/>
  <c r="O62" i="19"/>
  <c r="O72" i="19" s="1"/>
  <c r="O62" i="14"/>
  <c r="O72" i="14" s="1"/>
  <c r="O62" i="9"/>
  <c r="O72" i="9" s="1"/>
  <c r="N56" i="21"/>
  <c r="N59" i="19"/>
  <c r="N69" i="19" s="1"/>
  <c r="N59" i="14"/>
  <c r="N69" i="14" s="1"/>
  <c r="N59" i="9"/>
  <c r="N69" i="9" s="1"/>
  <c r="E83" i="11"/>
  <c r="D83" i="11" s="1"/>
  <c r="I14" i="11"/>
  <c r="E83" i="21"/>
  <c r="D83" i="21" s="1"/>
  <c r="I14" i="21"/>
  <c r="F81" i="14"/>
  <c r="J21" i="14"/>
  <c r="N59" i="21"/>
  <c r="N62" i="19"/>
  <c r="N72" i="19" s="1"/>
  <c r="N62" i="14"/>
  <c r="N72" i="14" s="1"/>
  <c r="N62" i="9"/>
  <c r="N72" i="9" s="1"/>
  <c r="E81" i="9"/>
  <c r="I21" i="9"/>
  <c r="E81" i="19"/>
  <c r="I21" i="19"/>
  <c r="K56" i="21"/>
  <c r="K59" i="19"/>
  <c r="K69" i="19" s="1"/>
  <c r="K59" i="14"/>
  <c r="K69" i="14" s="1"/>
  <c r="K59" i="9"/>
  <c r="K69" i="9" s="1"/>
  <c r="K15" i="21"/>
  <c r="K28" i="19"/>
  <c r="K16" i="19" s="1"/>
  <c r="K15" i="16"/>
  <c r="K28" i="14"/>
  <c r="K16" i="14" s="1"/>
  <c r="K15" i="11"/>
  <c r="G41" i="1"/>
  <c r="G40" i="1"/>
  <c r="K28" i="9"/>
  <c r="K16" i="9" s="1"/>
  <c r="K18" i="1"/>
  <c r="B90" i="14"/>
  <c r="G68" i="11"/>
  <c r="K9" i="11"/>
  <c r="G68" i="21"/>
  <c r="K9" i="21"/>
  <c r="L14" i="23"/>
  <c r="M60" i="21"/>
  <c r="N50" i="21"/>
  <c r="M63" i="19"/>
  <c r="M73" i="19" s="1"/>
  <c r="M63" i="14"/>
  <c r="M73" i="14" s="1"/>
  <c r="M63" i="9"/>
  <c r="M73" i="9" s="1"/>
  <c r="AH60" i="21"/>
  <c r="AI50" i="21"/>
  <c r="AH63" i="19"/>
  <c r="AH73" i="19" s="1"/>
  <c r="AH63" i="14"/>
  <c r="AH73" i="14" s="1"/>
  <c r="AH63" i="9"/>
  <c r="AH73" i="9" s="1"/>
  <c r="K73" i="19"/>
  <c r="G80" i="19"/>
  <c r="F80" i="19"/>
  <c r="AF60" i="16"/>
  <c r="AG50" i="16"/>
  <c r="F67" i="16"/>
  <c r="M57" i="16"/>
  <c r="N47" i="16"/>
  <c r="F66" i="16"/>
  <c r="E55" i="11"/>
  <c r="E62" i="11" s="1"/>
  <c r="E52" i="11"/>
  <c r="F44" i="11"/>
  <c r="B39" i="11"/>
  <c r="K38" i="11" s="1"/>
  <c r="D65" i="9"/>
  <c r="E57" i="9"/>
  <c r="D68" i="9"/>
  <c r="D75" i="9" s="1"/>
  <c r="M57" i="11"/>
  <c r="N47" i="11"/>
  <c r="AD73" i="9"/>
  <c r="Y61" i="21"/>
  <c r="Y64" i="19"/>
  <c r="Y74" i="19" s="1"/>
  <c r="Y64" i="14"/>
  <c r="Y74" i="14" s="1"/>
  <c r="Y64" i="9"/>
  <c r="Y74" i="9" s="1"/>
  <c r="E96" i="14"/>
  <c r="D96" i="14" s="1"/>
  <c r="I26" i="14"/>
  <c r="F68" i="16"/>
  <c r="J9" i="16"/>
  <c r="L46" i="21"/>
  <c r="L46" i="16"/>
  <c r="L56" i="16" s="1"/>
  <c r="L46" i="11"/>
  <c r="L56" i="11" s="1"/>
  <c r="L33" i="1"/>
  <c r="E68" i="11"/>
  <c r="I9" i="11"/>
  <c r="E68" i="21"/>
  <c r="I9" i="21"/>
  <c r="L34" i="1"/>
  <c r="B47" i="1"/>
  <c r="B77" i="16"/>
  <c r="B84" i="16" s="1"/>
  <c r="K14" i="16"/>
  <c r="K34" i="1"/>
  <c r="B46" i="1"/>
  <c r="G81" i="14"/>
  <c r="K21" i="14"/>
  <c r="K27" i="14" s="1"/>
  <c r="K15" i="14" s="1"/>
  <c r="L57" i="21"/>
  <c r="M47" i="21"/>
  <c r="L60" i="19"/>
  <c r="L70" i="19" s="1"/>
  <c r="L60" i="14"/>
  <c r="L70" i="14" s="1"/>
  <c r="L60" i="9"/>
  <c r="L70" i="9" s="1"/>
  <c r="U30" i="21"/>
  <c r="T43" i="19"/>
  <c r="T43" i="14"/>
  <c r="L60" i="16"/>
  <c r="M50" i="16"/>
  <c r="D52" i="16"/>
  <c r="E44" i="16"/>
  <c r="D55" i="16"/>
  <c r="D62" i="16" s="1"/>
  <c r="C65" i="14"/>
  <c r="C68" i="14"/>
  <c r="C75" i="14" s="1"/>
  <c r="D57" i="14"/>
  <c r="M60" i="11"/>
  <c r="N50" i="11"/>
  <c r="L60" i="11"/>
  <c r="AG60" i="11"/>
  <c r="AH50" i="11"/>
  <c r="E83" i="16"/>
  <c r="D83" i="16" s="1"/>
  <c r="I14" i="16"/>
  <c r="F81" i="9"/>
  <c r="J21" i="9"/>
  <c r="F81" i="19"/>
  <c r="J21" i="19"/>
  <c r="L45" i="21"/>
  <c r="L45" i="16"/>
  <c r="L45" i="11"/>
  <c r="M25" i="1"/>
  <c r="D29" i="1"/>
  <c r="E24" i="1"/>
  <c r="D32" i="1"/>
  <c r="D36" i="1" s="1"/>
  <c r="E81" i="14"/>
  <c r="I21" i="14"/>
  <c r="B90" i="9"/>
  <c r="B90" i="19"/>
  <c r="B52" i="9"/>
  <c r="K51" i="9" s="1"/>
  <c r="G42" i="1"/>
  <c r="G68" i="16"/>
  <c r="K9" i="16"/>
  <c r="AA51" i="21"/>
  <c r="AA51" i="16"/>
  <c r="AA61" i="16" s="1"/>
  <c r="AA51" i="11"/>
  <c r="AA61" i="11" s="1"/>
  <c r="AB28" i="1"/>
  <c r="AA35" i="1"/>
  <c r="Z61" i="21"/>
  <c r="Z64" i="19"/>
  <c r="Z74" i="19" s="1"/>
  <c r="Z64" i="14"/>
  <c r="Z74" i="14" s="1"/>
  <c r="Z64" i="9"/>
  <c r="Z74" i="9" s="1"/>
  <c r="P59" i="21"/>
  <c r="P62" i="19"/>
  <c r="P72" i="19" s="1"/>
  <c r="P62" i="14"/>
  <c r="P72" i="14" s="1"/>
  <c r="P62" i="9"/>
  <c r="P72" i="9" s="1"/>
  <c r="L58" i="21"/>
  <c r="M48" i="21"/>
  <c r="L61" i="19"/>
  <c r="L71" i="19" s="1"/>
  <c r="L61" i="14"/>
  <c r="L71" i="14" s="1"/>
  <c r="L61" i="9"/>
  <c r="L71" i="9" s="1"/>
  <c r="B39" i="21"/>
  <c r="K38" i="21" s="1"/>
  <c r="E68" i="19"/>
  <c r="E75" i="19" s="1"/>
  <c r="E65" i="19"/>
  <c r="F57" i="19"/>
  <c r="L58" i="16"/>
  <c r="M48" i="16"/>
  <c r="N48" i="11"/>
  <c r="M58" i="11"/>
  <c r="B52" i="14"/>
  <c r="K51" i="14" s="1"/>
  <c r="AF73" i="9"/>
  <c r="AF60" i="11"/>
  <c r="E41" i="1"/>
  <c r="E40" i="1"/>
  <c r="I18" i="1"/>
  <c r="E96" i="9"/>
  <c r="D96" i="9" s="1"/>
  <c r="I26" i="9"/>
  <c r="E96" i="19"/>
  <c r="D96" i="19" s="1"/>
  <c r="I26" i="19"/>
  <c r="F68" i="11"/>
  <c r="J9" i="11"/>
  <c r="F68" i="21"/>
  <c r="J9" i="21"/>
  <c r="E42" i="1"/>
  <c r="E68" i="16"/>
  <c r="I9" i="16"/>
  <c r="K58" i="19"/>
  <c r="K58" i="14"/>
  <c r="K58" i="9"/>
  <c r="B77" i="11"/>
  <c r="B84" i="11" s="1"/>
  <c r="K14" i="11"/>
  <c r="B77" i="21"/>
  <c r="B84" i="21" s="1"/>
  <c r="K14" i="21"/>
  <c r="D3" i="22" s="1"/>
  <c r="B19" i="1"/>
  <c r="G81" i="9"/>
  <c r="K21" i="9"/>
  <c r="K27" i="9" s="1"/>
  <c r="K15" i="9" s="1"/>
  <c r="G81" i="19"/>
  <c r="K21" i="19"/>
  <c r="K27" i="19" s="1"/>
  <c r="K15" i="19" s="1"/>
  <c r="P8" i="21"/>
  <c r="P20" i="19"/>
  <c r="P8" i="16"/>
  <c r="P20" i="14"/>
  <c r="P8" i="11"/>
  <c r="P20" i="9"/>
  <c r="Q11" i="1"/>
  <c r="Q49" i="21"/>
  <c r="Q49" i="16"/>
  <c r="Q59" i="16" s="1"/>
  <c r="Q49" i="11"/>
  <c r="Q59" i="11" s="1"/>
  <c r="Q34" i="1"/>
  <c r="R27" i="1"/>
  <c r="P46" i="21"/>
  <c r="P46" i="16"/>
  <c r="P56" i="16" s="1"/>
  <c r="P46" i="11"/>
  <c r="P56" i="11" s="1"/>
  <c r="P33" i="1"/>
  <c r="Q26" i="1"/>
  <c r="O56" i="21"/>
  <c r="O59" i="19"/>
  <c r="O69" i="19" s="1"/>
  <c r="O59" i="14"/>
  <c r="O69" i="14" s="1"/>
  <c r="O59" i="9"/>
  <c r="O69" i="9" s="1"/>
  <c r="AA61" i="21" l="1"/>
  <c r="AA64" i="19"/>
  <c r="AA74" i="19" s="1"/>
  <c r="AA64" i="14"/>
  <c r="AA74" i="14" s="1"/>
  <c r="AA64" i="9"/>
  <c r="AA74" i="9" s="1"/>
  <c r="Q46" i="21"/>
  <c r="Q46" i="16"/>
  <c r="Q56" i="16" s="1"/>
  <c r="Q46" i="11"/>
  <c r="Q56" i="11" s="1"/>
  <c r="Q33" i="1"/>
  <c r="R26" i="1"/>
  <c r="P56" i="21"/>
  <c r="P59" i="19"/>
  <c r="P69" i="19" s="1"/>
  <c r="P59" i="14"/>
  <c r="P69" i="14" s="1"/>
  <c r="P59" i="9"/>
  <c r="P69" i="9" s="1"/>
  <c r="M58" i="16"/>
  <c r="N48" i="16"/>
  <c r="AB51" i="21"/>
  <c r="AB51" i="16"/>
  <c r="AB61" i="16" s="1"/>
  <c r="AB51" i="11"/>
  <c r="AB61" i="11" s="1"/>
  <c r="AC28" i="1"/>
  <c r="AB35" i="1"/>
  <c r="N60" i="11"/>
  <c r="O50" i="11"/>
  <c r="M60" i="16"/>
  <c r="N50" i="16"/>
  <c r="V30" i="21"/>
  <c r="U43" i="19"/>
  <c r="U43" i="14"/>
  <c r="M57" i="21"/>
  <c r="N47" i="21"/>
  <c r="M60" i="19"/>
  <c r="M70" i="19" s="1"/>
  <c r="M60" i="14"/>
  <c r="M70" i="14" s="1"/>
  <c r="M60" i="9"/>
  <c r="M70" i="9" s="1"/>
  <c r="AG60" i="16"/>
  <c r="AH50" i="16"/>
  <c r="AI60" i="21"/>
  <c r="AJ50" i="21"/>
  <c r="AI63" i="19"/>
  <c r="AI73" i="19" s="1"/>
  <c r="AI63" i="14"/>
  <c r="AI73" i="14" s="1"/>
  <c r="AI63" i="9"/>
  <c r="AI73" i="9" s="1"/>
  <c r="K10" i="19"/>
  <c r="N58" i="11"/>
  <c r="O48" i="11"/>
  <c r="M45" i="21"/>
  <c r="M45" i="16"/>
  <c r="M44" i="16" s="1"/>
  <c r="M45" i="11"/>
  <c r="M44" i="11" s="1"/>
  <c r="M24" i="1"/>
  <c r="N25" i="1"/>
  <c r="O47" i="11"/>
  <c r="N57" i="11"/>
  <c r="AD57" i="11"/>
  <c r="AE47" i="11"/>
  <c r="R49" i="21"/>
  <c r="R49" i="16"/>
  <c r="R59" i="16" s="1"/>
  <c r="R49" i="11"/>
  <c r="R59" i="11" s="1"/>
  <c r="R34" i="1"/>
  <c r="S27" i="1"/>
  <c r="Q59" i="21"/>
  <c r="Q62" i="19"/>
  <c r="Q72" i="19" s="1"/>
  <c r="Q62" i="14"/>
  <c r="Q72" i="14" s="1"/>
  <c r="Q62" i="9"/>
  <c r="Q72" i="9" s="1"/>
  <c r="M58" i="21"/>
  <c r="N48" i="21"/>
  <c r="M61" i="19"/>
  <c r="M71" i="19" s="1"/>
  <c r="M61" i="14"/>
  <c r="M71" i="14" s="1"/>
  <c r="M61" i="9"/>
  <c r="M71" i="9" s="1"/>
  <c r="E32" i="1"/>
  <c r="E36" i="1" s="1"/>
  <c r="E29" i="1"/>
  <c r="F24" i="1"/>
  <c r="AH60" i="11"/>
  <c r="AI50" i="11"/>
  <c r="L56" i="21"/>
  <c r="L59" i="19"/>
  <c r="L69" i="19" s="1"/>
  <c r="L59" i="14"/>
  <c r="L69" i="14" s="1"/>
  <c r="L59" i="9"/>
  <c r="L69" i="9" s="1"/>
  <c r="F52" i="11"/>
  <c r="G44" i="11"/>
  <c r="F55" i="11"/>
  <c r="F62" i="11" s="1"/>
  <c r="O47" i="16"/>
  <c r="N57" i="16"/>
  <c r="N60" i="21"/>
  <c r="O50" i="21"/>
  <c r="N63" i="19"/>
  <c r="N73" i="19" s="1"/>
  <c r="N63" i="14"/>
  <c r="N73" i="14" s="1"/>
  <c r="N63" i="9"/>
  <c r="N73" i="9" s="1"/>
  <c r="Q8" i="21"/>
  <c r="Q20" i="19"/>
  <c r="Q8" i="16"/>
  <c r="Q20" i="14"/>
  <c r="Q8" i="11"/>
  <c r="Q20" i="9"/>
  <c r="R11" i="1"/>
  <c r="D33" i="22"/>
  <c r="D25" i="22"/>
  <c r="D20" i="22"/>
  <c r="E23" i="22" s="1"/>
  <c r="F23" i="22" s="1"/>
  <c r="G23" i="22" s="1"/>
  <c r="D10" i="22"/>
  <c r="D29" i="22"/>
  <c r="D9" i="22"/>
  <c r="D37" i="22"/>
  <c r="D35" i="22"/>
  <c r="D17" i="22"/>
  <c r="D31" i="22"/>
  <c r="D16" i="22"/>
  <c r="D27" i="22"/>
  <c r="U32" i="21" s="1"/>
  <c r="D15" i="22"/>
  <c r="F68" i="19"/>
  <c r="F75" i="19" s="1"/>
  <c r="F65" i="19"/>
  <c r="G57" i="19"/>
  <c r="L58" i="19"/>
  <c r="L58" i="14"/>
  <c r="L58" i="9"/>
  <c r="D68" i="14"/>
  <c r="D75" i="14" s="1"/>
  <c r="D65" i="14"/>
  <c r="E57" i="14"/>
  <c r="E55" i="16"/>
  <c r="E62" i="16" s="1"/>
  <c r="E52" i="16"/>
  <c r="F44" i="16"/>
  <c r="E68" i="9"/>
  <c r="E75" i="9" s="1"/>
  <c r="E65" i="9"/>
  <c r="F57" i="9"/>
  <c r="K10" i="9"/>
  <c r="K10" i="14"/>
  <c r="AC57" i="16"/>
  <c r="AD47" i="16"/>
  <c r="AC57" i="21"/>
  <c r="AD47" i="21"/>
  <c r="AC60" i="19"/>
  <c r="AC70" i="19" s="1"/>
  <c r="AC60" i="14"/>
  <c r="AC70" i="14" s="1"/>
  <c r="AC60" i="9"/>
  <c r="AC70" i="9" s="1"/>
  <c r="D55" i="21"/>
  <c r="D62" i="21" s="1"/>
  <c r="D52" i="21"/>
  <c r="E44" i="21"/>
  <c r="R59" i="21" l="1"/>
  <c r="R62" i="19"/>
  <c r="R72" i="19" s="1"/>
  <c r="R62" i="14"/>
  <c r="R72" i="14" s="1"/>
  <c r="R62" i="9"/>
  <c r="R72" i="9" s="1"/>
  <c r="P47" i="11"/>
  <c r="O57" i="11"/>
  <c r="AD57" i="21"/>
  <c r="AE47" i="21"/>
  <c r="AD60" i="19"/>
  <c r="AD70" i="19" s="1"/>
  <c r="AD60" i="14"/>
  <c r="AD70" i="14" s="1"/>
  <c r="AD60" i="9"/>
  <c r="AD70" i="9" s="1"/>
  <c r="E68" i="14"/>
  <c r="E75" i="14" s="1"/>
  <c r="E65" i="14"/>
  <c r="F57" i="14"/>
  <c r="D38" i="22"/>
  <c r="S32" i="21"/>
  <c r="S33" i="21" s="1"/>
  <c r="T33" i="21" s="1"/>
  <c r="O57" i="16"/>
  <c r="P47" i="16"/>
  <c r="AI60" i="11"/>
  <c r="AJ50" i="11"/>
  <c r="N58" i="21"/>
  <c r="O48" i="21"/>
  <c r="N61" i="19"/>
  <c r="N71" i="19" s="1"/>
  <c r="N61" i="14"/>
  <c r="N71" i="14" s="1"/>
  <c r="N61" i="9"/>
  <c r="N71" i="9" s="1"/>
  <c r="AE57" i="11"/>
  <c r="AF47" i="11"/>
  <c r="N45" i="21"/>
  <c r="N45" i="16"/>
  <c r="N44" i="16" s="1"/>
  <c r="N45" i="11"/>
  <c r="N44" i="11" s="1"/>
  <c r="O25" i="1"/>
  <c r="N24" i="1"/>
  <c r="M58" i="19"/>
  <c r="M57" i="19" s="1"/>
  <c r="M58" i="14"/>
  <c r="M57" i="14" s="1"/>
  <c r="M58" i="9"/>
  <c r="M57" i="9" s="1"/>
  <c r="M44" i="21"/>
  <c r="AJ60" i="21"/>
  <c r="AK50" i="21"/>
  <c r="AJ63" i="19"/>
  <c r="AJ73" i="19" s="1"/>
  <c r="AJ63" i="14"/>
  <c r="AJ73" i="14" s="1"/>
  <c r="AJ63" i="9"/>
  <c r="AJ73" i="9" s="1"/>
  <c r="N60" i="16"/>
  <c r="O50" i="16"/>
  <c r="AB61" i="21"/>
  <c r="AB64" i="19"/>
  <c r="AB74" i="19" s="1"/>
  <c r="AB64" i="14"/>
  <c r="AB74" i="14" s="1"/>
  <c r="AB64" i="9"/>
  <c r="AB74" i="9" s="1"/>
  <c r="U33" i="21"/>
  <c r="V33" i="21" s="1"/>
  <c r="R8" i="21"/>
  <c r="R20" i="19"/>
  <c r="R8" i="16"/>
  <c r="R20" i="14"/>
  <c r="R8" i="11"/>
  <c r="R20" i="9"/>
  <c r="S11" i="1"/>
  <c r="F55" i="16"/>
  <c r="F62" i="16" s="1"/>
  <c r="F52" i="16"/>
  <c r="G44" i="16"/>
  <c r="W32" i="21"/>
  <c r="W33" i="21" s="1"/>
  <c r="X33" i="21" s="1"/>
  <c r="Y33" i="21" s="1"/>
  <c r="Z33" i="21" s="1"/>
  <c r="AA33" i="21" s="1"/>
  <c r="AB33" i="21" s="1"/>
  <c r="AC33" i="21" s="1"/>
  <c r="AD33" i="21" s="1"/>
  <c r="AE33" i="21" s="1"/>
  <c r="AF33" i="21" s="1"/>
  <c r="AG33" i="21" s="1"/>
  <c r="AH33" i="21" s="1"/>
  <c r="AI33" i="21" s="1"/>
  <c r="AJ33" i="21" s="1"/>
  <c r="AK33" i="21" s="1"/>
  <c r="AL33" i="21" s="1"/>
  <c r="AM33" i="21" s="1"/>
  <c r="AN33" i="21" s="1"/>
  <c r="AO33" i="21" s="1"/>
  <c r="AP33" i="21" s="1"/>
  <c r="O60" i="21"/>
  <c r="P50" i="21"/>
  <c r="O63" i="19"/>
  <c r="O73" i="19" s="1"/>
  <c r="O63" i="14"/>
  <c r="O73" i="14" s="1"/>
  <c r="O63" i="9"/>
  <c r="O73" i="9" s="1"/>
  <c r="M32" i="1"/>
  <c r="M36" i="1" s="1"/>
  <c r="M29" i="1"/>
  <c r="O58" i="11"/>
  <c r="P48" i="11"/>
  <c r="AC51" i="21"/>
  <c r="AC51" i="16"/>
  <c r="AC61" i="16" s="1"/>
  <c r="AC51" i="11"/>
  <c r="AC61" i="11" s="1"/>
  <c r="AC35" i="1"/>
  <c r="AD28" i="1"/>
  <c r="N58" i="16"/>
  <c r="O48" i="16"/>
  <c r="E52" i="21"/>
  <c r="E55" i="21"/>
  <c r="E62" i="21" s="1"/>
  <c r="F44" i="21"/>
  <c r="AD57" i="16"/>
  <c r="AE47" i="16"/>
  <c r="F68" i="9"/>
  <c r="F75" i="9" s="1"/>
  <c r="F65" i="9"/>
  <c r="G57" i="9"/>
  <c r="G65" i="19"/>
  <c r="G68" i="19"/>
  <c r="G75" i="19" s="1"/>
  <c r="H57" i="19"/>
  <c r="H44" i="11"/>
  <c r="G55" i="11"/>
  <c r="G62" i="11" s="1"/>
  <c r="G52" i="11"/>
  <c r="F32" i="1"/>
  <c r="F36" i="1" s="1"/>
  <c r="F29" i="1"/>
  <c r="G24" i="1"/>
  <c r="M55" i="11"/>
  <c r="M62" i="11" s="1"/>
  <c r="M52" i="11"/>
  <c r="AH60" i="16"/>
  <c r="AI50" i="16"/>
  <c r="O60" i="11"/>
  <c r="P50" i="11"/>
  <c r="S49" i="21"/>
  <c r="S49" i="16"/>
  <c r="S59" i="16" s="1"/>
  <c r="S49" i="11"/>
  <c r="S59" i="11" s="1"/>
  <c r="S34" i="1"/>
  <c r="T27" i="1"/>
  <c r="M55" i="16"/>
  <c r="M62" i="16" s="1"/>
  <c r="M52" i="16"/>
  <c r="N57" i="21"/>
  <c r="O47" i="21"/>
  <c r="N60" i="19"/>
  <c r="N70" i="19" s="1"/>
  <c r="N60" i="14"/>
  <c r="N70" i="14" s="1"/>
  <c r="N60" i="9"/>
  <c r="N70" i="9" s="1"/>
  <c r="W30" i="21"/>
  <c r="V43" i="19"/>
  <c r="V43" i="14"/>
  <c r="R46" i="21"/>
  <c r="R46" i="16"/>
  <c r="R56" i="16" s="1"/>
  <c r="R46" i="11"/>
  <c r="R56" i="11" s="1"/>
  <c r="R33" i="1"/>
  <c r="S26" i="1"/>
  <c r="Q56" i="21"/>
  <c r="Q59" i="19"/>
  <c r="Q69" i="19" s="1"/>
  <c r="Q59" i="14"/>
  <c r="Q69" i="14" s="1"/>
  <c r="Q59" i="9"/>
  <c r="Q69" i="9" s="1"/>
  <c r="H68" i="19" l="1"/>
  <c r="H75" i="19" s="1"/>
  <c r="H65" i="19"/>
  <c r="I57" i="19"/>
  <c r="F52" i="21"/>
  <c r="F55" i="21"/>
  <c r="F62" i="21" s="1"/>
  <c r="G44" i="21"/>
  <c r="M17" i="1"/>
  <c r="M18" i="1" s="1"/>
  <c r="M7" i="1"/>
  <c r="M8" i="1"/>
  <c r="M9" i="1" s="1"/>
  <c r="S8" i="21"/>
  <c r="S20" i="19"/>
  <c r="S8" i="16"/>
  <c r="S20" i="14"/>
  <c r="S8" i="11"/>
  <c r="S20" i="9"/>
  <c r="T11" i="1"/>
  <c r="O60" i="16"/>
  <c r="P50" i="16"/>
  <c r="M68" i="9"/>
  <c r="M75" i="9" s="1"/>
  <c r="M65" i="9"/>
  <c r="O45" i="21"/>
  <c r="O45" i="16"/>
  <c r="O44" i="16" s="1"/>
  <c r="O45" i="11"/>
  <c r="O44" i="11" s="1"/>
  <c r="P25" i="1"/>
  <c r="O24" i="1"/>
  <c r="AF57" i="11"/>
  <c r="AG47" i="11"/>
  <c r="M22" i="11"/>
  <c r="M18" i="11"/>
  <c r="AD51" i="21"/>
  <c r="AD51" i="16"/>
  <c r="AD61" i="16" s="1"/>
  <c r="AD51" i="11"/>
  <c r="AD61" i="11" s="1"/>
  <c r="AD35" i="1"/>
  <c r="AE28" i="1"/>
  <c r="AC61" i="21"/>
  <c r="AC64" i="19"/>
  <c r="AC74" i="19" s="1"/>
  <c r="AC64" i="14"/>
  <c r="AC74" i="14" s="1"/>
  <c r="AC64" i="9"/>
  <c r="AC74" i="9" s="1"/>
  <c r="M6" i="1"/>
  <c r="M10" i="1"/>
  <c r="P60" i="21"/>
  <c r="Q50" i="21"/>
  <c r="P63" i="19"/>
  <c r="P73" i="19" s="1"/>
  <c r="P63" i="14"/>
  <c r="P73" i="14" s="1"/>
  <c r="P63" i="9"/>
  <c r="P73" i="9" s="1"/>
  <c r="G55" i="16"/>
  <c r="G62" i="16" s="1"/>
  <c r="G52" i="16"/>
  <c r="H44" i="16"/>
  <c r="AK60" i="21"/>
  <c r="AL50" i="21"/>
  <c r="AK63" i="19"/>
  <c r="AK73" i="19" s="1"/>
  <c r="AK63" i="14"/>
  <c r="AK73" i="14" s="1"/>
  <c r="AK63" i="9"/>
  <c r="AK73" i="9" s="1"/>
  <c r="M68" i="14"/>
  <c r="M75" i="14" s="1"/>
  <c r="M65" i="14"/>
  <c r="N52" i="11"/>
  <c r="N55" i="11"/>
  <c r="N62" i="11" s="1"/>
  <c r="O58" i="21"/>
  <c r="P48" i="21"/>
  <c r="O61" i="19"/>
  <c r="O71" i="19" s="1"/>
  <c r="O61" i="14"/>
  <c r="O71" i="14" s="1"/>
  <c r="O61" i="9"/>
  <c r="O71" i="9" s="1"/>
  <c r="P57" i="16"/>
  <c r="Q47" i="16"/>
  <c r="F68" i="14"/>
  <c r="F75" i="14" s="1"/>
  <c r="F65" i="14"/>
  <c r="G57" i="14"/>
  <c r="M37" i="16"/>
  <c r="M38" i="16" s="1"/>
  <c r="M19" i="16"/>
  <c r="M20" i="16"/>
  <c r="M10" i="16" s="1"/>
  <c r="P60" i="11"/>
  <c r="Q50" i="11"/>
  <c r="M22" i="16"/>
  <c r="M18" i="16"/>
  <c r="X30" i="21"/>
  <c r="W43" i="19"/>
  <c r="W43" i="14"/>
  <c r="P47" i="21"/>
  <c r="O57" i="21"/>
  <c r="O60" i="19"/>
  <c r="O70" i="19" s="1"/>
  <c r="O60" i="14"/>
  <c r="O70" i="14" s="1"/>
  <c r="O60" i="9"/>
  <c r="O70" i="9" s="1"/>
  <c r="T49" i="21"/>
  <c r="T49" i="16"/>
  <c r="T59" i="16" s="1"/>
  <c r="T49" i="11"/>
  <c r="T59" i="11" s="1"/>
  <c r="T34" i="1"/>
  <c r="U27" i="1"/>
  <c r="S59" i="21"/>
  <c r="S62" i="19"/>
  <c r="S72" i="19" s="1"/>
  <c r="S62" i="14"/>
  <c r="S72" i="14" s="1"/>
  <c r="S62" i="9"/>
  <c r="S72" i="9" s="1"/>
  <c r="AI60" i="16"/>
  <c r="AJ50" i="16"/>
  <c r="G29" i="1"/>
  <c r="H24" i="1"/>
  <c r="G32" i="1"/>
  <c r="G36" i="1" s="1"/>
  <c r="AE57" i="16"/>
  <c r="AF47" i="16"/>
  <c r="P58" i="11"/>
  <c r="Q48" i="11"/>
  <c r="M68" i="19"/>
  <c r="M75" i="19" s="1"/>
  <c r="M65" i="19"/>
  <c r="N52" i="16"/>
  <c r="N55" i="16"/>
  <c r="N62" i="16" s="1"/>
  <c r="Q47" i="11"/>
  <c r="P57" i="11"/>
  <c r="M37" i="11"/>
  <c r="M38" i="11" s="1"/>
  <c r="M20" i="11"/>
  <c r="M10" i="11" s="1"/>
  <c r="M19" i="11"/>
  <c r="S46" i="21"/>
  <c r="S46" i="16"/>
  <c r="S56" i="16" s="1"/>
  <c r="S46" i="11"/>
  <c r="S56" i="11" s="1"/>
  <c r="T26" i="1"/>
  <c r="S33" i="1"/>
  <c r="R56" i="21"/>
  <c r="R59" i="19"/>
  <c r="R69" i="19" s="1"/>
  <c r="R59" i="14"/>
  <c r="R69" i="14" s="1"/>
  <c r="R59" i="9"/>
  <c r="R69" i="9" s="1"/>
  <c r="I44" i="11"/>
  <c r="H55" i="11"/>
  <c r="H62" i="11" s="1"/>
  <c r="H52" i="11"/>
  <c r="G68" i="9"/>
  <c r="G75" i="9" s="1"/>
  <c r="G65" i="9"/>
  <c r="H57" i="9"/>
  <c r="O58" i="16"/>
  <c r="P48" i="16"/>
  <c r="M52" i="21"/>
  <c r="M55" i="21"/>
  <c r="M62" i="21" s="1"/>
  <c r="N32" i="1"/>
  <c r="N36" i="1" s="1"/>
  <c r="N29" i="1"/>
  <c r="N58" i="19"/>
  <c r="N57" i="19" s="1"/>
  <c r="N58" i="14"/>
  <c r="N57" i="14" s="1"/>
  <c r="N58" i="9"/>
  <c r="N57" i="9" s="1"/>
  <c r="N44" i="21"/>
  <c r="AJ60" i="11"/>
  <c r="AK50" i="11"/>
  <c r="AE57" i="21"/>
  <c r="AF47" i="21"/>
  <c r="AE60" i="19"/>
  <c r="AE70" i="19" s="1"/>
  <c r="AE60" i="14"/>
  <c r="AE70" i="14" s="1"/>
  <c r="AE60" i="9"/>
  <c r="AE70" i="9" s="1"/>
  <c r="N18" i="16" l="1"/>
  <c r="N22" i="16"/>
  <c r="N8" i="1"/>
  <c r="N9" i="1" s="1"/>
  <c r="N7" i="1"/>
  <c r="N17" i="1"/>
  <c r="N18" i="1" s="1"/>
  <c r="N20" i="16"/>
  <c r="N10" i="16" s="1"/>
  <c r="N37" i="16"/>
  <c r="N38" i="16" s="1"/>
  <c r="N19" i="16"/>
  <c r="T59" i="21"/>
  <c r="T62" i="19"/>
  <c r="T72" i="19" s="1"/>
  <c r="T62" i="14"/>
  <c r="T72" i="14" s="1"/>
  <c r="T62" i="9"/>
  <c r="T72" i="9" s="1"/>
  <c r="Y30" i="21"/>
  <c r="X43" i="19"/>
  <c r="X43" i="14"/>
  <c r="G65" i="14"/>
  <c r="G68" i="14"/>
  <c r="G75" i="14" s="1"/>
  <c r="H57" i="14"/>
  <c r="N68" i="9"/>
  <c r="N75" i="9" s="1"/>
  <c r="N65" i="9"/>
  <c r="N10" i="1"/>
  <c r="N6" i="1"/>
  <c r="P58" i="16"/>
  <c r="Q48" i="16"/>
  <c r="S56" i="21"/>
  <c r="S59" i="19"/>
  <c r="S69" i="19" s="1"/>
  <c r="S59" i="14"/>
  <c r="S69" i="14" s="1"/>
  <c r="S59" i="9"/>
  <c r="S69" i="9" s="1"/>
  <c r="M50" i="19"/>
  <c r="M51" i="19" s="1"/>
  <c r="M33" i="19"/>
  <c r="M22" i="19" s="1"/>
  <c r="M32" i="19"/>
  <c r="M23" i="19" s="1"/>
  <c r="AF57" i="16"/>
  <c r="AG47" i="16"/>
  <c r="P57" i="21"/>
  <c r="Q47" i="21"/>
  <c r="P60" i="19"/>
  <c r="P70" i="19" s="1"/>
  <c r="P60" i="14"/>
  <c r="P70" i="14" s="1"/>
  <c r="P60" i="9"/>
  <c r="P70" i="9" s="1"/>
  <c r="G79" i="16"/>
  <c r="G77" i="16"/>
  <c r="M26" i="16"/>
  <c r="M13" i="16"/>
  <c r="M35" i="14"/>
  <c r="M31" i="14"/>
  <c r="AL60" i="21"/>
  <c r="AM50" i="21"/>
  <c r="AL63" i="19"/>
  <c r="AL73" i="19" s="1"/>
  <c r="AL63" i="14"/>
  <c r="AL73" i="14" s="1"/>
  <c r="AL63" i="9"/>
  <c r="AL73" i="9" s="1"/>
  <c r="H52" i="16"/>
  <c r="I44" i="16"/>
  <c r="H55" i="16"/>
  <c r="H62" i="16" s="1"/>
  <c r="G50" i="1"/>
  <c r="G48" i="1"/>
  <c r="G80" i="11"/>
  <c r="G78" i="11"/>
  <c r="M14" i="11"/>
  <c r="M12" i="11" s="1"/>
  <c r="P45" i="21"/>
  <c r="P45" i="16"/>
  <c r="P44" i="16" s="1"/>
  <c r="P45" i="11"/>
  <c r="P44" i="11" s="1"/>
  <c r="Q25" i="1"/>
  <c r="P24" i="1"/>
  <c r="M50" i="9"/>
  <c r="M51" i="9" s="1"/>
  <c r="M33" i="9"/>
  <c r="M22" i="9" s="1"/>
  <c r="M32" i="9"/>
  <c r="M23" i="9" s="1"/>
  <c r="T8" i="21"/>
  <c r="T20" i="19"/>
  <c r="T8" i="16"/>
  <c r="T20" i="14"/>
  <c r="T8" i="11"/>
  <c r="T20" i="9"/>
  <c r="U11" i="1"/>
  <c r="H65" i="9"/>
  <c r="I57" i="9"/>
  <c r="H68" i="9"/>
  <c r="H75" i="9" s="1"/>
  <c r="Q58" i="11"/>
  <c r="R48" i="11"/>
  <c r="AF57" i="21"/>
  <c r="AG47" i="21"/>
  <c r="AF60" i="19"/>
  <c r="AF70" i="19" s="1"/>
  <c r="AF60" i="14"/>
  <c r="AF70" i="14" s="1"/>
  <c r="AF60" i="9"/>
  <c r="AF70" i="9" s="1"/>
  <c r="I55" i="11"/>
  <c r="I62" i="11" s="1"/>
  <c r="I52" i="11"/>
  <c r="J44" i="11"/>
  <c r="H29" i="1"/>
  <c r="I24" i="1"/>
  <c r="H32" i="1"/>
  <c r="H36" i="1" s="1"/>
  <c r="AK60" i="11"/>
  <c r="AL50" i="11"/>
  <c r="N68" i="14"/>
  <c r="N75" i="14" s="1"/>
  <c r="N65" i="14"/>
  <c r="M22" i="21"/>
  <c r="M18" i="21"/>
  <c r="T46" i="21"/>
  <c r="T46" i="16"/>
  <c r="T56" i="16" s="1"/>
  <c r="T46" i="11"/>
  <c r="T56" i="11" s="1"/>
  <c r="U26" i="1"/>
  <c r="T33" i="1"/>
  <c r="M9" i="11"/>
  <c r="M11" i="11"/>
  <c r="Q57" i="11"/>
  <c r="R47" i="11"/>
  <c r="M35" i="19"/>
  <c r="M31" i="19"/>
  <c r="AJ60" i="16"/>
  <c r="AK50" i="16"/>
  <c r="G80" i="16"/>
  <c r="G78" i="16"/>
  <c r="M14" i="16"/>
  <c r="M12" i="16" s="1"/>
  <c r="M11" i="16"/>
  <c r="M9" i="16"/>
  <c r="N22" i="11"/>
  <c r="N18" i="11"/>
  <c r="G49" i="1"/>
  <c r="G47" i="1"/>
  <c r="M14" i="1"/>
  <c r="AH47" i="11"/>
  <c r="AG57" i="11"/>
  <c r="O55" i="11"/>
  <c r="O62" i="11" s="1"/>
  <c r="O52" i="11"/>
  <c r="M35" i="9"/>
  <c r="M31" i="9"/>
  <c r="I68" i="19"/>
  <c r="I75" i="19" s="1"/>
  <c r="I65" i="19"/>
  <c r="J57" i="19"/>
  <c r="N68" i="19"/>
  <c r="N75" i="19" s="1"/>
  <c r="N65" i="19"/>
  <c r="Q60" i="11"/>
  <c r="R50" i="11"/>
  <c r="Q57" i="16"/>
  <c r="R47" i="16"/>
  <c r="N20" i="11"/>
  <c r="N10" i="11" s="1"/>
  <c r="N19" i="11"/>
  <c r="N37" i="11"/>
  <c r="N38" i="11" s="1"/>
  <c r="Q60" i="21"/>
  <c r="R50" i="21"/>
  <c r="Q63" i="19"/>
  <c r="Q73" i="19" s="1"/>
  <c r="Q63" i="14"/>
  <c r="Q73" i="14" s="1"/>
  <c r="Q63" i="9"/>
  <c r="Q73" i="9" s="1"/>
  <c r="AE51" i="21"/>
  <c r="AE51" i="16"/>
  <c r="AE61" i="16" s="1"/>
  <c r="AE51" i="11"/>
  <c r="AE61" i="11" s="1"/>
  <c r="AE35" i="1"/>
  <c r="AF28" i="1"/>
  <c r="AD61" i="21"/>
  <c r="AD64" i="19"/>
  <c r="AD74" i="19" s="1"/>
  <c r="AD64" i="14"/>
  <c r="AD74" i="14" s="1"/>
  <c r="AD64" i="9"/>
  <c r="AD74" i="9" s="1"/>
  <c r="O55" i="16"/>
  <c r="O62" i="16" s="1"/>
  <c r="O52" i="16"/>
  <c r="P60" i="16"/>
  <c r="Q50" i="16"/>
  <c r="H44" i="21"/>
  <c r="G55" i="21"/>
  <c r="G62" i="21" s="1"/>
  <c r="G52" i="21"/>
  <c r="M37" i="21"/>
  <c r="M38" i="21" s="1"/>
  <c r="M20" i="21"/>
  <c r="M10" i="21" s="1"/>
  <c r="M19" i="21"/>
  <c r="N52" i="21"/>
  <c r="N55" i="21"/>
  <c r="N62" i="21" s="1"/>
  <c r="U49" i="21"/>
  <c r="U49" i="16"/>
  <c r="U59" i="16" s="1"/>
  <c r="U49" i="11"/>
  <c r="U59" i="11" s="1"/>
  <c r="U34" i="1"/>
  <c r="V27" i="1"/>
  <c r="P58" i="21"/>
  <c r="Q48" i="21"/>
  <c r="P61" i="19"/>
  <c r="P71" i="19" s="1"/>
  <c r="P61" i="14"/>
  <c r="P71" i="14" s="1"/>
  <c r="P61" i="9"/>
  <c r="P71" i="9" s="1"/>
  <c r="M50" i="14"/>
  <c r="M51" i="14" s="1"/>
  <c r="M33" i="14"/>
  <c r="M22" i="14" s="1"/>
  <c r="M32" i="14"/>
  <c r="M23" i="14" s="1"/>
  <c r="G77" i="11"/>
  <c r="G79" i="11"/>
  <c r="M13" i="11"/>
  <c r="M26" i="11"/>
  <c r="O29" i="1"/>
  <c r="O32" i="1"/>
  <c r="O36" i="1" s="1"/>
  <c r="O58" i="19"/>
  <c r="O57" i="19" s="1"/>
  <c r="O58" i="14"/>
  <c r="O57" i="14" s="1"/>
  <c r="O58" i="9"/>
  <c r="O57" i="9" s="1"/>
  <c r="O44" i="21"/>
  <c r="O10" i="1" l="1"/>
  <c r="O6" i="1"/>
  <c r="N37" i="21"/>
  <c r="N38" i="21" s="1"/>
  <c r="N20" i="21"/>
  <c r="N10" i="21" s="1"/>
  <c r="N19" i="21"/>
  <c r="O20" i="16"/>
  <c r="O10" i="16" s="1"/>
  <c r="O37" i="16"/>
  <c r="O38" i="16" s="1"/>
  <c r="O19" i="16"/>
  <c r="O65" i="14"/>
  <c r="O68" i="14"/>
  <c r="O75" i="14" s="1"/>
  <c r="V49" i="21"/>
  <c r="V49" i="16"/>
  <c r="V59" i="16" s="1"/>
  <c r="V49" i="11"/>
  <c r="V59" i="11" s="1"/>
  <c r="V34" i="1"/>
  <c r="W27" i="1"/>
  <c r="U59" i="21"/>
  <c r="U62" i="19"/>
  <c r="U72" i="19" s="1"/>
  <c r="U62" i="14"/>
  <c r="U72" i="14" s="1"/>
  <c r="U62" i="9"/>
  <c r="U72" i="9" s="1"/>
  <c r="H55" i="21"/>
  <c r="H62" i="21" s="1"/>
  <c r="H52" i="21"/>
  <c r="I44" i="21"/>
  <c r="O22" i="16"/>
  <c r="O18" i="16"/>
  <c r="N9" i="11"/>
  <c r="N11" i="11"/>
  <c r="R60" i="11"/>
  <c r="S50" i="11"/>
  <c r="J68" i="19"/>
  <c r="J75" i="19" s="1"/>
  <c r="J65" i="19"/>
  <c r="K57" i="19"/>
  <c r="O22" i="11"/>
  <c r="O18" i="11"/>
  <c r="G93" i="19"/>
  <c r="G91" i="19"/>
  <c r="M26" i="19"/>
  <c r="N50" i="14"/>
  <c r="N51" i="14" s="1"/>
  <c r="N33" i="14"/>
  <c r="N22" i="14" s="1"/>
  <c r="N32" i="14"/>
  <c r="N23" i="14" s="1"/>
  <c r="U8" i="21"/>
  <c r="U20" i="19"/>
  <c r="U8" i="16"/>
  <c r="U20" i="14"/>
  <c r="U8" i="11"/>
  <c r="U20" i="9"/>
  <c r="V11" i="1"/>
  <c r="P55" i="11"/>
  <c r="P62" i="11" s="1"/>
  <c r="P52" i="11"/>
  <c r="G90" i="14"/>
  <c r="G92" i="14"/>
  <c r="M25" i="14"/>
  <c r="M39" i="14"/>
  <c r="Q58" i="16"/>
  <c r="R48" i="16"/>
  <c r="N33" i="9"/>
  <c r="N22" i="9" s="1"/>
  <c r="N32" i="9"/>
  <c r="N23" i="9" s="1"/>
  <c r="N50" i="9"/>
  <c r="N51" i="9" s="1"/>
  <c r="N11" i="16"/>
  <c r="N9" i="16"/>
  <c r="O52" i="21"/>
  <c r="O55" i="21"/>
  <c r="O62" i="21" s="1"/>
  <c r="Q58" i="21"/>
  <c r="R48" i="21"/>
  <c r="Q61" i="19"/>
  <c r="Q71" i="19" s="1"/>
  <c r="Q61" i="14"/>
  <c r="Q71" i="14" s="1"/>
  <c r="Q61" i="9"/>
  <c r="Q71" i="9" s="1"/>
  <c r="O68" i="9"/>
  <c r="O75" i="9" s="1"/>
  <c r="O65" i="9"/>
  <c r="O17" i="1"/>
  <c r="O18" i="1" s="1"/>
  <c r="O8" i="1"/>
  <c r="O9" i="1" s="1"/>
  <c r="O7" i="1"/>
  <c r="O65" i="19"/>
  <c r="O68" i="19"/>
  <c r="O75" i="19" s="1"/>
  <c r="N22" i="21"/>
  <c r="N18" i="21"/>
  <c r="Q60" i="16"/>
  <c r="R50" i="16"/>
  <c r="AF51" i="21"/>
  <c r="AF51" i="16"/>
  <c r="AF61" i="16" s="1"/>
  <c r="AF51" i="11"/>
  <c r="AF61" i="11" s="1"/>
  <c r="AG28" i="1"/>
  <c r="AF35" i="1"/>
  <c r="AE61" i="21"/>
  <c r="AE64" i="19"/>
  <c r="AE74" i="19" s="1"/>
  <c r="AE64" i="14"/>
  <c r="AE74" i="14" s="1"/>
  <c r="AE64" i="9"/>
  <c r="AE74" i="9" s="1"/>
  <c r="R60" i="21"/>
  <c r="S50" i="21"/>
  <c r="R63" i="19"/>
  <c r="R73" i="19" s="1"/>
  <c r="R63" i="14"/>
  <c r="R73" i="14" s="1"/>
  <c r="R63" i="9"/>
  <c r="R73" i="9" s="1"/>
  <c r="G90" i="9"/>
  <c r="G92" i="9"/>
  <c r="M25" i="9"/>
  <c r="M39" i="9"/>
  <c r="AK60" i="16"/>
  <c r="AL50" i="16"/>
  <c r="S47" i="11"/>
  <c r="R57" i="11"/>
  <c r="T56" i="21"/>
  <c r="T59" i="19"/>
  <c r="T69" i="19" s="1"/>
  <c r="T59" i="14"/>
  <c r="T69" i="14" s="1"/>
  <c r="T59" i="9"/>
  <c r="T69" i="9" s="1"/>
  <c r="N35" i="14"/>
  <c r="N31" i="14"/>
  <c r="I32" i="1"/>
  <c r="I36" i="1" s="1"/>
  <c r="I29" i="1"/>
  <c r="J24" i="1"/>
  <c r="AG57" i="21"/>
  <c r="AH47" i="21"/>
  <c r="AG60" i="19"/>
  <c r="AG70" i="19" s="1"/>
  <c r="AG60" i="14"/>
  <c r="AG70" i="14" s="1"/>
  <c r="AG60" i="9"/>
  <c r="AG70" i="9" s="1"/>
  <c r="P52" i="16"/>
  <c r="P55" i="16"/>
  <c r="P62" i="16" s="1"/>
  <c r="I55" i="16"/>
  <c r="I62" i="16" s="1"/>
  <c r="I52" i="16"/>
  <c r="J44" i="16"/>
  <c r="G93" i="14"/>
  <c r="G91" i="14"/>
  <c r="M26" i="14"/>
  <c r="Q57" i="21"/>
  <c r="R47" i="21"/>
  <c r="Q60" i="19"/>
  <c r="Q70" i="19" s="1"/>
  <c r="Q60" i="14"/>
  <c r="Q70" i="14" s="1"/>
  <c r="Q60" i="9"/>
  <c r="Q70" i="9" s="1"/>
  <c r="N35" i="9"/>
  <c r="N31" i="9"/>
  <c r="S47" i="16"/>
  <c r="R57" i="16"/>
  <c r="N32" i="19"/>
  <c r="N23" i="19" s="1"/>
  <c r="N50" i="19"/>
  <c r="N51" i="19" s="1"/>
  <c r="N33" i="19"/>
  <c r="N22" i="19" s="1"/>
  <c r="G93" i="9"/>
  <c r="G91" i="9"/>
  <c r="M26" i="9"/>
  <c r="AH57" i="11"/>
  <c r="AI47" i="11"/>
  <c r="H77" i="11"/>
  <c r="H79" i="11"/>
  <c r="N13" i="11"/>
  <c r="N26" i="11"/>
  <c r="U46" i="21"/>
  <c r="U46" i="16"/>
  <c r="U56" i="16" s="1"/>
  <c r="U46" i="11"/>
  <c r="U56" i="11" s="1"/>
  <c r="U33" i="1"/>
  <c r="V26" i="1"/>
  <c r="G79" i="21"/>
  <c r="G77" i="21"/>
  <c r="M13" i="21"/>
  <c r="M26" i="21"/>
  <c r="AL60" i="11"/>
  <c r="AM50" i="11"/>
  <c r="I68" i="9"/>
  <c r="I75" i="9" s="1"/>
  <c r="I65" i="9"/>
  <c r="J57" i="9"/>
  <c r="P29" i="1"/>
  <c r="P32" i="1"/>
  <c r="P36" i="1" s="1"/>
  <c r="P58" i="19"/>
  <c r="P57" i="19" s="1"/>
  <c r="P58" i="14"/>
  <c r="P57" i="14" s="1"/>
  <c r="P58" i="9"/>
  <c r="P57" i="9" s="1"/>
  <c r="P44" i="21"/>
  <c r="AM60" i="21"/>
  <c r="AN50" i="21"/>
  <c r="AM63" i="19"/>
  <c r="AM73" i="19" s="1"/>
  <c r="AM63" i="14"/>
  <c r="AM73" i="14" s="1"/>
  <c r="AM63" i="9"/>
  <c r="AM73" i="9" s="1"/>
  <c r="H47" i="1"/>
  <c r="H49" i="1"/>
  <c r="N14" i="1"/>
  <c r="H68" i="14"/>
  <c r="H75" i="14" s="1"/>
  <c r="H65" i="14"/>
  <c r="I57" i="14"/>
  <c r="H80" i="16"/>
  <c r="H78" i="16"/>
  <c r="N14" i="16"/>
  <c r="N12" i="16" s="1"/>
  <c r="M11" i="21"/>
  <c r="M9" i="21"/>
  <c r="N35" i="19"/>
  <c r="N31" i="19"/>
  <c r="O19" i="11"/>
  <c r="O37" i="11"/>
  <c r="O38" i="11" s="1"/>
  <c r="O20" i="11"/>
  <c r="O10" i="11" s="1"/>
  <c r="M15" i="21"/>
  <c r="M28" i="19"/>
  <c r="M16" i="19" s="1"/>
  <c r="M7" i="19" s="1"/>
  <c r="M8" i="19" s="1"/>
  <c r="M9" i="19" s="1"/>
  <c r="M10" i="19" s="1"/>
  <c r="M15" i="16"/>
  <c r="M28" i="14"/>
  <c r="M16" i="14" s="1"/>
  <c r="M7" i="14" s="1"/>
  <c r="M8" i="14" s="1"/>
  <c r="M9" i="14" s="1"/>
  <c r="M10" i="14" s="1"/>
  <c r="M15" i="11"/>
  <c r="M28" i="9"/>
  <c r="M16" i="9" s="1"/>
  <c r="M7" i="9" s="1"/>
  <c r="M8" i="9" s="1"/>
  <c r="M9" i="9" s="1"/>
  <c r="M10" i="9" s="1"/>
  <c r="H80" i="11"/>
  <c r="H78" i="11"/>
  <c r="N14" i="11"/>
  <c r="N12" i="11" s="1"/>
  <c r="G90" i="19"/>
  <c r="G92" i="19"/>
  <c r="M39" i="19"/>
  <c r="M25" i="19"/>
  <c r="G80" i="21"/>
  <c r="G78" i="21"/>
  <c r="M14" i="21"/>
  <c r="M12" i="21" s="1"/>
  <c r="J52" i="11"/>
  <c r="K44" i="11"/>
  <c r="J55" i="11"/>
  <c r="J62" i="11" s="1"/>
  <c r="R58" i="11"/>
  <c r="S48" i="11"/>
  <c r="Q45" i="21"/>
  <c r="Q45" i="16"/>
  <c r="Q44" i="16" s="1"/>
  <c r="Q45" i="11"/>
  <c r="Q44" i="11" s="1"/>
  <c r="Q24" i="1"/>
  <c r="R25" i="1"/>
  <c r="AG57" i="16"/>
  <c r="AH47" i="16"/>
  <c r="H50" i="1"/>
  <c r="H48" i="1"/>
  <c r="Z30" i="21"/>
  <c r="Y43" i="19"/>
  <c r="Y43" i="14"/>
  <c r="H77" i="16"/>
  <c r="H79" i="16"/>
  <c r="N26" i="16"/>
  <c r="N13" i="16"/>
  <c r="AH57" i="16" l="1"/>
  <c r="AI47" i="16"/>
  <c r="S58" i="11"/>
  <c r="T48" i="11"/>
  <c r="H92" i="19"/>
  <c r="H90" i="19"/>
  <c r="N39" i="19"/>
  <c r="N25" i="19"/>
  <c r="AA30" i="21"/>
  <c r="Z43" i="19"/>
  <c r="Z43" i="14"/>
  <c r="Q55" i="16"/>
  <c r="Q62" i="16" s="1"/>
  <c r="Q52" i="16"/>
  <c r="M24" i="19"/>
  <c r="M27" i="19" s="1"/>
  <c r="M15" i="19" s="1"/>
  <c r="M24" i="14"/>
  <c r="M27" i="14" s="1"/>
  <c r="M15" i="14" s="1"/>
  <c r="M24" i="9"/>
  <c r="M27" i="9" s="1"/>
  <c r="M15" i="9" s="1"/>
  <c r="H93" i="19"/>
  <c r="H91" i="19"/>
  <c r="N26" i="19"/>
  <c r="AN60" i="21"/>
  <c r="AO50" i="21"/>
  <c r="AN63" i="19"/>
  <c r="AN73" i="19" s="1"/>
  <c r="AN63" i="14"/>
  <c r="AN73" i="14" s="1"/>
  <c r="AN63" i="9"/>
  <c r="AN73" i="9" s="1"/>
  <c r="P68" i="14"/>
  <c r="P75" i="14" s="1"/>
  <c r="P65" i="14"/>
  <c r="J68" i="9"/>
  <c r="J75" i="9" s="1"/>
  <c r="J65" i="9"/>
  <c r="K57" i="9"/>
  <c r="H90" i="9"/>
  <c r="H92" i="9"/>
  <c r="N39" i="9"/>
  <c r="N25" i="9"/>
  <c r="AH57" i="21"/>
  <c r="AI47" i="21"/>
  <c r="AH60" i="19"/>
  <c r="AH70" i="19" s="1"/>
  <c r="AH60" i="14"/>
  <c r="AH70" i="14" s="1"/>
  <c r="AH60" i="9"/>
  <c r="AH70" i="9" s="1"/>
  <c r="T47" i="11"/>
  <c r="S57" i="11"/>
  <c r="AF61" i="21"/>
  <c r="AF64" i="19"/>
  <c r="AF74" i="19" s="1"/>
  <c r="AF64" i="14"/>
  <c r="AF74" i="14" s="1"/>
  <c r="AF64" i="9"/>
  <c r="AF74" i="9" s="1"/>
  <c r="H80" i="21"/>
  <c r="H78" i="21"/>
  <c r="N14" i="21"/>
  <c r="N12" i="21" s="1"/>
  <c r="O35" i="9"/>
  <c r="O31" i="9"/>
  <c r="R58" i="21"/>
  <c r="S48" i="21"/>
  <c r="R61" i="19"/>
  <c r="R71" i="19" s="1"/>
  <c r="R61" i="14"/>
  <c r="R71" i="14" s="1"/>
  <c r="R61" i="9"/>
  <c r="R71" i="9" s="1"/>
  <c r="P18" i="11"/>
  <c r="P22" i="11"/>
  <c r="I80" i="11"/>
  <c r="I78" i="11"/>
  <c r="O14" i="11"/>
  <c r="O12" i="11" s="1"/>
  <c r="S60" i="11"/>
  <c r="T50" i="11"/>
  <c r="I77" i="16"/>
  <c r="I79" i="16"/>
  <c r="O13" i="16"/>
  <c r="O26" i="16"/>
  <c r="O9" i="16"/>
  <c r="O11" i="16"/>
  <c r="Q55" i="11"/>
  <c r="Q62" i="11" s="1"/>
  <c r="Q52" i="11"/>
  <c r="R45" i="21"/>
  <c r="R45" i="16"/>
  <c r="R44" i="16" s="1"/>
  <c r="R45" i="11"/>
  <c r="R44" i="11" s="1"/>
  <c r="S25" i="1"/>
  <c r="R24" i="1"/>
  <c r="Q58" i="19"/>
  <c r="Q57" i="19" s="1"/>
  <c r="Q58" i="14"/>
  <c r="Q57" i="14" s="1"/>
  <c r="Q58" i="9"/>
  <c r="Q57" i="9" s="1"/>
  <c r="Q44" i="21"/>
  <c r="N15" i="21"/>
  <c r="N28" i="19"/>
  <c r="N16" i="19" s="1"/>
  <c r="N7" i="19" s="1"/>
  <c r="N8" i="19" s="1"/>
  <c r="N9" i="19" s="1"/>
  <c r="N10" i="19" s="1"/>
  <c r="N15" i="16"/>
  <c r="N28" i="14"/>
  <c r="N16" i="14" s="1"/>
  <c r="N7" i="14" s="1"/>
  <c r="N8" i="14" s="1"/>
  <c r="N9" i="14" s="1"/>
  <c r="N10" i="14" s="1"/>
  <c r="N15" i="11"/>
  <c r="N28" i="9"/>
  <c r="N16" i="9" s="1"/>
  <c r="N7" i="9" s="1"/>
  <c r="N8" i="9" s="1"/>
  <c r="N9" i="9" s="1"/>
  <c r="N10" i="9" s="1"/>
  <c r="P68" i="19"/>
  <c r="P75" i="19" s="1"/>
  <c r="P65" i="19"/>
  <c r="V46" i="21"/>
  <c r="V46" i="16"/>
  <c r="V56" i="16" s="1"/>
  <c r="V46" i="11"/>
  <c r="V56" i="11" s="1"/>
  <c r="V33" i="1"/>
  <c r="W26" i="1"/>
  <c r="U56" i="21"/>
  <c r="U59" i="19"/>
  <c r="U69" i="19" s="1"/>
  <c r="U59" i="14"/>
  <c r="U69" i="14" s="1"/>
  <c r="U59" i="9"/>
  <c r="U69" i="9" s="1"/>
  <c r="H93" i="9"/>
  <c r="H91" i="9"/>
  <c r="N26" i="9"/>
  <c r="R57" i="21"/>
  <c r="S47" i="21"/>
  <c r="R60" i="19"/>
  <c r="R70" i="19" s="1"/>
  <c r="R60" i="14"/>
  <c r="R70" i="14" s="1"/>
  <c r="R60" i="9"/>
  <c r="R70" i="9" s="1"/>
  <c r="P22" i="16"/>
  <c r="P18" i="16"/>
  <c r="H92" i="14"/>
  <c r="H90" i="14"/>
  <c r="N39" i="14"/>
  <c r="N25" i="14"/>
  <c r="AL60" i="16"/>
  <c r="AM50" i="16"/>
  <c r="AG51" i="21"/>
  <c r="AG51" i="16"/>
  <c r="AG61" i="16" s="1"/>
  <c r="AG51" i="11"/>
  <c r="AG61" i="11" s="1"/>
  <c r="AG35" i="1"/>
  <c r="AH28" i="1"/>
  <c r="R60" i="16"/>
  <c r="S50" i="16"/>
  <c r="R58" i="16"/>
  <c r="S48" i="16"/>
  <c r="K65" i="19"/>
  <c r="K68" i="19"/>
  <c r="K75" i="19" s="1"/>
  <c r="L57" i="19"/>
  <c r="I80" i="16"/>
  <c r="I78" i="16"/>
  <c r="O14" i="16"/>
  <c r="O12" i="16" s="1"/>
  <c r="W49" i="21"/>
  <c r="W49" i="16"/>
  <c r="W59" i="16" s="1"/>
  <c r="W49" i="11"/>
  <c r="W59" i="11" s="1"/>
  <c r="W34" i="1"/>
  <c r="X27" i="1"/>
  <c r="V59" i="21"/>
  <c r="V62" i="19"/>
  <c r="V72" i="19" s="1"/>
  <c r="V62" i="14"/>
  <c r="V72" i="14" s="1"/>
  <c r="V62" i="9"/>
  <c r="V72" i="9" s="1"/>
  <c r="O11" i="11"/>
  <c r="O9" i="11"/>
  <c r="I68" i="14"/>
  <c r="I75" i="14" s="1"/>
  <c r="I65" i="14"/>
  <c r="J57" i="14"/>
  <c r="P55" i="21"/>
  <c r="P62" i="21" s="1"/>
  <c r="P52" i="21"/>
  <c r="P10" i="1"/>
  <c r="P6" i="1"/>
  <c r="AI57" i="11"/>
  <c r="AJ47" i="11"/>
  <c r="J52" i="16"/>
  <c r="J55" i="16"/>
  <c r="J62" i="16" s="1"/>
  <c r="K44" i="16"/>
  <c r="P20" i="16"/>
  <c r="P10" i="16" s="1"/>
  <c r="P37" i="16"/>
  <c r="P38" i="16" s="1"/>
  <c r="P19" i="16"/>
  <c r="J32" i="1"/>
  <c r="J36" i="1" s="1"/>
  <c r="J29" i="1"/>
  <c r="K24" i="1"/>
  <c r="H93" i="14"/>
  <c r="H91" i="14"/>
  <c r="N26" i="14"/>
  <c r="S60" i="21"/>
  <c r="T50" i="21"/>
  <c r="S63" i="19"/>
  <c r="S73" i="19" s="1"/>
  <c r="S63" i="14"/>
  <c r="S73" i="14" s="1"/>
  <c r="S63" i="9"/>
  <c r="S73" i="9" s="1"/>
  <c r="O31" i="19"/>
  <c r="O35" i="19"/>
  <c r="O22" i="21"/>
  <c r="O18" i="21"/>
  <c r="V8" i="21"/>
  <c r="V20" i="19"/>
  <c r="V8" i="16"/>
  <c r="V20" i="14"/>
  <c r="V8" i="11"/>
  <c r="V20" i="9"/>
  <c r="W11" i="1"/>
  <c r="I52" i="21"/>
  <c r="I55" i="21"/>
  <c r="I62" i="21" s="1"/>
  <c r="J44" i="21"/>
  <c r="O35" i="14"/>
  <c r="O31" i="14"/>
  <c r="I47" i="1"/>
  <c r="I49" i="1"/>
  <c r="O14" i="1"/>
  <c r="Q32" i="1"/>
  <c r="Q36" i="1" s="1"/>
  <c r="Q29" i="1"/>
  <c r="L44" i="11"/>
  <c r="K55" i="11"/>
  <c r="K62" i="11" s="1"/>
  <c r="K52" i="11"/>
  <c r="P65" i="9"/>
  <c r="P68" i="9"/>
  <c r="P75" i="9" s="1"/>
  <c r="P17" i="1"/>
  <c r="P18" i="1" s="1"/>
  <c r="P7" i="1"/>
  <c r="P8" i="1"/>
  <c r="P9" i="1" s="1"/>
  <c r="AM60" i="11"/>
  <c r="AN50" i="11"/>
  <c r="S57" i="16"/>
  <c r="T47" i="16"/>
  <c r="H77" i="21"/>
  <c r="H79" i="21"/>
  <c r="N13" i="21"/>
  <c r="N26" i="21"/>
  <c r="O50" i="19"/>
  <c r="O51" i="19" s="1"/>
  <c r="O33" i="19"/>
  <c r="O22" i="19" s="1"/>
  <c r="O32" i="19"/>
  <c r="O23" i="19" s="1"/>
  <c r="O32" i="9"/>
  <c r="O23" i="9" s="1"/>
  <c r="O50" i="9"/>
  <c r="O51" i="9" s="1"/>
  <c r="O33" i="9"/>
  <c r="O22" i="9" s="1"/>
  <c r="O37" i="21"/>
  <c r="O38" i="21" s="1"/>
  <c r="O19" i="21"/>
  <c r="O20" i="21"/>
  <c r="O10" i="21" s="1"/>
  <c r="P37" i="11"/>
  <c r="P38" i="11" s="1"/>
  <c r="P20" i="11"/>
  <c r="P10" i="11" s="1"/>
  <c r="P19" i="11"/>
  <c r="I79" i="11"/>
  <c r="I77" i="11"/>
  <c r="O26" i="11"/>
  <c r="O13" i="11"/>
  <c r="O32" i="14"/>
  <c r="O23" i="14" s="1"/>
  <c r="O50" i="14"/>
  <c r="O51" i="14" s="1"/>
  <c r="O33" i="14"/>
  <c r="O22" i="14" s="1"/>
  <c r="N11" i="21"/>
  <c r="N9" i="21"/>
  <c r="I50" i="1"/>
  <c r="I48" i="1"/>
  <c r="Q17" i="1" l="1"/>
  <c r="Q18" i="1" s="1"/>
  <c r="Q7" i="1"/>
  <c r="Q8" i="1"/>
  <c r="Q9" i="1" s="1"/>
  <c r="I93" i="19"/>
  <c r="I91" i="19"/>
  <c r="O26" i="19"/>
  <c r="P18" i="21"/>
  <c r="P22" i="21"/>
  <c r="P50" i="19"/>
  <c r="P51" i="19" s="1"/>
  <c r="P33" i="19"/>
  <c r="P22" i="19" s="1"/>
  <c r="P32" i="19"/>
  <c r="P23" i="19" s="1"/>
  <c r="R32" i="1"/>
  <c r="R36" i="1" s="1"/>
  <c r="R29" i="1"/>
  <c r="O15" i="21"/>
  <c r="O28" i="19"/>
  <c r="O16" i="19" s="1"/>
  <c r="O7" i="19" s="1"/>
  <c r="O8" i="19" s="1"/>
  <c r="O9" i="19" s="1"/>
  <c r="O10" i="19" s="1"/>
  <c r="O15" i="16"/>
  <c r="O28" i="14"/>
  <c r="O16" i="14" s="1"/>
  <c r="O7" i="14" s="1"/>
  <c r="O8" i="14" s="1"/>
  <c r="O9" i="14" s="1"/>
  <c r="O10" i="14" s="1"/>
  <c r="O15" i="11"/>
  <c r="O28" i="9"/>
  <c r="O16" i="9" s="1"/>
  <c r="O7" i="9" s="1"/>
  <c r="O8" i="9" s="1"/>
  <c r="O9" i="9" s="1"/>
  <c r="O10" i="9" s="1"/>
  <c r="I77" i="21"/>
  <c r="I79" i="21"/>
  <c r="O26" i="21"/>
  <c r="O13" i="21"/>
  <c r="J50" i="1"/>
  <c r="J48" i="1"/>
  <c r="W59" i="21"/>
  <c r="W62" i="19"/>
  <c r="W72" i="19" s="1"/>
  <c r="W62" i="14"/>
  <c r="W72" i="14" s="1"/>
  <c r="W62" i="9"/>
  <c r="W72" i="9" s="1"/>
  <c r="S58" i="16"/>
  <c r="T48" i="16"/>
  <c r="AH51" i="21"/>
  <c r="AH51" i="16"/>
  <c r="AH61" i="16" s="1"/>
  <c r="AH51" i="11"/>
  <c r="AH61" i="11" s="1"/>
  <c r="AH35" i="1"/>
  <c r="AI28" i="1"/>
  <c r="P11" i="11"/>
  <c r="P9" i="11"/>
  <c r="O9" i="21"/>
  <c r="O11" i="21"/>
  <c r="T57" i="16"/>
  <c r="U47" i="16"/>
  <c r="P31" i="9"/>
  <c r="P35" i="9"/>
  <c r="L55" i="11"/>
  <c r="L62" i="11" s="1"/>
  <c r="L52" i="11"/>
  <c r="J52" i="21"/>
  <c r="J55" i="21"/>
  <c r="J62" i="21" s="1"/>
  <c r="K44" i="21"/>
  <c r="W8" i="21"/>
  <c r="W20" i="19"/>
  <c r="W8" i="16"/>
  <c r="W20" i="14"/>
  <c r="W8" i="11"/>
  <c r="W20" i="9"/>
  <c r="X11" i="1"/>
  <c r="I80" i="21"/>
  <c r="I78" i="21"/>
  <c r="O14" i="21"/>
  <c r="O12" i="21" s="1"/>
  <c r="AJ57" i="11"/>
  <c r="AK47" i="11"/>
  <c r="P37" i="21"/>
  <c r="P38" i="21" s="1"/>
  <c r="P20" i="21"/>
  <c r="P10" i="21" s="1"/>
  <c r="P19" i="21"/>
  <c r="AM60" i="16"/>
  <c r="AN50" i="16"/>
  <c r="W46" i="21"/>
  <c r="W46" i="16"/>
  <c r="W56" i="16" s="1"/>
  <c r="W46" i="11"/>
  <c r="W56" i="11" s="1"/>
  <c r="W33" i="1"/>
  <c r="X26" i="1"/>
  <c r="V56" i="21"/>
  <c r="V59" i="19"/>
  <c r="V69" i="19" s="1"/>
  <c r="V59" i="14"/>
  <c r="V69" i="14" s="1"/>
  <c r="V59" i="9"/>
  <c r="V69" i="9" s="1"/>
  <c r="Q68" i="19"/>
  <c r="Q75" i="19" s="1"/>
  <c r="Q65" i="19"/>
  <c r="R52" i="16"/>
  <c r="R55" i="16"/>
  <c r="R62" i="16" s="1"/>
  <c r="J77" i="11"/>
  <c r="J79" i="11"/>
  <c r="P26" i="11"/>
  <c r="P13" i="11"/>
  <c r="I93" i="9"/>
  <c r="I91" i="9"/>
  <c r="O26" i="9"/>
  <c r="Q22" i="16"/>
  <c r="Q18" i="16"/>
  <c r="T58" i="11"/>
  <c r="U48" i="11"/>
  <c r="S58" i="21"/>
  <c r="T48" i="21"/>
  <c r="S61" i="19"/>
  <c r="S71" i="19" s="1"/>
  <c r="S61" i="14"/>
  <c r="S71" i="14" s="1"/>
  <c r="S61" i="9"/>
  <c r="S71" i="9" s="1"/>
  <c r="N24" i="19"/>
  <c r="N27" i="19" s="1"/>
  <c r="N15" i="19" s="1"/>
  <c r="N24" i="14"/>
  <c r="N27" i="14" s="1"/>
  <c r="N15" i="14" s="1"/>
  <c r="N24" i="9"/>
  <c r="N27" i="9" s="1"/>
  <c r="N15" i="9" s="1"/>
  <c r="T57" i="11"/>
  <c r="U47" i="11"/>
  <c r="AI57" i="21"/>
  <c r="AJ47" i="21"/>
  <c r="AI60" i="19"/>
  <c r="AI70" i="19" s="1"/>
  <c r="AI60" i="14"/>
  <c r="AI70" i="14" s="1"/>
  <c r="AI60" i="9"/>
  <c r="AI70" i="9" s="1"/>
  <c r="P50" i="9"/>
  <c r="P51" i="9" s="1"/>
  <c r="P33" i="9"/>
  <c r="P22" i="9" s="1"/>
  <c r="P32" i="9"/>
  <c r="P23" i="9" s="1"/>
  <c r="S60" i="16"/>
  <c r="T50" i="16"/>
  <c r="Q52" i="21"/>
  <c r="Q55" i="21"/>
  <c r="Q62" i="21" s="1"/>
  <c r="Q10" i="1"/>
  <c r="Q6" i="1"/>
  <c r="I90" i="14"/>
  <c r="I92" i="14"/>
  <c r="O39" i="14"/>
  <c r="O25" i="14"/>
  <c r="I90" i="19"/>
  <c r="I92" i="19"/>
  <c r="O39" i="19"/>
  <c r="O25" i="19"/>
  <c r="U50" i="21"/>
  <c r="T60" i="21"/>
  <c r="T63" i="19"/>
  <c r="T73" i="19" s="1"/>
  <c r="T63" i="14"/>
  <c r="T73" i="14" s="1"/>
  <c r="T63" i="9"/>
  <c r="T73" i="9" s="1"/>
  <c r="P9" i="16"/>
  <c r="P11" i="16"/>
  <c r="J47" i="1"/>
  <c r="J49" i="1"/>
  <c r="P14" i="1"/>
  <c r="J68" i="14"/>
  <c r="J75" i="14" s="1"/>
  <c r="J65" i="14"/>
  <c r="K57" i="14"/>
  <c r="J77" i="16"/>
  <c r="J79" i="16"/>
  <c r="P13" i="16"/>
  <c r="P26" i="16"/>
  <c r="P35" i="19"/>
  <c r="P31" i="19"/>
  <c r="Q68" i="9"/>
  <c r="Q75" i="9" s="1"/>
  <c r="Q65" i="9"/>
  <c r="S45" i="21"/>
  <c r="S45" i="16"/>
  <c r="S44" i="16" s="1"/>
  <c r="S45" i="11"/>
  <c r="S44" i="11" s="1"/>
  <c r="T25" i="1"/>
  <c r="S24" i="1"/>
  <c r="Q37" i="11"/>
  <c r="Q38" i="11" s="1"/>
  <c r="Q20" i="11"/>
  <c r="Q10" i="11" s="1"/>
  <c r="Q19" i="11"/>
  <c r="T60" i="11"/>
  <c r="U50" i="11"/>
  <c r="P50" i="14"/>
  <c r="P51" i="14" s="1"/>
  <c r="P33" i="14"/>
  <c r="P22" i="14" s="1"/>
  <c r="P32" i="14"/>
  <c r="P23" i="14" s="1"/>
  <c r="AI57" i="16"/>
  <c r="AJ47" i="16"/>
  <c r="K55" i="16"/>
  <c r="K62" i="16" s="1"/>
  <c r="K52" i="16"/>
  <c r="L44" i="16"/>
  <c r="R58" i="19"/>
  <c r="R57" i="19" s="1"/>
  <c r="R58" i="14"/>
  <c r="R57" i="14" s="1"/>
  <c r="R58" i="9"/>
  <c r="R57" i="9" s="1"/>
  <c r="R44" i="21"/>
  <c r="AN60" i="11"/>
  <c r="AO50" i="11"/>
  <c r="I93" i="14"/>
  <c r="I91" i="14"/>
  <c r="O26" i="14"/>
  <c r="K32" i="1"/>
  <c r="K36" i="1" s="1"/>
  <c r="K29" i="1"/>
  <c r="L24" i="1"/>
  <c r="X49" i="21"/>
  <c r="X49" i="16"/>
  <c r="X59" i="16" s="1"/>
  <c r="X49" i="11"/>
  <c r="X59" i="11" s="1"/>
  <c r="Y27" i="1"/>
  <c r="X34" i="1"/>
  <c r="L68" i="19"/>
  <c r="L75" i="19" s="1"/>
  <c r="L65" i="19"/>
  <c r="AG61" i="21"/>
  <c r="AG64" i="19"/>
  <c r="AG74" i="19" s="1"/>
  <c r="AG64" i="14"/>
  <c r="AG74" i="14" s="1"/>
  <c r="AG64" i="9"/>
  <c r="AG74" i="9" s="1"/>
  <c r="J80" i="16"/>
  <c r="J78" i="16"/>
  <c r="P14" i="16"/>
  <c r="P12" i="16" s="1"/>
  <c r="T47" i="21"/>
  <c r="S57" i="21"/>
  <c r="S60" i="19"/>
  <c r="S70" i="19" s="1"/>
  <c r="S60" i="14"/>
  <c r="S70" i="14" s="1"/>
  <c r="S60" i="9"/>
  <c r="S70" i="9" s="1"/>
  <c r="Q68" i="14"/>
  <c r="Q75" i="14" s="1"/>
  <c r="Q65" i="14"/>
  <c r="R52" i="11"/>
  <c r="R55" i="11"/>
  <c r="R62" i="11" s="1"/>
  <c r="Q22" i="11"/>
  <c r="Q18" i="11"/>
  <c r="J80" i="11"/>
  <c r="J78" i="11"/>
  <c r="P14" i="11"/>
  <c r="P12" i="11" s="1"/>
  <c r="I90" i="9"/>
  <c r="I92" i="9"/>
  <c r="O39" i="9"/>
  <c r="O25" i="9"/>
  <c r="K68" i="9"/>
  <c r="K75" i="9" s="1"/>
  <c r="K65" i="9"/>
  <c r="L57" i="9"/>
  <c r="P31" i="14"/>
  <c r="P35" i="14"/>
  <c r="AO60" i="21"/>
  <c r="AP50" i="21"/>
  <c r="AO63" i="19"/>
  <c r="AO73" i="19" s="1"/>
  <c r="AO63" i="14"/>
  <c r="AO73" i="14" s="1"/>
  <c r="AO63" i="9"/>
  <c r="AO73" i="9" s="1"/>
  <c r="Q37" i="16"/>
  <c r="Q38" i="16" s="1"/>
  <c r="Q19" i="16"/>
  <c r="Q20" i="16"/>
  <c r="Q10" i="16" s="1"/>
  <c r="AB30" i="21"/>
  <c r="AA43" i="19"/>
  <c r="AA43" i="14"/>
  <c r="J93" i="14" l="1"/>
  <c r="J91" i="14"/>
  <c r="P26" i="14"/>
  <c r="S55" i="11"/>
  <c r="S62" i="11" s="1"/>
  <c r="S52" i="11"/>
  <c r="Q37" i="21"/>
  <c r="Q38" i="21" s="1"/>
  <c r="Q20" i="21"/>
  <c r="Q10" i="21" s="1"/>
  <c r="Q19" i="21"/>
  <c r="AH61" i="21"/>
  <c r="AH64" i="19"/>
  <c r="AH74" i="19" s="1"/>
  <c r="AH64" i="14"/>
  <c r="AH74" i="14" s="1"/>
  <c r="AH64" i="9"/>
  <c r="AH74" i="9" s="1"/>
  <c r="Q11" i="16"/>
  <c r="Q9" i="16"/>
  <c r="K80" i="11"/>
  <c r="K78" i="11"/>
  <c r="Q14" i="11"/>
  <c r="Q12" i="11" s="1"/>
  <c r="L29" i="1"/>
  <c r="L32" i="1"/>
  <c r="L36" i="1" s="1"/>
  <c r="S55" i="16"/>
  <c r="S62" i="16" s="1"/>
  <c r="S52" i="16"/>
  <c r="J90" i="19"/>
  <c r="J92" i="19"/>
  <c r="P25" i="19"/>
  <c r="P39" i="19"/>
  <c r="K50" i="1"/>
  <c r="K48" i="1"/>
  <c r="T60" i="16"/>
  <c r="U50" i="16"/>
  <c r="K80" i="16"/>
  <c r="K78" i="16"/>
  <c r="Q14" i="16"/>
  <c r="Q12" i="16" s="1"/>
  <c r="R18" i="16"/>
  <c r="R22" i="16"/>
  <c r="X46" i="21"/>
  <c r="X46" i="16"/>
  <c r="X56" i="16" s="1"/>
  <c r="X46" i="11"/>
  <c r="X56" i="11" s="1"/>
  <c r="X33" i="1"/>
  <c r="Y26" i="1"/>
  <c r="W56" i="21"/>
  <c r="W59" i="19"/>
  <c r="W69" i="19" s="1"/>
  <c r="W59" i="14"/>
  <c r="W69" i="14" s="1"/>
  <c r="W59" i="9"/>
  <c r="W69" i="9" s="1"/>
  <c r="O24" i="19"/>
  <c r="O27" i="19" s="1"/>
  <c r="O15" i="19" s="1"/>
  <c r="O24" i="14"/>
  <c r="O27" i="14" s="1"/>
  <c r="O15" i="14" s="1"/>
  <c r="O24" i="9"/>
  <c r="O27" i="9" s="1"/>
  <c r="O15" i="9" s="1"/>
  <c r="J92" i="9"/>
  <c r="J90" i="9"/>
  <c r="P39" i="9"/>
  <c r="P25" i="9"/>
  <c r="T58" i="16"/>
  <c r="U48" i="16"/>
  <c r="K77" i="11"/>
  <c r="K79" i="11"/>
  <c r="Q13" i="11"/>
  <c r="Q26" i="11"/>
  <c r="R68" i="19"/>
  <c r="R75" i="19" s="1"/>
  <c r="R65" i="19"/>
  <c r="AJ57" i="16"/>
  <c r="AK47" i="16"/>
  <c r="K49" i="1"/>
  <c r="K47" i="1"/>
  <c r="Q14" i="1"/>
  <c r="K79" i="16"/>
  <c r="K77" i="16"/>
  <c r="Q26" i="16"/>
  <c r="Q13" i="16"/>
  <c r="Q35" i="19"/>
  <c r="Q31" i="19"/>
  <c r="P9" i="21"/>
  <c r="P11" i="21"/>
  <c r="J77" i="21"/>
  <c r="J79" i="21"/>
  <c r="P26" i="21"/>
  <c r="P13" i="21"/>
  <c r="Y49" i="21"/>
  <c r="Y49" i="16"/>
  <c r="Y59" i="16" s="1"/>
  <c r="Y49" i="11"/>
  <c r="Y59" i="11" s="1"/>
  <c r="Y34" i="1"/>
  <c r="Z27" i="1"/>
  <c r="L52" i="16"/>
  <c r="L55" i="16"/>
  <c r="L62" i="16" s="1"/>
  <c r="AP60" i="21"/>
  <c r="AP63" i="19"/>
  <c r="AP73" i="19" s="1"/>
  <c r="AP63" i="14"/>
  <c r="AP73" i="14" s="1"/>
  <c r="AP63" i="9"/>
  <c r="AP73" i="9" s="1"/>
  <c r="L65" i="9"/>
  <c r="L68" i="9"/>
  <c r="L75" i="9" s="1"/>
  <c r="R22" i="11"/>
  <c r="R18" i="11"/>
  <c r="T57" i="21"/>
  <c r="U47" i="21"/>
  <c r="T60" i="19"/>
  <c r="T70" i="19" s="1"/>
  <c r="T60" i="14"/>
  <c r="T70" i="14" s="1"/>
  <c r="T60" i="9"/>
  <c r="T70" i="9" s="1"/>
  <c r="L50" i="19"/>
  <c r="L51" i="19" s="1"/>
  <c r="L33" i="19"/>
  <c r="L22" i="19" s="1"/>
  <c r="L32" i="19"/>
  <c r="L23" i="19" s="1"/>
  <c r="R68" i="9"/>
  <c r="R75" i="9" s="1"/>
  <c r="R65" i="9"/>
  <c r="S32" i="1"/>
  <c r="S36" i="1" s="1"/>
  <c r="S29" i="1"/>
  <c r="S58" i="19"/>
  <c r="S57" i="19" s="1"/>
  <c r="S58" i="14"/>
  <c r="S57" i="14" s="1"/>
  <c r="S58" i="9"/>
  <c r="S57" i="9" s="1"/>
  <c r="S44" i="21"/>
  <c r="J93" i="19"/>
  <c r="J91" i="19"/>
  <c r="P26" i="19"/>
  <c r="P15" i="21"/>
  <c r="P28" i="19"/>
  <c r="P16" i="19" s="1"/>
  <c r="P7" i="19" s="1"/>
  <c r="P8" i="19" s="1"/>
  <c r="P9" i="19" s="1"/>
  <c r="P10" i="19" s="1"/>
  <c r="P15" i="16"/>
  <c r="P28" i="14"/>
  <c r="P16" i="14" s="1"/>
  <c r="P7" i="14" s="1"/>
  <c r="P8" i="14" s="1"/>
  <c r="P9" i="14" s="1"/>
  <c r="P10" i="14" s="1"/>
  <c r="P15" i="11"/>
  <c r="P28" i="9"/>
  <c r="P16" i="9" s="1"/>
  <c r="P7" i="9" s="1"/>
  <c r="P8" i="9" s="1"/>
  <c r="P9" i="9" s="1"/>
  <c r="P10" i="9" s="1"/>
  <c r="AJ57" i="21"/>
  <c r="AK47" i="21"/>
  <c r="AJ60" i="19"/>
  <c r="AJ70" i="19" s="1"/>
  <c r="AJ60" i="14"/>
  <c r="AJ70" i="14" s="1"/>
  <c r="AJ60" i="9"/>
  <c r="AJ70" i="9" s="1"/>
  <c r="V48" i="11"/>
  <c r="U58" i="11"/>
  <c r="R20" i="16"/>
  <c r="R10" i="16" s="1"/>
  <c r="R37" i="16"/>
  <c r="R38" i="16" s="1"/>
  <c r="R19" i="16"/>
  <c r="AN60" i="16"/>
  <c r="AO50" i="16"/>
  <c r="L37" i="11"/>
  <c r="L38" i="11" s="1"/>
  <c r="L20" i="11"/>
  <c r="L10" i="11" s="1"/>
  <c r="L19" i="11"/>
  <c r="U57" i="16"/>
  <c r="V47" i="16"/>
  <c r="R8" i="1"/>
  <c r="R7" i="1"/>
  <c r="R17" i="1"/>
  <c r="R18" i="1" s="1"/>
  <c r="Q50" i="14"/>
  <c r="Q51" i="14" s="1"/>
  <c r="Q33" i="14"/>
  <c r="Q22" i="14" s="1"/>
  <c r="Q32" i="14"/>
  <c r="Q23" i="14" s="1"/>
  <c r="X59" i="21"/>
  <c r="X62" i="19"/>
  <c r="X72" i="19" s="1"/>
  <c r="X62" i="14"/>
  <c r="X72" i="14" s="1"/>
  <c r="X62" i="9"/>
  <c r="X72" i="9" s="1"/>
  <c r="Q35" i="9"/>
  <c r="Q31" i="9"/>
  <c r="U57" i="11"/>
  <c r="V47" i="11"/>
  <c r="T58" i="21"/>
  <c r="U48" i="21"/>
  <c r="T61" i="19"/>
  <c r="T71" i="19" s="1"/>
  <c r="T61" i="14"/>
  <c r="T71" i="14" s="1"/>
  <c r="T61" i="9"/>
  <c r="T71" i="9" s="1"/>
  <c r="X8" i="21"/>
  <c r="X20" i="19"/>
  <c r="X8" i="16"/>
  <c r="X20" i="14"/>
  <c r="X8" i="11"/>
  <c r="X20" i="9"/>
  <c r="Y11" i="1"/>
  <c r="J93" i="9"/>
  <c r="J91" i="9"/>
  <c r="P26" i="9"/>
  <c r="AI51" i="21"/>
  <c r="AI51" i="16"/>
  <c r="AI61" i="16" s="1"/>
  <c r="AI51" i="11"/>
  <c r="AI61" i="11" s="1"/>
  <c r="AJ28" i="1"/>
  <c r="AI35" i="1"/>
  <c r="J90" i="14"/>
  <c r="J92" i="14"/>
  <c r="P39" i="14"/>
  <c r="P25" i="14"/>
  <c r="Q35" i="14"/>
  <c r="Q31" i="14"/>
  <c r="R55" i="21"/>
  <c r="R62" i="21" s="1"/>
  <c r="R52" i="21"/>
  <c r="U60" i="11"/>
  <c r="V50" i="11"/>
  <c r="AC30" i="21"/>
  <c r="AB43" i="19"/>
  <c r="AB43" i="14"/>
  <c r="R20" i="11"/>
  <c r="R10" i="11" s="1"/>
  <c r="R19" i="11"/>
  <c r="R37" i="11"/>
  <c r="R38" i="11" s="1"/>
  <c r="L35" i="19"/>
  <c r="L31" i="19"/>
  <c r="AO60" i="11"/>
  <c r="AP50" i="11"/>
  <c r="AP60" i="11" s="1"/>
  <c r="R68" i="14"/>
  <c r="R75" i="14" s="1"/>
  <c r="R65" i="14"/>
  <c r="Q9" i="11"/>
  <c r="Q11" i="11"/>
  <c r="T45" i="21"/>
  <c r="T45" i="16"/>
  <c r="T44" i="16" s="1"/>
  <c r="T45" i="11"/>
  <c r="T44" i="11" s="1"/>
  <c r="U25" i="1"/>
  <c r="T24" i="1"/>
  <c r="Q50" i="9"/>
  <c r="Q51" i="9" s="1"/>
  <c r="Q33" i="9"/>
  <c r="Q22" i="9" s="1"/>
  <c r="Q32" i="9"/>
  <c r="Q23" i="9" s="1"/>
  <c r="K65" i="14"/>
  <c r="K68" i="14"/>
  <c r="K75" i="14" s="1"/>
  <c r="L57" i="14"/>
  <c r="U60" i="21"/>
  <c r="V50" i="21"/>
  <c r="U63" i="19"/>
  <c r="U73" i="19" s="1"/>
  <c r="U63" i="14"/>
  <c r="U73" i="14" s="1"/>
  <c r="U63" i="9"/>
  <c r="U73" i="9" s="1"/>
  <c r="Q22" i="21"/>
  <c r="Q18" i="21"/>
  <c r="Q50" i="19"/>
  <c r="Q51" i="19" s="1"/>
  <c r="Q33" i="19"/>
  <c r="Q22" i="19" s="1"/>
  <c r="Q32" i="19"/>
  <c r="Q23" i="19" s="1"/>
  <c r="AL47" i="11"/>
  <c r="AK57" i="11"/>
  <c r="L44" i="21"/>
  <c r="K52" i="21"/>
  <c r="K55" i="21"/>
  <c r="K62" i="21" s="1"/>
  <c r="L18" i="11"/>
  <c r="L22" i="11"/>
  <c r="R10" i="1"/>
  <c r="R6" i="1"/>
  <c r="J80" i="21"/>
  <c r="J78" i="21"/>
  <c r="P14" i="21"/>
  <c r="P12" i="21" s="1"/>
  <c r="F80" i="11" l="1"/>
  <c r="F78" i="11"/>
  <c r="L14" i="11"/>
  <c r="L12" i="11" s="1"/>
  <c r="L55" i="21"/>
  <c r="L62" i="21" s="1"/>
  <c r="L52" i="21"/>
  <c r="V60" i="21"/>
  <c r="W50" i="21"/>
  <c r="V63" i="19"/>
  <c r="V73" i="19" s="1"/>
  <c r="V63" i="14"/>
  <c r="V73" i="14" s="1"/>
  <c r="V63" i="9"/>
  <c r="V73" i="9" s="1"/>
  <c r="R50" i="14"/>
  <c r="R51" i="14" s="1"/>
  <c r="R33" i="14"/>
  <c r="R22" i="14" s="1"/>
  <c r="R32" i="14"/>
  <c r="R23" i="14" s="1"/>
  <c r="V60" i="11"/>
  <c r="W50" i="11"/>
  <c r="W47" i="16"/>
  <c r="V57" i="16"/>
  <c r="R33" i="9"/>
  <c r="R22" i="9" s="1"/>
  <c r="R32" i="9"/>
  <c r="R23" i="9" s="1"/>
  <c r="R50" i="9"/>
  <c r="R51" i="9" s="1"/>
  <c r="U57" i="21"/>
  <c r="V47" i="21"/>
  <c r="U60" i="19"/>
  <c r="U70" i="19" s="1"/>
  <c r="U60" i="14"/>
  <c r="U70" i="14" s="1"/>
  <c r="U60" i="9"/>
  <c r="U70" i="9" s="1"/>
  <c r="Y59" i="21"/>
  <c r="Y62" i="19"/>
  <c r="Y72" i="19" s="1"/>
  <c r="Y62" i="14"/>
  <c r="Y72" i="14" s="1"/>
  <c r="Y62" i="9"/>
  <c r="Y72" i="9" s="1"/>
  <c r="Y46" i="21"/>
  <c r="Y46" i="16"/>
  <c r="Y56" i="16" s="1"/>
  <c r="Y46" i="11"/>
  <c r="Y56" i="11" s="1"/>
  <c r="Y33" i="1"/>
  <c r="Z26" i="1"/>
  <c r="X56" i="21"/>
  <c r="X59" i="19"/>
  <c r="X69" i="19" s="1"/>
  <c r="X59" i="14"/>
  <c r="X69" i="14" s="1"/>
  <c r="X59" i="9"/>
  <c r="X69" i="9" s="1"/>
  <c r="S22" i="16"/>
  <c r="S18" i="16"/>
  <c r="Q11" i="21"/>
  <c r="Q9" i="21"/>
  <c r="S22" i="11"/>
  <c r="S18" i="11"/>
  <c r="F77" i="11"/>
  <c r="F79" i="11"/>
  <c r="L26" i="11"/>
  <c r="L13" i="11"/>
  <c r="U45" i="21"/>
  <c r="U45" i="16"/>
  <c r="U44" i="16" s="1"/>
  <c r="U45" i="11"/>
  <c r="U44" i="11" s="1"/>
  <c r="U24" i="1"/>
  <c r="V25" i="1"/>
  <c r="R35" i="14"/>
  <c r="R31" i="14"/>
  <c r="F93" i="19"/>
  <c r="F91" i="19"/>
  <c r="L26" i="19"/>
  <c r="K93" i="14"/>
  <c r="K91" i="14"/>
  <c r="Q26" i="14"/>
  <c r="K93" i="9"/>
  <c r="K91" i="9"/>
  <c r="Q26" i="9"/>
  <c r="AO60" i="16"/>
  <c r="AP50" i="16"/>
  <c r="AP60" i="16" s="1"/>
  <c r="S65" i="19"/>
  <c r="S68" i="19"/>
  <c r="S75" i="19" s="1"/>
  <c r="R35" i="9"/>
  <c r="R31" i="9"/>
  <c r="L50" i="9"/>
  <c r="L51" i="9" s="1"/>
  <c r="L33" i="9"/>
  <c r="L22" i="9" s="1"/>
  <c r="L32" i="9"/>
  <c r="L23" i="9" s="1"/>
  <c r="Q15" i="21"/>
  <c r="Q28" i="19"/>
  <c r="Q16" i="19" s="1"/>
  <c r="Q7" i="19" s="1"/>
  <c r="Q8" i="19" s="1"/>
  <c r="Q9" i="19" s="1"/>
  <c r="Q10" i="19" s="1"/>
  <c r="Q15" i="16"/>
  <c r="Q28" i="14"/>
  <c r="Q16" i="14" s="1"/>
  <c r="Q7" i="14" s="1"/>
  <c r="Q8" i="14" s="1"/>
  <c r="Q9" i="14" s="1"/>
  <c r="Q10" i="14" s="1"/>
  <c r="Q15" i="11"/>
  <c r="Q28" i="9"/>
  <c r="Q16" i="9" s="1"/>
  <c r="Q7" i="9" s="1"/>
  <c r="Q8" i="9" s="1"/>
  <c r="Q9" i="9" s="1"/>
  <c r="Q10" i="9" s="1"/>
  <c r="U58" i="16"/>
  <c r="V48" i="16"/>
  <c r="L80" i="16"/>
  <c r="L78" i="16"/>
  <c r="R14" i="16"/>
  <c r="R12" i="16" s="1"/>
  <c r="L10" i="1"/>
  <c r="L6" i="1"/>
  <c r="K80" i="21"/>
  <c r="K78" i="21"/>
  <c r="Q14" i="21"/>
  <c r="Q12" i="21" s="1"/>
  <c r="T29" i="1"/>
  <c r="T32" i="1"/>
  <c r="T36" i="1" s="1"/>
  <c r="F90" i="19"/>
  <c r="F92" i="19"/>
  <c r="L25" i="19"/>
  <c r="L39" i="19"/>
  <c r="U58" i="21"/>
  <c r="V48" i="21"/>
  <c r="U61" i="19"/>
  <c r="U71" i="19" s="1"/>
  <c r="U61" i="14"/>
  <c r="U71" i="14" s="1"/>
  <c r="U61" i="9"/>
  <c r="U71" i="9" s="1"/>
  <c r="S65" i="14"/>
  <c r="S68" i="14"/>
  <c r="S75" i="14" s="1"/>
  <c r="L31" i="9"/>
  <c r="L35" i="9"/>
  <c r="Z49" i="21"/>
  <c r="Z49" i="16"/>
  <c r="Z59" i="16" s="1"/>
  <c r="Z49" i="11"/>
  <c r="Z59" i="11" s="1"/>
  <c r="Z34" i="1"/>
  <c r="AA27" i="1"/>
  <c r="K93" i="19"/>
  <c r="K91" i="19"/>
  <c r="Q26" i="19"/>
  <c r="AK57" i="16"/>
  <c r="AL47" i="16"/>
  <c r="L49" i="1"/>
  <c r="R37" i="21"/>
  <c r="R38" i="21" s="1"/>
  <c r="R20" i="21"/>
  <c r="R10" i="21" s="1"/>
  <c r="R19" i="21"/>
  <c r="AI61" i="21"/>
  <c r="AI64" i="19"/>
  <c r="AI74" i="19" s="1"/>
  <c r="AI64" i="14"/>
  <c r="AI74" i="14" s="1"/>
  <c r="AI64" i="9"/>
  <c r="AI74" i="9" s="1"/>
  <c r="Y8" i="21"/>
  <c r="Y20" i="19"/>
  <c r="Y8" i="16"/>
  <c r="Y20" i="14"/>
  <c r="Y8" i="11"/>
  <c r="Y20" i="9"/>
  <c r="Z11" i="1"/>
  <c r="V57" i="11"/>
  <c r="W47" i="11"/>
  <c r="L11" i="11"/>
  <c r="L9" i="11"/>
  <c r="S52" i="21"/>
  <c r="S55" i="21"/>
  <c r="S62" i="21" s="1"/>
  <c r="S8" i="1"/>
  <c r="S9" i="1" s="1"/>
  <c r="S17" i="1"/>
  <c r="S18" i="1" s="1"/>
  <c r="S7" i="1"/>
  <c r="L77" i="11"/>
  <c r="L79" i="11"/>
  <c r="R13" i="11"/>
  <c r="R26" i="11"/>
  <c r="L22" i="16"/>
  <c r="L18" i="16"/>
  <c r="R32" i="19"/>
  <c r="R23" i="19" s="1"/>
  <c r="R50" i="19"/>
  <c r="R51" i="19" s="1"/>
  <c r="R33" i="19"/>
  <c r="R22" i="19" s="1"/>
  <c r="L77" i="16"/>
  <c r="L79" i="16"/>
  <c r="R26" i="16"/>
  <c r="R13" i="16"/>
  <c r="L17" i="1"/>
  <c r="L18" i="1" s="1"/>
  <c r="L7" i="1"/>
  <c r="L8" i="1"/>
  <c r="T58" i="19"/>
  <c r="T57" i="19" s="1"/>
  <c r="T58" i="14"/>
  <c r="T57" i="14" s="1"/>
  <c r="T58" i="9"/>
  <c r="T57" i="9" s="1"/>
  <c r="T44" i="21"/>
  <c r="K90" i="14"/>
  <c r="K92" i="14"/>
  <c r="Q25" i="14"/>
  <c r="Q39" i="14"/>
  <c r="K90" i="9"/>
  <c r="K92" i="9"/>
  <c r="Q25" i="9"/>
  <c r="Q39" i="9"/>
  <c r="L68" i="14"/>
  <c r="L75" i="14" s="1"/>
  <c r="L65" i="14"/>
  <c r="T55" i="11"/>
  <c r="T62" i="11" s="1"/>
  <c r="T52" i="11"/>
  <c r="P24" i="19"/>
  <c r="P27" i="19" s="1"/>
  <c r="P15" i="19" s="1"/>
  <c r="P24" i="14"/>
  <c r="P27" i="14" s="1"/>
  <c r="P15" i="14" s="1"/>
  <c r="P24" i="9"/>
  <c r="P27" i="9" s="1"/>
  <c r="P15" i="9" s="1"/>
  <c r="L50" i="1"/>
  <c r="L48" i="1"/>
  <c r="AL57" i="11"/>
  <c r="AM47" i="11"/>
  <c r="K79" i="21"/>
  <c r="K77" i="21"/>
  <c r="Q13" i="21"/>
  <c r="Q26" i="21"/>
  <c r="T52" i="16"/>
  <c r="T55" i="16"/>
  <c r="T62" i="16" s="1"/>
  <c r="R9" i="11"/>
  <c r="R11" i="11"/>
  <c r="AD30" i="21"/>
  <c r="AC43" i="19"/>
  <c r="AC43" i="14"/>
  <c r="R22" i="21"/>
  <c r="R18" i="21"/>
  <c r="AJ51" i="21"/>
  <c r="AJ51" i="16"/>
  <c r="AJ61" i="16" s="1"/>
  <c r="AJ51" i="11"/>
  <c r="AJ61" i="11" s="1"/>
  <c r="AJ35" i="1"/>
  <c r="AK28" i="1"/>
  <c r="R9" i="1"/>
  <c r="R14" i="1" s="1"/>
  <c r="R11" i="16"/>
  <c r="R9" i="16"/>
  <c r="V58" i="11"/>
  <c r="W48" i="11"/>
  <c r="AK57" i="21"/>
  <c r="AL47" i="21"/>
  <c r="AK60" i="19"/>
  <c r="AK70" i="19" s="1"/>
  <c r="AK60" i="14"/>
  <c r="AK70" i="14" s="1"/>
  <c r="AK60" i="9"/>
  <c r="AK70" i="9" s="1"/>
  <c r="S68" i="9"/>
  <c r="S75" i="9" s="1"/>
  <c r="S65" i="9"/>
  <c r="S6" i="1"/>
  <c r="S10" i="1"/>
  <c r="L80" i="11"/>
  <c r="L78" i="11"/>
  <c r="R14" i="11"/>
  <c r="R12" i="11" s="1"/>
  <c r="L20" i="16"/>
  <c r="L10" i="16" s="1"/>
  <c r="L37" i="16"/>
  <c r="L38" i="16" s="1"/>
  <c r="L19" i="16"/>
  <c r="K90" i="19"/>
  <c r="K92" i="19"/>
  <c r="Q39" i="19"/>
  <c r="Q25" i="19"/>
  <c r="R35" i="19"/>
  <c r="R31" i="19"/>
  <c r="U60" i="16"/>
  <c r="V50" i="16"/>
  <c r="S20" i="16"/>
  <c r="S10" i="16" s="1"/>
  <c r="S37" i="16"/>
  <c r="S38" i="16" s="1"/>
  <c r="S19" i="16"/>
  <c r="S19" i="11"/>
  <c r="S37" i="11"/>
  <c r="S38" i="11" s="1"/>
  <c r="S20" i="11"/>
  <c r="S10" i="11" s="1"/>
  <c r="R15" i="21" l="1"/>
  <c r="R28" i="19"/>
  <c r="R16" i="19" s="1"/>
  <c r="R7" i="19" s="1"/>
  <c r="R8" i="19" s="1"/>
  <c r="R9" i="19" s="1"/>
  <c r="R10" i="19" s="1"/>
  <c r="R15" i="16"/>
  <c r="R28" i="14"/>
  <c r="R16" i="14" s="1"/>
  <c r="R7" i="14" s="1"/>
  <c r="R8" i="14" s="1"/>
  <c r="R9" i="14" s="1"/>
  <c r="R10" i="14" s="1"/>
  <c r="R15" i="11"/>
  <c r="R28" i="9"/>
  <c r="R16" i="9" s="1"/>
  <c r="R7" i="9" s="1"/>
  <c r="R8" i="9" s="1"/>
  <c r="R9" i="9" s="1"/>
  <c r="R10" i="9" s="1"/>
  <c r="L80" i="21"/>
  <c r="L78" i="21"/>
  <c r="R14" i="21"/>
  <c r="R12" i="21" s="1"/>
  <c r="V45" i="21"/>
  <c r="V45" i="16"/>
  <c r="V44" i="16" s="1"/>
  <c r="V45" i="11"/>
  <c r="V44" i="11" s="1"/>
  <c r="W25" i="1"/>
  <c r="V24" i="1"/>
  <c r="U58" i="19"/>
  <c r="U57" i="19" s="1"/>
  <c r="U58" i="14"/>
  <c r="U57" i="14" s="1"/>
  <c r="U58" i="9"/>
  <c r="U57" i="9" s="1"/>
  <c r="U44" i="21"/>
  <c r="Z46" i="21"/>
  <c r="Z46" i="16"/>
  <c r="Z56" i="16" s="1"/>
  <c r="Z46" i="11"/>
  <c r="Z56" i="11" s="1"/>
  <c r="Z33" i="1"/>
  <c r="AA26" i="1"/>
  <c r="Y56" i="21"/>
  <c r="Y59" i="19"/>
  <c r="Y69" i="19" s="1"/>
  <c r="Y59" i="14"/>
  <c r="Y69" i="14" s="1"/>
  <c r="Y59" i="9"/>
  <c r="Y69" i="9" s="1"/>
  <c r="V57" i="21"/>
  <c r="W47" i="21"/>
  <c r="V60" i="19"/>
  <c r="V70" i="19" s="1"/>
  <c r="V60" i="14"/>
  <c r="V70" i="14" s="1"/>
  <c r="V60" i="9"/>
  <c r="V70" i="9" s="1"/>
  <c r="AL57" i="21"/>
  <c r="AM47" i="21"/>
  <c r="AL60" i="19"/>
  <c r="AL70" i="19" s="1"/>
  <c r="AL60" i="14"/>
  <c r="AL70" i="14" s="1"/>
  <c r="AL60" i="9"/>
  <c r="AL70" i="9" s="1"/>
  <c r="AM57" i="11"/>
  <c r="AN47" i="11"/>
  <c r="S31" i="19"/>
  <c r="S35" i="19"/>
  <c r="L93" i="19"/>
  <c r="L91" i="19"/>
  <c r="R26" i="19"/>
  <c r="M50" i="1"/>
  <c r="M48" i="1"/>
  <c r="L50" i="14"/>
  <c r="L51" i="14" s="1"/>
  <c r="L33" i="14"/>
  <c r="L22" i="14" s="1"/>
  <c r="L32" i="14"/>
  <c r="L23" i="14" s="1"/>
  <c r="T68" i="14"/>
  <c r="T75" i="14" s="1"/>
  <c r="T65" i="14"/>
  <c r="F77" i="16"/>
  <c r="F79" i="16"/>
  <c r="L13" i="16"/>
  <c r="L26" i="16"/>
  <c r="L47" i="1"/>
  <c r="F92" i="9"/>
  <c r="F90" i="9"/>
  <c r="L39" i="9"/>
  <c r="L25" i="9"/>
  <c r="T10" i="1"/>
  <c r="T6" i="1"/>
  <c r="S50" i="19"/>
  <c r="S51" i="19" s="1"/>
  <c r="S33" i="19"/>
  <c r="S22" i="19" s="1"/>
  <c r="S32" i="19"/>
  <c r="S23" i="19" s="1"/>
  <c r="U32" i="1"/>
  <c r="U36" i="1" s="1"/>
  <c r="U29" i="1"/>
  <c r="L37" i="21"/>
  <c r="L38" i="21" s="1"/>
  <c r="L20" i="21"/>
  <c r="L10" i="21" s="1"/>
  <c r="L19" i="21"/>
  <c r="T18" i="11"/>
  <c r="T22" i="11"/>
  <c r="S11" i="11"/>
  <c r="S9" i="11"/>
  <c r="W58" i="11"/>
  <c r="X48" i="11"/>
  <c r="AJ61" i="21"/>
  <c r="AJ64" i="19"/>
  <c r="AJ74" i="19" s="1"/>
  <c r="AJ64" i="14"/>
  <c r="AJ74" i="14" s="1"/>
  <c r="AJ64" i="9"/>
  <c r="AJ74" i="9" s="1"/>
  <c r="L31" i="14"/>
  <c r="L35" i="14"/>
  <c r="T68" i="19"/>
  <c r="T75" i="19" s="1"/>
  <c r="T65" i="19"/>
  <c r="F80" i="16"/>
  <c r="F78" i="16"/>
  <c r="L14" i="16"/>
  <c r="L12" i="16" s="1"/>
  <c r="S22" i="21"/>
  <c r="S18" i="21"/>
  <c r="W57" i="11"/>
  <c r="X47" i="11"/>
  <c r="AL57" i="16"/>
  <c r="AM47" i="16"/>
  <c r="S35" i="14"/>
  <c r="S31" i="14"/>
  <c r="T17" i="1"/>
  <c r="T18" i="1" s="1"/>
  <c r="T7" i="1"/>
  <c r="T8" i="1"/>
  <c r="T9" i="1" s="1"/>
  <c r="L90" i="9"/>
  <c r="L92" i="9"/>
  <c r="R39" i="9"/>
  <c r="R25" i="9"/>
  <c r="L92" i="14"/>
  <c r="L90" i="14"/>
  <c r="R39" i="14"/>
  <c r="R25" i="14"/>
  <c r="U55" i="11"/>
  <c r="U62" i="11" s="1"/>
  <c r="U52" i="11"/>
  <c r="M79" i="11"/>
  <c r="M77" i="11"/>
  <c r="S26" i="11"/>
  <c r="S13" i="11"/>
  <c r="M77" i="16"/>
  <c r="M79" i="16"/>
  <c r="S13" i="16"/>
  <c r="S26" i="16"/>
  <c r="W57" i="16"/>
  <c r="X47" i="16"/>
  <c r="L18" i="21"/>
  <c r="L22" i="21"/>
  <c r="L92" i="19"/>
  <c r="L90" i="19"/>
  <c r="R39" i="19"/>
  <c r="R25" i="19"/>
  <c r="S35" i="9"/>
  <c r="S31" i="9"/>
  <c r="T65" i="9"/>
  <c r="T68" i="9"/>
  <c r="T75" i="9" s="1"/>
  <c r="Z8" i="21"/>
  <c r="Z20" i="19"/>
  <c r="Z8" i="16"/>
  <c r="Z20" i="14"/>
  <c r="Z8" i="11"/>
  <c r="Z20" i="9"/>
  <c r="AA11" i="1"/>
  <c r="F93" i="9"/>
  <c r="F91" i="9"/>
  <c r="L26" i="9"/>
  <c r="V60" i="16"/>
  <c r="W50" i="16"/>
  <c r="L9" i="16"/>
  <c r="L11" i="16"/>
  <c r="M47" i="1"/>
  <c r="M49" i="1"/>
  <c r="S14" i="1"/>
  <c r="AK51" i="21"/>
  <c r="AK51" i="16"/>
  <c r="AK61" i="16" s="1"/>
  <c r="AK51" i="11"/>
  <c r="AK61" i="11" s="1"/>
  <c r="AK35" i="1"/>
  <c r="AL28" i="1"/>
  <c r="T22" i="16"/>
  <c r="T18" i="16"/>
  <c r="S9" i="16"/>
  <c r="S11" i="16"/>
  <c r="S32" i="9"/>
  <c r="S23" i="9" s="1"/>
  <c r="S50" i="9"/>
  <c r="S51" i="9" s="1"/>
  <c r="S33" i="9"/>
  <c r="S22" i="9" s="1"/>
  <c r="L79" i="21"/>
  <c r="L77" i="21"/>
  <c r="R13" i="21"/>
  <c r="R26" i="21"/>
  <c r="AE30" i="21"/>
  <c r="AD43" i="19"/>
  <c r="AD43" i="14"/>
  <c r="T20" i="16"/>
  <c r="T10" i="16" s="1"/>
  <c r="T37" i="16"/>
  <c r="T38" i="16" s="1"/>
  <c r="T19" i="16"/>
  <c r="T37" i="11"/>
  <c r="T38" i="11" s="1"/>
  <c r="T20" i="11"/>
  <c r="T10" i="11" s="1"/>
  <c r="T19" i="11"/>
  <c r="T55" i="21"/>
  <c r="T62" i="21" s="1"/>
  <c r="T52" i="21"/>
  <c r="L9" i="1"/>
  <c r="L14" i="1" s="1"/>
  <c r="S37" i="21"/>
  <c r="S38" i="21" s="1"/>
  <c r="S19" i="21"/>
  <c r="S20" i="21"/>
  <c r="S10" i="21" s="1"/>
  <c r="R11" i="21"/>
  <c r="R9" i="21"/>
  <c r="AA49" i="21"/>
  <c r="AA49" i="16"/>
  <c r="AA59" i="16" s="1"/>
  <c r="AA49" i="11"/>
  <c r="AA59" i="11" s="1"/>
  <c r="AA34" i="1"/>
  <c r="AB27" i="1"/>
  <c r="Z59" i="21"/>
  <c r="Z62" i="19"/>
  <c r="Z72" i="19" s="1"/>
  <c r="Z62" i="14"/>
  <c r="Z72" i="14" s="1"/>
  <c r="Z62" i="9"/>
  <c r="Z72" i="9" s="1"/>
  <c r="S32" i="14"/>
  <c r="S23" i="14" s="1"/>
  <c r="S50" i="14"/>
  <c r="S51" i="14" s="1"/>
  <c r="S33" i="14"/>
  <c r="S22" i="14" s="1"/>
  <c r="V58" i="21"/>
  <c r="W48" i="21"/>
  <c r="V61" i="19"/>
  <c r="V71" i="19" s="1"/>
  <c r="V61" i="14"/>
  <c r="V71" i="14" s="1"/>
  <c r="V61" i="9"/>
  <c r="V71" i="9" s="1"/>
  <c r="Q24" i="19"/>
  <c r="Q27" i="19" s="1"/>
  <c r="Q15" i="19" s="1"/>
  <c r="Q24" i="14"/>
  <c r="Q27" i="14" s="1"/>
  <c r="Q15" i="14" s="1"/>
  <c r="Q24" i="9"/>
  <c r="Q27" i="9" s="1"/>
  <c r="Q15" i="9" s="1"/>
  <c r="F50" i="1"/>
  <c r="F48" i="1"/>
  <c r="V58" i="16"/>
  <c r="W48" i="16"/>
  <c r="L93" i="9"/>
  <c r="L91" i="9"/>
  <c r="R26" i="9"/>
  <c r="L93" i="14"/>
  <c r="L91" i="14"/>
  <c r="R26" i="14"/>
  <c r="U55" i="16"/>
  <c r="U62" i="16" s="1"/>
  <c r="U52" i="16"/>
  <c r="M80" i="11"/>
  <c r="M78" i="11"/>
  <c r="S14" i="11"/>
  <c r="S12" i="11" s="1"/>
  <c r="M80" i="16"/>
  <c r="M78" i="16"/>
  <c r="S14" i="16"/>
  <c r="S12" i="16" s="1"/>
  <c r="W60" i="11"/>
  <c r="X50" i="11"/>
  <c r="W60" i="21"/>
  <c r="X50" i="21"/>
  <c r="W63" i="19"/>
  <c r="W73" i="19" s="1"/>
  <c r="W63" i="14"/>
  <c r="W73" i="14" s="1"/>
  <c r="W63" i="9"/>
  <c r="W73" i="9" s="1"/>
  <c r="L15" i="21" l="1"/>
  <c r="L28" i="19"/>
  <c r="L16" i="19" s="1"/>
  <c r="L7" i="19" s="1"/>
  <c r="L8" i="19" s="1"/>
  <c r="L9" i="19" s="1"/>
  <c r="L10" i="19" s="1"/>
  <c r="L15" i="16"/>
  <c r="L28" i="14"/>
  <c r="L16" i="14" s="1"/>
  <c r="L7" i="14" s="1"/>
  <c r="L8" i="14" s="1"/>
  <c r="L9" i="14" s="1"/>
  <c r="L10" i="14" s="1"/>
  <c r="L15" i="11"/>
  <c r="L28" i="9"/>
  <c r="L16" i="9" s="1"/>
  <c r="L7" i="9" s="1"/>
  <c r="L8" i="9" s="1"/>
  <c r="L9" i="9" s="1"/>
  <c r="L10" i="9" s="1"/>
  <c r="U22" i="16"/>
  <c r="U18" i="16"/>
  <c r="AF30" i="21"/>
  <c r="AE43" i="19"/>
  <c r="AE43" i="14"/>
  <c r="S15" i="21"/>
  <c r="S28" i="19"/>
  <c r="S16" i="19" s="1"/>
  <c r="S7" i="19" s="1"/>
  <c r="S8" i="19" s="1"/>
  <c r="S9" i="19" s="1"/>
  <c r="S10" i="19" s="1"/>
  <c r="S15" i="16"/>
  <c r="S28" i="14"/>
  <c r="S16" i="14" s="1"/>
  <c r="S7" i="14" s="1"/>
  <c r="S8" i="14" s="1"/>
  <c r="S9" i="14" s="1"/>
  <c r="S10" i="14" s="1"/>
  <c r="S15" i="11"/>
  <c r="S28" i="9"/>
  <c r="S16" i="9" s="1"/>
  <c r="S7" i="9" s="1"/>
  <c r="S8" i="9" s="1"/>
  <c r="S9" i="9" s="1"/>
  <c r="S10" i="9" s="1"/>
  <c r="AB49" i="21"/>
  <c r="AB49" i="16"/>
  <c r="AB59" i="16" s="1"/>
  <c r="AB49" i="11"/>
  <c r="AB59" i="11" s="1"/>
  <c r="AB34" i="1"/>
  <c r="AC27" i="1"/>
  <c r="AA59" i="21"/>
  <c r="AA62" i="19"/>
  <c r="AA72" i="19" s="1"/>
  <c r="AA62" i="14"/>
  <c r="AA72" i="14" s="1"/>
  <c r="AA62" i="9"/>
  <c r="AA72" i="9" s="1"/>
  <c r="T37" i="21"/>
  <c r="T38" i="21" s="1"/>
  <c r="T20" i="21"/>
  <c r="T10" i="21" s="1"/>
  <c r="T19" i="21"/>
  <c r="N77" i="16"/>
  <c r="N79" i="16"/>
  <c r="T13" i="16"/>
  <c r="T26" i="16"/>
  <c r="W60" i="16"/>
  <c r="X50" i="16"/>
  <c r="T31" i="9"/>
  <c r="T35" i="9"/>
  <c r="F80" i="21"/>
  <c r="F78" i="21"/>
  <c r="L14" i="21"/>
  <c r="L12" i="21" s="1"/>
  <c r="F49" i="1"/>
  <c r="M80" i="21"/>
  <c r="M78" i="21"/>
  <c r="S14" i="21"/>
  <c r="S12" i="21" s="1"/>
  <c r="F90" i="14"/>
  <c r="F92" i="14"/>
  <c r="L39" i="14"/>
  <c r="L25" i="14"/>
  <c r="N50" i="1"/>
  <c r="N48" i="1"/>
  <c r="T50" i="14"/>
  <c r="T51" i="14" s="1"/>
  <c r="T33" i="14"/>
  <c r="T22" i="14" s="1"/>
  <c r="T32" i="14"/>
  <c r="T23" i="14" s="1"/>
  <c r="AN57" i="11"/>
  <c r="AO47" i="11"/>
  <c r="U68" i="14"/>
  <c r="U75" i="14" s="1"/>
  <c r="U65" i="14"/>
  <c r="V52" i="11"/>
  <c r="V55" i="11"/>
  <c r="V62" i="11" s="1"/>
  <c r="R24" i="19"/>
  <c r="R27" i="19" s="1"/>
  <c r="R15" i="19" s="1"/>
  <c r="R24" i="14"/>
  <c r="R27" i="14" s="1"/>
  <c r="R15" i="14" s="1"/>
  <c r="R24" i="9"/>
  <c r="R27" i="9" s="1"/>
  <c r="R15" i="9" s="1"/>
  <c r="AL51" i="21"/>
  <c r="AL51" i="16"/>
  <c r="AL61" i="16" s="1"/>
  <c r="AL51" i="11"/>
  <c r="AL61" i="11" s="1"/>
  <c r="AL35" i="1"/>
  <c r="AM28" i="1"/>
  <c r="W58" i="21"/>
  <c r="X48" i="21"/>
  <c r="W61" i="19"/>
  <c r="W71" i="19" s="1"/>
  <c r="W61" i="14"/>
  <c r="W71" i="14" s="1"/>
  <c r="W61" i="9"/>
  <c r="W71" i="9" s="1"/>
  <c r="X60" i="11"/>
  <c r="Y50" i="11"/>
  <c r="U37" i="16"/>
  <c r="U38" i="16" s="1"/>
  <c r="U19" i="16"/>
  <c r="U20" i="16"/>
  <c r="U10" i="16" s="1"/>
  <c r="W58" i="16"/>
  <c r="X48" i="16"/>
  <c r="S9" i="21"/>
  <c r="S11" i="21"/>
  <c r="T18" i="21"/>
  <c r="T22" i="21"/>
  <c r="T9" i="16"/>
  <c r="T11" i="16"/>
  <c r="N80" i="16"/>
  <c r="N78" i="16"/>
  <c r="T14" i="16"/>
  <c r="T12" i="16" s="1"/>
  <c r="AA8" i="21"/>
  <c r="AA20" i="19"/>
  <c r="AA8" i="16"/>
  <c r="AA20" i="14"/>
  <c r="AA8" i="11"/>
  <c r="AA20" i="9"/>
  <c r="AB11" i="1"/>
  <c r="T50" i="9"/>
  <c r="T51" i="9" s="1"/>
  <c r="T33" i="9"/>
  <c r="T22" i="9" s="1"/>
  <c r="T32" i="9"/>
  <c r="T23" i="9" s="1"/>
  <c r="F77" i="21"/>
  <c r="F79" i="21"/>
  <c r="L26" i="21"/>
  <c r="L13" i="21"/>
  <c r="U37" i="11"/>
  <c r="U38" i="11" s="1"/>
  <c r="U20" i="11"/>
  <c r="U10" i="11" s="1"/>
  <c r="U19" i="11"/>
  <c r="F47" i="1"/>
  <c r="M90" i="14"/>
  <c r="M92" i="14"/>
  <c r="S39" i="14"/>
  <c r="S25" i="14"/>
  <c r="X57" i="11"/>
  <c r="Y47" i="11"/>
  <c r="Y57" i="11" s="1"/>
  <c r="T50" i="19"/>
  <c r="T51" i="19" s="1"/>
  <c r="T33" i="19"/>
  <c r="T22" i="19" s="1"/>
  <c r="T32" i="19"/>
  <c r="T23" i="19" s="1"/>
  <c r="X58" i="11"/>
  <c r="Y48" i="11"/>
  <c r="N80" i="11"/>
  <c r="N78" i="11"/>
  <c r="T14" i="11"/>
  <c r="T12" i="11" s="1"/>
  <c r="T31" i="14"/>
  <c r="T35" i="14"/>
  <c r="AM57" i="21"/>
  <c r="AN47" i="21"/>
  <c r="AM60" i="19"/>
  <c r="AM70" i="19" s="1"/>
  <c r="AM60" i="14"/>
  <c r="AM70" i="14" s="1"/>
  <c r="AM60" i="9"/>
  <c r="AM70" i="9" s="1"/>
  <c r="AA46" i="21"/>
  <c r="AA46" i="16"/>
  <c r="AA56" i="16" s="1"/>
  <c r="AA46" i="11"/>
  <c r="AA56" i="11" s="1"/>
  <c r="AB26" i="1"/>
  <c r="AA33" i="1"/>
  <c r="Z56" i="21"/>
  <c r="Z59" i="19"/>
  <c r="Z69" i="19" s="1"/>
  <c r="Z59" i="14"/>
  <c r="Z69" i="14" s="1"/>
  <c r="Z59" i="9"/>
  <c r="Z69" i="9" s="1"/>
  <c r="U68" i="19"/>
  <c r="U75" i="19" s="1"/>
  <c r="U65" i="19"/>
  <c r="V52" i="16"/>
  <c r="V55" i="16"/>
  <c r="V62" i="16" s="1"/>
  <c r="AK61" i="21"/>
  <c r="AK64" i="19"/>
  <c r="AK74" i="19" s="1"/>
  <c r="AK64" i="14"/>
  <c r="AK74" i="14" s="1"/>
  <c r="AK64" i="9"/>
  <c r="AK74" i="9" s="1"/>
  <c r="M90" i="9"/>
  <c r="M92" i="9"/>
  <c r="S39" i="9"/>
  <c r="S25" i="9"/>
  <c r="U22" i="11"/>
  <c r="U18" i="11"/>
  <c r="M93" i="14"/>
  <c r="M91" i="14"/>
  <c r="S26" i="14"/>
  <c r="T35" i="19"/>
  <c r="T31" i="19"/>
  <c r="N77" i="11"/>
  <c r="N79" i="11"/>
  <c r="T26" i="11"/>
  <c r="T13" i="11"/>
  <c r="U17" i="1"/>
  <c r="U18" i="1" s="1"/>
  <c r="U7" i="1"/>
  <c r="U8" i="1"/>
  <c r="M93" i="19"/>
  <c r="M91" i="19"/>
  <c r="S26" i="19"/>
  <c r="U52" i="21"/>
  <c r="U55" i="21"/>
  <c r="U62" i="21" s="1"/>
  <c r="V29" i="1"/>
  <c r="V32" i="1"/>
  <c r="V36" i="1" s="1"/>
  <c r="V58" i="19"/>
  <c r="V57" i="19" s="1"/>
  <c r="V58" i="14"/>
  <c r="V57" i="14" s="1"/>
  <c r="V58" i="9"/>
  <c r="V57" i="9" s="1"/>
  <c r="V44" i="21"/>
  <c r="T11" i="11"/>
  <c r="T9" i="11"/>
  <c r="Y50" i="21"/>
  <c r="X60" i="21"/>
  <c r="X63" i="19"/>
  <c r="X73" i="19" s="1"/>
  <c r="X63" i="14"/>
  <c r="X73" i="14" s="1"/>
  <c r="X63" i="9"/>
  <c r="X73" i="9" s="1"/>
  <c r="M93" i="9"/>
  <c r="M91" i="9"/>
  <c r="S26" i="9"/>
  <c r="X57" i="16"/>
  <c r="Y47" i="16"/>
  <c r="Y57" i="16" s="1"/>
  <c r="AM57" i="16"/>
  <c r="AN47" i="16"/>
  <c r="M77" i="21"/>
  <c r="M79" i="21"/>
  <c r="S26" i="21"/>
  <c r="S13" i="21"/>
  <c r="F93" i="14"/>
  <c r="F91" i="14"/>
  <c r="L26" i="14"/>
  <c r="L9" i="21"/>
  <c r="L11" i="21"/>
  <c r="U10" i="1"/>
  <c r="U6" i="1"/>
  <c r="N47" i="1"/>
  <c r="N49" i="1"/>
  <c r="T14" i="1"/>
  <c r="M90" i="19"/>
  <c r="M92" i="19"/>
  <c r="S39" i="19"/>
  <c r="S25" i="19"/>
  <c r="X47" i="21"/>
  <c r="W57" i="21"/>
  <c r="W60" i="19"/>
  <c r="W70" i="19" s="1"/>
  <c r="W60" i="14"/>
  <c r="W70" i="14" s="1"/>
  <c r="W60" i="9"/>
  <c r="W70" i="9" s="1"/>
  <c r="U68" i="9"/>
  <c r="U75" i="9" s="1"/>
  <c r="U65" i="9"/>
  <c r="W45" i="21"/>
  <c r="W45" i="16"/>
  <c r="W44" i="16" s="1"/>
  <c r="W45" i="11"/>
  <c r="W44" i="11" s="1"/>
  <c r="X25" i="1"/>
  <c r="W24" i="1"/>
  <c r="U50" i="9" l="1"/>
  <c r="U51" i="9" s="1"/>
  <c r="U33" i="9"/>
  <c r="U22" i="9" s="1"/>
  <c r="U32" i="9"/>
  <c r="U23" i="9" s="1"/>
  <c r="T15" i="21"/>
  <c r="T28" i="19"/>
  <c r="T16" i="19" s="1"/>
  <c r="T7" i="19" s="1"/>
  <c r="T8" i="19" s="1"/>
  <c r="T9" i="19" s="1"/>
  <c r="T10" i="19" s="1"/>
  <c r="T15" i="16"/>
  <c r="T28" i="14"/>
  <c r="T16" i="14" s="1"/>
  <c r="T7" i="14" s="1"/>
  <c r="T8" i="14" s="1"/>
  <c r="T9" i="14" s="1"/>
  <c r="T10" i="14" s="1"/>
  <c r="T15" i="11"/>
  <c r="T28" i="9"/>
  <c r="T16" i="9" s="1"/>
  <c r="T7" i="9" s="1"/>
  <c r="T8" i="9" s="1"/>
  <c r="T9" i="9" s="1"/>
  <c r="T10" i="9" s="1"/>
  <c r="U35" i="9"/>
  <c r="U31" i="9"/>
  <c r="Y60" i="21"/>
  <c r="Z50" i="21"/>
  <c r="Y63" i="19"/>
  <c r="Y73" i="19" s="1"/>
  <c r="Y63" i="14"/>
  <c r="Y73" i="14" s="1"/>
  <c r="Y63" i="9"/>
  <c r="Y73" i="9" s="1"/>
  <c r="V7" i="1"/>
  <c r="V8" i="1"/>
  <c r="V9" i="1" s="1"/>
  <c r="V17" i="1"/>
  <c r="V18" i="1" s="1"/>
  <c r="AN57" i="16"/>
  <c r="AO47" i="16"/>
  <c r="V68" i="14"/>
  <c r="V75" i="14" s="1"/>
  <c r="V65" i="14"/>
  <c r="U22" i="21"/>
  <c r="U18" i="21"/>
  <c r="N90" i="19"/>
  <c r="N92" i="19"/>
  <c r="T25" i="19"/>
  <c r="T39" i="19"/>
  <c r="U35" i="19"/>
  <c r="U31" i="19"/>
  <c r="N90" i="14"/>
  <c r="N92" i="14"/>
  <c r="T39" i="14"/>
  <c r="T25" i="14"/>
  <c r="N77" i="21"/>
  <c r="N79" i="21"/>
  <c r="T26" i="21"/>
  <c r="T13" i="21"/>
  <c r="X58" i="16"/>
  <c r="Y48" i="16"/>
  <c r="U35" i="14"/>
  <c r="U31" i="14"/>
  <c r="S24" i="19"/>
  <c r="S27" i="19" s="1"/>
  <c r="S15" i="19" s="1"/>
  <c r="S24" i="14"/>
  <c r="S27" i="14" s="1"/>
  <c r="S15" i="14" s="1"/>
  <c r="S24" i="9"/>
  <c r="S27" i="9" s="1"/>
  <c r="S15" i="9" s="1"/>
  <c r="L24" i="19"/>
  <c r="L27" i="19" s="1"/>
  <c r="L15" i="19" s="1"/>
  <c r="L24" i="14"/>
  <c r="L27" i="14" s="1"/>
  <c r="L15" i="14" s="1"/>
  <c r="L24" i="9"/>
  <c r="L27" i="9" s="1"/>
  <c r="L15" i="9" s="1"/>
  <c r="N92" i="9"/>
  <c r="N90" i="9"/>
  <c r="T39" i="9"/>
  <c r="T25" i="9"/>
  <c r="T9" i="21"/>
  <c r="T11" i="21"/>
  <c r="AG30" i="21"/>
  <c r="AF43" i="19"/>
  <c r="AF43" i="14"/>
  <c r="X45" i="21"/>
  <c r="X45" i="16"/>
  <c r="X44" i="16" s="1"/>
  <c r="X45" i="11"/>
  <c r="X44" i="11" s="1"/>
  <c r="Y25" i="1"/>
  <c r="X24" i="1"/>
  <c r="W55" i="11"/>
  <c r="W62" i="11" s="1"/>
  <c r="W52" i="11"/>
  <c r="V68" i="9"/>
  <c r="V75" i="9" s="1"/>
  <c r="V65" i="9"/>
  <c r="U50" i="19"/>
  <c r="U51" i="19" s="1"/>
  <c r="U33" i="19"/>
  <c r="U22" i="19" s="1"/>
  <c r="U32" i="19"/>
  <c r="U23" i="19" s="1"/>
  <c r="W55" i="16"/>
  <c r="W62" i="16" s="1"/>
  <c r="W52" i="16"/>
  <c r="X57" i="21"/>
  <c r="Y47" i="21"/>
  <c r="X60" i="19"/>
  <c r="X70" i="19" s="1"/>
  <c r="X60" i="14"/>
  <c r="X70" i="14" s="1"/>
  <c r="X60" i="9"/>
  <c r="X70" i="9" s="1"/>
  <c r="W29" i="1"/>
  <c r="W32" i="1"/>
  <c r="W36" i="1" s="1"/>
  <c r="W58" i="19"/>
  <c r="W57" i="19" s="1"/>
  <c r="W58" i="14"/>
  <c r="W57" i="14" s="1"/>
  <c r="W58" i="9"/>
  <c r="W57" i="9" s="1"/>
  <c r="W44" i="21"/>
  <c r="U14" i="1"/>
  <c r="V68" i="19"/>
  <c r="V75" i="19" s="1"/>
  <c r="V65" i="19"/>
  <c r="U37" i="21"/>
  <c r="U38" i="21" s="1"/>
  <c r="U20" i="21"/>
  <c r="U10" i="21" s="1"/>
  <c r="U19" i="21"/>
  <c r="U9" i="1"/>
  <c r="O49" i="1" s="1"/>
  <c r="N93" i="19"/>
  <c r="N91" i="19"/>
  <c r="T26" i="19"/>
  <c r="O77" i="11"/>
  <c r="O79" i="11"/>
  <c r="U13" i="11"/>
  <c r="U26" i="11"/>
  <c r="V18" i="16"/>
  <c r="V22" i="16"/>
  <c r="AA56" i="21"/>
  <c r="AA59" i="19"/>
  <c r="AA69" i="19" s="1"/>
  <c r="AA59" i="14"/>
  <c r="AA69" i="14" s="1"/>
  <c r="AA59" i="9"/>
  <c r="AA69" i="9" s="1"/>
  <c r="AN57" i="21"/>
  <c r="AO47" i="21"/>
  <c r="AN60" i="19"/>
  <c r="AN70" i="19" s="1"/>
  <c r="AN60" i="14"/>
  <c r="AN70" i="14" s="1"/>
  <c r="AN60" i="9"/>
  <c r="AN70" i="9" s="1"/>
  <c r="Y58" i="11"/>
  <c r="Z48" i="11"/>
  <c r="U9" i="11"/>
  <c r="U11" i="11"/>
  <c r="Y60" i="11"/>
  <c r="Z50" i="11"/>
  <c r="AM51" i="21"/>
  <c r="AM51" i="16"/>
  <c r="AM61" i="16" s="1"/>
  <c r="AM51" i="11"/>
  <c r="AM61" i="11" s="1"/>
  <c r="AM35" i="1"/>
  <c r="AN28" i="1"/>
  <c r="AL61" i="21"/>
  <c r="AL64" i="19"/>
  <c r="AL74" i="19" s="1"/>
  <c r="AL64" i="14"/>
  <c r="AL74" i="14" s="1"/>
  <c r="AL64" i="9"/>
  <c r="AL74" i="9" s="1"/>
  <c r="V22" i="11"/>
  <c r="V18" i="11"/>
  <c r="AP47" i="11"/>
  <c r="AP57" i="11" s="1"/>
  <c r="AO57" i="11"/>
  <c r="O79" i="16"/>
  <c r="O77" i="16"/>
  <c r="U26" i="16"/>
  <c r="U13" i="16"/>
  <c r="O50" i="1"/>
  <c r="O48" i="1"/>
  <c r="V52" i="21"/>
  <c r="V55" i="21"/>
  <c r="V62" i="21" s="1"/>
  <c r="O80" i="11"/>
  <c r="O78" i="11"/>
  <c r="U14" i="11"/>
  <c r="U12" i="11" s="1"/>
  <c r="V20" i="16"/>
  <c r="V10" i="16" s="1"/>
  <c r="V37" i="16"/>
  <c r="V38" i="16" s="1"/>
  <c r="V19" i="16"/>
  <c r="AB46" i="21"/>
  <c r="AB46" i="16"/>
  <c r="AB56" i="16" s="1"/>
  <c r="AB46" i="11"/>
  <c r="AB56" i="11" s="1"/>
  <c r="AC26" i="1"/>
  <c r="AB33" i="1"/>
  <c r="V20" i="11"/>
  <c r="V10" i="11" s="1"/>
  <c r="V19" i="11"/>
  <c r="V37" i="11"/>
  <c r="V38" i="11" s="1"/>
  <c r="X60" i="16"/>
  <c r="Y50" i="16"/>
  <c r="O80" i="16"/>
  <c r="O78" i="16"/>
  <c r="U14" i="16"/>
  <c r="U12" i="16" s="1"/>
  <c r="V10" i="1"/>
  <c r="V6" i="1"/>
  <c r="N93" i="14"/>
  <c r="N91" i="14"/>
  <c r="T26" i="14"/>
  <c r="AB8" i="21"/>
  <c r="AB20" i="19"/>
  <c r="AB8" i="16"/>
  <c r="AB20" i="14"/>
  <c r="AB8" i="11"/>
  <c r="AB20" i="9"/>
  <c r="AC11" i="1"/>
  <c r="N80" i="21"/>
  <c r="N78" i="21"/>
  <c r="T14" i="21"/>
  <c r="T12" i="21" s="1"/>
  <c r="U11" i="16"/>
  <c r="U9" i="16"/>
  <c r="X58" i="21"/>
  <c r="Y48" i="21"/>
  <c r="X61" i="19"/>
  <c r="X71" i="19" s="1"/>
  <c r="X61" i="14"/>
  <c r="X71" i="14" s="1"/>
  <c r="X61" i="9"/>
  <c r="X71" i="9" s="1"/>
  <c r="U50" i="14"/>
  <c r="U51" i="14" s="1"/>
  <c r="U33" i="14"/>
  <c r="U22" i="14" s="1"/>
  <c r="U32" i="14"/>
  <c r="U23" i="14" s="1"/>
  <c r="N93" i="9"/>
  <c r="N91" i="9"/>
  <c r="T26" i="9"/>
  <c r="AC49" i="21"/>
  <c r="AC49" i="16"/>
  <c r="AC59" i="16" s="1"/>
  <c r="AC49" i="11"/>
  <c r="AC59" i="11" s="1"/>
  <c r="AC34" i="1"/>
  <c r="AD27" i="1"/>
  <c r="AB59" i="21"/>
  <c r="AB62" i="19"/>
  <c r="AB72" i="19" s="1"/>
  <c r="AB62" i="14"/>
  <c r="AB72" i="14" s="1"/>
  <c r="AB62" i="9"/>
  <c r="AB72" i="9" s="1"/>
  <c r="AC8" i="21" l="1"/>
  <c r="AC20" i="19"/>
  <c r="AC8" i="16"/>
  <c r="AC20" i="14"/>
  <c r="AC8" i="11"/>
  <c r="AC20" i="9"/>
  <c r="AD11" i="1"/>
  <c r="AM61" i="21"/>
  <c r="AM64" i="19"/>
  <c r="AM74" i="19" s="1"/>
  <c r="AM64" i="14"/>
  <c r="AM74" i="14" s="1"/>
  <c r="AM64" i="9"/>
  <c r="AM74" i="9" s="1"/>
  <c r="Y58" i="21"/>
  <c r="Z48" i="21"/>
  <c r="Y61" i="19"/>
  <c r="Y71" i="19" s="1"/>
  <c r="Y61" i="14"/>
  <c r="Y71" i="14" s="1"/>
  <c r="Y61" i="9"/>
  <c r="Y71" i="9" s="1"/>
  <c r="T24" i="19"/>
  <c r="T27" i="19" s="1"/>
  <c r="T24" i="14"/>
  <c r="T27" i="14" s="1"/>
  <c r="T24" i="9"/>
  <c r="T27" i="9" s="1"/>
  <c r="T15" i="9" s="1"/>
  <c r="AB56" i="21"/>
  <c r="AB59" i="19"/>
  <c r="AB69" i="19" s="1"/>
  <c r="AB59" i="14"/>
  <c r="AB69" i="14" s="1"/>
  <c r="AB59" i="9"/>
  <c r="AB69" i="9" s="1"/>
  <c r="V37" i="21"/>
  <c r="V38" i="21" s="1"/>
  <c r="V20" i="21"/>
  <c r="V10" i="21" s="1"/>
  <c r="V19" i="21"/>
  <c r="Z60" i="11"/>
  <c r="AA50" i="11"/>
  <c r="P80" i="16"/>
  <c r="P78" i="16"/>
  <c r="V14" i="16"/>
  <c r="V12" i="16" s="1"/>
  <c r="O47" i="1"/>
  <c r="W65" i="14"/>
  <c r="W68" i="14"/>
  <c r="W75" i="14" s="1"/>
  <c r="W19" i="11"/>
  <c r="W37" i="11"/>
  <c r="W38" i="11" s="1"/>
  <c r="W20" i="11"/>
  <c r="W10" i="11" s="1"/>
  <c r="X55" i="11"/>
  <c r="X62" i="11" s="1"/>
  <c r="X52" i="11"/>
  <c r="O93" i="14"/>
  <c r="O91" i="14"/>
  <c r="U26" i="14"/>
  <c r="O79" i="21"/>
  <c r="O77" i="21"/>
  <c r="U26" i="21"/>
  <c r="U13" i="21"/>
  <c r="AO57" i="16"/>
  <c r="AP47" i="16"/>
  <c r="AP57" i="16" s="1"/>
  <c r="Z60" i="21"/>
  <c r="AA50" i="21"/>
  <c r="Z63" i="19"/>
  <c r="Z73" i="19" s="1"/>
  <c r="Z63" i="14"/>
  <c r="Z73" i="14" s="1"/>
  <c r="Z63" i="9"/>
  <c r="Z73" i="9" s="1"/>
  <c r="P50" i="1"/>
  <c r="P48" i="1"/>
  <c r="P47" i="1"/>
  <c r="P49" i="1"/>
  <c r="V14" i="1"/>
  <c r="V9" i="11"/>
  <c r="V11" i="11"/>
  <c r="AC46" i="21"/>
  <c r="AC46" i="16"/>
  <c r="AC56" i="16" s="1"/>
  <c r="AC46" i="11"/>
  <c r="AC56" i="11" s="1"/>
  <c r="AC33" i="1"/>
  <c r="AD26" i="1"/>
  <c r="V11" i="16"/>
  <c r="V9" i="16"/>
  <c r="P77" i="11"/>
  <c r="P79" i="11"/>
  <c r="V13" i="11"/>
  <c r="V26" i="11"/>
  <c r="Z58" i="11"/>
  <c r="AA48" i="11"/>
  <c r="P77" i="16"/>
  <c r="P79" i="16"/>
  <c r="V26" i="16"/>
  <c r="V13" i="16"/>
  <c r="V32" i="19"/>
  <c r="V23" i="19" s="1"/>
  <c r="V50" i="19"/>
  <c r="V51" i="19" s="1"/>
  <c r="V33" i="19"/>
  <c r="V22" i="19" s="1"/>
  <c r="W65" i="19"/>
  <c r="W68" i="19"/>
  <c r="W75" i="19" s="1"/>
  <c r="W20" i="16"/>
  <c r="W10" i="16" s="1"/>
  <c r="W37" i="16"/>
  <c r="W38" i="16" s="1"/>
  <c r="W19" i="16"/>
  <c r="W22" i="11"/>
  <c r="W18" i="11"/>
  <c r="X52" i="16"/>
  <c r="X55" i="16"/>
  <c r="X62" i="16" s="1"/>
  <c r="AH30" i="21"/>
  <c r="AG43" i="19"/>
  <c r="AG43" i="14"/>
  <c r="Y58" i="16"/>
  <c r="Z48" i="16"/>
  <c r="O80" i="21"/>
  <c r="O78" i="21"/>
  <c r="U14" i="21"/>
  <c r="U12" i="21" s="1"/>
  <c r="AC59" i="21"/>
  <c r="AC62" i="19"/>
  <c r="AC72" i="19" s="1"/>
  <c r="AC62" i="14"/>
  <c r="AC72" i="14" s="1"/>
  <c r="AC62" i="9"/>
  <c r="AC72" i="9" s="1"/>
  <c r="Y60" i="16"/>
  <c r="Z50" i="16"/>
  <c r="AO57" i="21"/>
  <c r="AP47" i="21"/>
  <c r="AO60" i="19"/>
  <c r="AO70" i="19" s="1"/>
  <c r="AO60" i="14"/>
  <c r="AO70" i="14" s="1"/>
  <c r="AO60" i="9"/>
  <c r="AO70" i="9" s="1"/>
  <c r="U11" i="21"/>
  <c r="U9" i="21"/>
  <c r="V35" i="19"/>
  <c r="V31" i="19"/>
  <c r="W55" i="21"/>
  <c r="W62" i="21" s="1"/>
  <c r="W52" i="21"/>
  <c r="W10" i="1"/>
  <c r="W6" i="1"/>
  <c r="W22" i="16"/>
  <c r="W18" i="16"/>
  <c r="V33" i="9"/>
  <c r="V22" i="9" s="1"/>
  <c r="V32" i="9"/>
  <c r="V23" i="9" s="1"/>
  <c r="V50" i="9"/>
  <c r="V51" i="9" s="1"/>
  <c r="X32" i="1"/>
  <c r="X36" i="1" s="1"/>
  <c r="X29" i="1"/>
  <c r="X58" i="19"/>
  <c r="X57" i="19" s="1"/>
  <c r="X58" i="14"/>
  <c r="X57" i="14" s="1"/>
  <c r="X58" i="9"/>
  <c r="X57" i="9" s="1"/>
  <c r="X44" i="21"/>
  <c r="O90" i="19"/>
  <c r="O92" i="19"/>
  <c r="U39" i="19"/>
  <c r="U25" i="19"/>
  <c r="V50" i="14"/>
  <c r="V51" i="14" s="1"/>
  <c r="V33" i="14"/>
  <c r="V22" i="14" s="1"/>
  <c r="V32" i="14"/>
  <c r="V23" i="14" s="1"/>
  <c r="O90" i="9"/>
  <c r="O92" i="9"/>
  <c r="U25" i="9"/>
  <c r="U39" i="9"/>
  <c r="AD49" i="21"/>
  <c r="AD49" i="16"/>
  <c r="AD59" i="16" s="1"/>
  <c r="AD49" i="11"/>
  <c r="AD59" i="11" s="1"/>
  <c r="AD34" i="1"/>
  <c r="AE27" i="1"/>
  <c r="P80" i="11"/>
  <c r="P78" i="11"/>
  <c r="V14" i="11"/>
  <c r="V12" i="11" s="1"/>
  <c r="V22" i="21"/>
  <c r="V18" i="21"/>
  <c r="AN51" i="21"/>
  <c r="AN51" i="16"/>
  <c r="AN61" i="16" s="1"/>
  <c r="AN51" i="11"/>
  <c r="AN61" i="11" s="1"/>
  <c r="AN35" i="1"/>
  <c r="AO28" i="1"/>
  <c r="U15" i="21"/>
  <c r="U28" i="19"/>
  <c r="U16" i="19" s="1"/>
  <c r="U7" i="19" s="1"/>
  <c r="U8" i="19" s="1"/>
  <c r="U9" i="19" s="1"/>
  <c r="U10" i="19" s="1"/>
  <c r="U15" i="16"/>
  <c r="U28" i="14"/>
  <c r="U16" i="14" s="1"/>
  <c r="U7" i="14" s="1"/>
  <c r="U8" i="14" s="1"/>
  <c r="U9" i="14" s="1"/>
  <c r="U10" i="14" s="1"/>
  <c r="U15" i="11"/>
  <c r="U28" i="9"/>
  <c r="U16" i="9" s="1"/>
  <c r="U7" i="9" s="1"/>
  <c r="U8" i="9" s="1"/>
  <c r="U9" i="9" s="1"/>
  <c r="U10" i="9" s="1"/>
  <c r="W68" i="9"/>
  <c r="W75" i="9" s="1"/>
  <c r="W65" i="9"/>
  <c r="W8" i="1"/>
  <c r="W17" i="1"/>
  <c r="W18" i="1" s="1"/>
  <c r="W7" i="1"/>
  <c r="Y57" i="21"/>
  <c r="Y60" i="19"/>
  <c r="Y70" i="19" s="1"/>
  <c r="Y60" i="14"/>
  <c r="Y70" i="14" s="1"/>
  <c r="Y60" i="9"/>
  <c r="Y70" i="9" s="1"/>
  <c r="V35" i="9"/>
  <c r="V31" i="9"/>
  <c r="Y45" i="21"/>
  <c r="Y45" i="16"/>
  <c r="Y44" i="16" s="1"/>
  <c r="Y45" i="11"/>
  <c r="Y44" i="11" s="1"/>
  <c r="Y24" i="1"/>
  <c r="Z25" i="1"/>
  <c r="O90" i="14"/>
  <c r="O92" i="14"/>
  <c r="U25" i="14"/>
  <c r="U39" i="14"/>
  <c r="O93" i="19"/>
  <c r="O91" i="19"/>
  <c r="U26" i="19"/>
  <c r="V35" i="14"/>
  <c r="V31" i="14"/>
  <c r="O93" i="9"/>
  <c r="O91" i="9"/>
  <c r="U26" i="9"/>
  <c r="Y55" i="11" l="1"/>
  <c r="Y62" i="11" s="1"/>
  <c r="Y52" i="11"/>
  <c r="P93" i="9"/>
  <c r="P91" i="9"/>
  <c r="V26" i="9"/>
  <c r="W32" i="9"/>
  <c r="W23" i="9" s="1"/>
  <c r="W50" i="9"/>
  <c r="W51" i="9" s="1"/>
  <c r="W33" i="9"/>
  <c r="W22" i="9" s="1"/>
  <c r="AO51" i="21"/>
  <c r="AO51" i="16"/>
  <c r="AO61" i="16" s="1"/>
  <c r="AO51" i="11"/>
  <c r="AO61" i="11" s="1"/>
  <c r="AO35" i="1"/>
  <c r="AP28" i="1"/>
  <c r="AN61" i="21"/>
  <c r="AN64" i="19"/>
  <c r="AN74" i="19" s="1"/>
  <c r="AN64" i="14"/>
  <c r="AN74" i="14" s="1"/>
  <c r="AN64" i="9"/>
  <c r="AN74" i="9" s="1"/>
  <c r="X65" i="9"/>
  <c r="X68" i="9"/>
  <c r="X75" i="9" s="1"/>
  <c r="X10" i="1"/>
  <c r="X6" i="1"/>
  <c r="Q77" i="16"/>
  <c r="Q79" i="16"/>
  <c r="W13" i="16"/>
  <c r="W26" i="16"/>
  <c r="W37" i="21"/>
  <c r="W38" i="21" s="1"/>
  <c r="W19" i="21"/>
  <c r="W20" i="21"/>
  <c r="W10" i="21" s="1"/>
  <c r="Z58" i="16"/>
  <c r="AA48" i="16"/>
  <c r="AI30" i="21"/>
  <c r="AH43" i="19"/>
  <c r="AH43" i="14"/>
  <c r="Q80" i="11"/>
  <c r="Q78" i="11"/>
  <c r="W14" i="11"/>
  <c r="W12" i="11" s="1"/>
  <c r="W31" i="19"/>
  <c r="W35" i="19"/>
  <c r="V15" i="21"/>
  <c r="V28" i="19"/>
  <c r="V16" i="19" s="1"/>
  <c r="V7" i="19" s="1"/>
  <c r="V8" i="19" s="1"/>
  <c r="V9" i="19" s="1"/>
  <c r="V10" i="19" s="1"/>
  <c r="V15" i="16"/>
  <c r="V28" i="14"/>
  <c r="V16" i="14" s="1"/>
  <c r="V7" i="14" s="1"/>
  <c r="V8" i="14" s="1"/>
  <c r="V9" i="14" s="1"/>
  <c r="V10" i="14" s="1"/>
  <c r="V15" i="11"/>
  <c r="V28" i="9"/>
  <c r="V16" i="9" s="1"/>
  <c r="V7" i="9" s="1"/>
  <c r="V8" i="9" s="1"/>
  <c r="V9" i="9" s="1"/>
  <c r="V10" i="9" s="1"/>
  <c r="X37" i="11"/>
  <c r="X38" i="11" s="1"/>
  <c r="X20" i="11"/>
  <c r="X10" i="11" s="1"/>
  <c r="X19" i="11"/>
  <c r="W11" i="11"/>
  <c r="W9" i="11"/>
  <c r="AA60" i="11"/>
  <c r="AB50" i="11"/>
  <c r="P92" i="14"/>
  <c r="P90" i="14"/>
  <c r="V39" i="14"/>
  <c r="V25" i="14"/>
  <c r="Y55" i="16"/>
  <c r="Y62" i="16" s="1"/>
  <c r="Y52" i="16"/>
  <c r="W35" i="9"/>
  <c r="W31" i="9"/>
  <c r="P77" i="21"/>
  <c r="P79" i="21"/>
  <c r="V13" i="21"/>
  <c r="V26" i="21"/>
  <c r="X68" i="14"/>
  <c r="X75" i="14" s="1"/>
  <c r="X65" i="14"/>
  <c r="Q80" i="16"/>
  <c r="Q78" i="16"/>
  <c r="W14" i="16"/>
  <c r="W12" i="16" s="1"/>
  <c r="W22" i="21"/>
  <c r="W18" i="21"/>
  <c r="AP57" i="21"/>
  <c r="AP60" i="19"/>
  <c r="AP70" i="19" s="1"/>
  <c r="AP60" i="14"/>
  <c r="AP70" i="14" s="1"/>
  <c r="AP60" i="9"/>
  <c r="AP70" i="9" s="1"/>
  <c r="U24" i="19"/>
  <c r="U27" i="19" s="1"/>
  <c r="U24" i="14"/>
  <c r="U27" i="14" s="1"/>
  <c r="U24" i="9"/>
  <c r="U27" i="9" s="1"/>
  <c r="U15" i="9" s="1"/>
  <c r="X22" i="16"/>
  <c r="X18" i="16"/>
  <c r="W9" i="16"/>
  <c r="W11" i="16"/>
  <c r="W50" i="19"/>
  <c r="W51" i="19" s="1"/>
  <c r="W33" i="19"/>
  <c r="W22" i="19" s="1"/>
  <c r="W32" i="19"/>
  <c r="W23" i="19" s="1"/>
  <c r="AA58" i="11"/>
  <c r="AB48" i="11"/>
  <c r="AD46" i="21"/>
  <c r="AD46" i="16"/>
  <c r="AD56" i="16" s="1"/>
  <c r="AD46" i="11"/>
  <c r="AD56" i="11" s="1"/>
  <c r="AD33" i="1"/>
  <c r="AE26" i="1"/>
  <c r="AC56" i="21"/>
  <c r="AC59" i="19"/>
  <c r="AC69" i="19" s="1"/>
  <c r="AC59" i="14"/>
  <c r="AC69" i="14" s="1"/>
  <c r="AC59" i="9"/>
  <c r="AC69" i="9" s="1"/>
  <c r="AA60" i="21"/>
  <c r="AB50" i="21"/>
  <c r="AA63" i="19"/>
  <c r="AA73" i="19" s="1"/>
  <c r="AA63" i="14"/>
  <c r="AA73" i="14" s="1"/>
  <c r="AA63" i="9"/>
  <c r="AA73" i="9" s="1"/>
  <c r="X18" i="11"/>
  <c r="X22" i="11"/>
  <c r="Z58" i="21"/>
  <c r="AA48" i="21"/>
  <c r="Z61" i="19"/>
  <c r="Z71" i="19" s="1"/>
  <c r="Z61" i="14"/>
  <c r="Z71" i="14" s="1"/>
  <c r="Z61" i="9"/>
  <c r="Z71" i="9" s="1"/>
  <c r="Y58" i="19"/>
  <c r="Y57" i="19" s="1"/>
  <c r="Y58" i="14"/>
  <c r="Y57" i="14" s="1"/>
  <c r="Y58" i="9"/>
  <c r="Y57" i="9" s="1"/>
  <c r="Y44" i="21"/>
  <c r="P80" i="21"/>
  <c r="P78" i="21"/>
  <c r="V14" i="21"/>
  <c r="V12" i="21" s="1"/>
  <c r="X68" i="19"/>
  <c r="X75" i="19" s="1"/>
  <c r="X65" i="19"/>
  <c r="P92" i="19"/>
  <c r="P90" i="19"/>
  <c r="V39" i="19"/>
  <c r="V25" i="19"/>
  <c r="X20" i="16"/>
  <c r="X10" i="16" s="1"/>
  <c r="X37" i="16"/>
  <c r="X38" i="16" s="1"/>
  <c r="X19" i="16"/>
  <c r="W35" i="14"/>
  <c r="W31" i="14"/>
  <c r="V11" i="21"/>
  <c r="V9" i="21"/>
  <c r="P93" i="14"/>
  <c r="P91" i="14"/>
  <c r="V26" i="14"/>
  <c r="Z45" i="21"/>
  <c r="Z45" i="16"/>
  <c r="Z44" i="16" s="1"/>
  <c r="Z45" i="11"/>
  <c r="Z44" i="11" s="1"/>
  <c r="AA25" i="1"/>
  <c r="Z24" i="1"/>
  <c r="Y32" i="1"/>
  <c r="Y36" i="1" s="1"/>
  <c r="Y29" i="1"/>
  <c r="P90" i="9"/>
  <c r="P92" i="9"/>
  <c r="V39" i="9"/>
  <c r="V25" i="9"/>
  <c r="W9" i="1"/>
  <c r="W14" i="1" s="1"/>
  <c r="AE49" i="21"/>
  <c r="AE49" i="16"/>
  <c r="AE59" i="16" s="1"/>
  <c r="AE49" i="11"/>
  <c r="AE59" i="11" s="1"/>
  <c r="AE34" i="1"/>
  <c r="AF27" i="1"/>
  <c r="AD59" i="21"/>
  <c r="AD62" i="19"/>
  <c r="AD72" i="19" s="1"/>
  <c r="AD62" i="14"/>
  <c r="AD72" i="14" s="1"/>
  <c r="AD62" i="9"/>
  <c r="AD72" i="9" s="1"/>
  <c r="X55" i="21"/>
  <c r="X62" i="21" s="1"/>
  <c r="X52" i="21"/>
  <c r="X17" i="1"/>
  <c r="X18" i="1" s="1"/>
  <c r="X7" i="1"/>
  <c r="X8" i="1"/>
  <c r="X9" i="1" s="1"/>
  <c r="Q50" i="1"/>
  <c r="Q48" i="1"/>
  <c r="P93" i="19"/>
  <c r="P91" i="19"/>
  <c r="V26" i="19"/>
  <c r="Z60" i="16"/>
  <c r="AA50" i="16"/>
  <c r="Q79" i="11"/>
  <c r="Q77" i="11"/>
  <c r="W26" i="11"/>
  <c r="W13" i="11"/>
  <c r="W32" i="14"/>
  <c r="W23" i="14" s="1"/>
  <c r="W50" i="14"/>
  <c r="W51" i="14" s="1"/>
  <c r="W33" i="14"/>
  <c r="W22" i="14" s="1"/>
  <c r="AD8" i="21"/>
  <c r="AD20" i="19"/>
  <c r="AD8" i="16"/>
  <c r="AD20" i="14"/>
  <c r="AD8" i="11"/>
  <c r="AD20" i="9"/>
  <c r="AE11" i="1"/>
  <c r="W15" i="21" l="1"/>
  <c r="W28" i="19"/>
  <c r="W16" i="19" s="1"/>
  <c r="W7" i="19" s="1"/>
  <c r="W8" i="19" s="1"/>
  <c r="W9" i="19" s="1"/>
  <c r="W10" i="19" s="1"/>
  <c r="W15" i="16"/>
  <c r="W28" i="14"/>
  <c r="W16" i="14" s="1"/>
  <c r="W7" i="14" s="1"/>
  <c r="W8" i="14" s="1"/>
  <c r="W9" i="14" s="1"/>
  <c r="W10" i="14" s="1"/>
  <c r="W15" i="11"/>
  <c r="W28" i="9"/>
  <c r="W16" i="9" s="1"/>
  <c r="W7" i="9" s="1"/>
  <c r="W8" i="9" s="1"/>
  <c r="W9" i="9" s="1"/>
  <c r="W10" i="9" s="1"/>
  <c r="AE8" i="21"/>
  <c r="AE20" i="19"/>
  <c r="AE8" i="16"/>
  <c r="AE20" i="14"/>
  <c r="AE8" i="11"/>
  <c r="AE20" i="9"/>
  <c r="AF11" i="1"/>
  <c r="X37" i="21"/>
  <c r="X38" i="21" s="1"/>
  <c r="X20" i="21"/>
  <c r="X10" i="21" s="1"/>
  <c r="X19" i="21"/>
  <c r="Y17" i="1"/>
  <c r="Y18" i="1" s="1"/>
  <c r="Y7" i="1"/>
  <c r="Y8" i="1"/>
  <c r="Z52" i="11"/>
  <c r="Z55" i="11"/>
  <c r="Z62" i="11" s="1"/>
  <c r="X9" i="16"/>
  <c r="X11" i="16"/>
  <c r="Q49" i="1"/>
  <c r="V24" i="19"/>
  <c r="V27" i="19" s="1"/>
  <c r="V24" i="14"/>
  <c r="V27" i="14" s="1"/>
  <c r="V24" i="9"/>
  <c r="V27" i="9" s="1"/>
  <c r="Y68" i="9"/>
  <c r="Y75" i="9" s="1"/>
  <c r="Y65" i="9"/>
  <c r="R80" i="11"/>
  <c r="R78" i="11"/>
  <c r="X14" i="11"/>
  <c r="X12" i="11" s="1"/>
  <c r="AB58" i="11"/>
  <c r="AC48" i="11"/>
  <c r="R80" i="16"/>
  <c r="R78" i="16"/>
  <c r="X14" i="16"/>
  <c r="X12" i="16" s="1"/>
  <c r="Q79" i="21"/>
  <c r="Q77" i="21"/>
  <c r="W26" i="21"/>
  <c r="W13" i="21"/>
  <c r="Q90" i="9"/>
  <c r="Q92" i="9"/>
  <c r="W39" i="9"/>
  <c r="W25" i="9"/>
  <c r="Q90" i="19"/>
  <c r="Q92" i="19"/>
  <c r="W39" i="19"/>
  <c r="W25" i="19"/>
  <c r="R47" i="1"/>
  <c r="R49" i="1"/>
  <c r="X14" i="1"/>
  <c r="AP51" i="21"/>
  <c r="AP51" i="16"/>
  <c r="AP61" i="16" s="1"/>
  <c r="AP51" i="11"/>
  <c r="AP61" i="11" s="1"/>
  <c r="AP35" i="1"/>
  <c r="AO61" i="21"/>
  <c r="AO64" i="19"/>
  <c r="AO74" i="19" s="1"/>
  <c r="AO64" i="14"/>
  <c r="AO74" i="14" s="1"/>
  <c r="AO64" i="9"/>
  <c r="AO74" i="9" s="1"/>
  <c r="Y22" i="11"/>
  <c r="Y18" i="11"/>
  <c r="AA60" i="16"/>
  <c r="AB50" i="16"/>
  <c r="X18" i="21"/>
  <c r="X22" i="21"/>
  <c r="Y10" i="1"/>
  <c r="Y6" i="1"/>
  <c r="Z52" i="16"/>
  <c r="Z55" i="16"/>
  <c r="Z62" i="16" s="1"/>
  <c r="Q90" i="14"/>
  <c r="Q92" i="14"/>
  <c r="W39" i="14"/>
  <c r="W25" i="14"/>
  <c r="Q47" i="1"/>
  <c r="Y68" i="14"/>
  <c r="Y75" i="14" s="1"/>
  <c r="Y65" i="14"/>
  <c r="R77" i="11"/>
  <c r="R79" i="11"/>
  <c r="X26" i="11"/>
  <c r="X13" i="11"/>
  <c r="AC50" i="21"/>
  <c r="AB60" i="21"/>
  <c r="AB63" i="19"/>
  <c r="AB73" i="19" s="1"/>
  <c r="AB63" i="14"/>
  <c r="AB73" i="14" s="1"/>
  <c r="AB63" i="9"/>
  <c r="AB73" i="9" s="1"/>
  <c r="Q80" i="21"/>
  <c r="Q78" i="21"/>
  <c r="W14" i="21"/>
  <c r="W12" i="21" s="1"/>
  <c r="X50" i="14"/>
  <c r="X51" i="14" s="1"/>
  <c r="X33" i="14"/>
  <c r="X22" i="14" s="1"/>
  <c r="X32" i="14"/>
  <c r="X23" i="14" s="1"/>
  <c r="Q93" i="9"/>
  <c r="Q91" i="9"/>
  <c r="W26" i="9"/>
  <c r="R50" i="1"/>
  <c r="R48" i="1"/>
  <c r="AF49" i="21"/>
  <c r="AF49" i="16"/>
  <c r="AF59" i="16" s="1"/>
  <c r="AF49" i="11"/>
  <c r="AF59" i="11" s="1"/>
  <c r="AG27" i="1"/>
  <c r="AF34" i="1"/>
  <c r="AE59" i="21"/>
  <c r="AE62" i="19"/>
  <c r="AE72" i="19" s="1"/>
  <c r="AE62" i="14"/>
  <c r="AE72" i="14" s="1"/>
  <c r="AE62" i="9"/>
  <c r="AE72" i="9" s="1"/>
  <c r="Z29" i="1"/>
  <c r="Z32" i="1"/>
  <c r="Z36" i="1" s="1"/>
  <c r="Z58" i="19"/>
  <c r="Z57" i="19" s="1"/>
  <c r="Z58" i="14"/>
  <c r="Z57" i="14" s="1"/>
  <c r="Z58" i="9"/>
  <c r="Z57" i="9" s="1"/>
  <c r="Z44" i="21"/>
  <c r="Q93" i="14"/>
  <c r="Q91" i="14"/>
  <c r="W26" i="14"/>
  <c r="X50" i="19"/>
  <c r="X51" i="19" s="1"/>
  <c r="X33" i="19"/>
  <c r="X22" i="19" s="1"/>
  <c r="X32" i="19"/>
  <c r="X23" i="19" s="1"/>
  <c r="Y68" i="19"/>
  <c r="Y75" i="19" s="1"/>
  <c r="Y65" i="19"/>
  <c r="AA58" i="21"/>
  <c r="AB48" i="21"/>
  <c r="AA61" i="19"/>
  <c r="AA71" i="19" s="1"/>
  <c r="AA61" i="14"/>
  <c r="AA71" i="14" s="1"/>
  <c r="AA61" i="9"/>
  <c r="AA71" i="9" s="1"/>
  <c r="X31" i="14"/>
  <c r="X35" i="14"/>
  <c r="Y37" i="16"/>
  <c r="Y38" i="16" s="1"/>
  <c r="Y19" i="16"/>
  <c r="Y20" i="16"/>
  <c r="Y10" i="16" s="1"/>
  <c r="AB60" i="11"/>
  <c r="AC50" i="11"/>
  <c r="AC60" i="11" s="1"/>
  <c r="X11" i="11"/>
  <c r="X9" i="11"/>
  <c r="AJ30" i="21"/>
  <c r="AI43" i="19"/>
  <c r="AI43" i="14"/>
  <c r="W9" i="21"/>
  <c r="W11" i="21"/>
  <c r="X31" i="9"/>
  <c r="X35" i="9"/>
  <c r="AA45" i="21"/>
  <c r="AA45" i="16"/>
  <c r="AA44" i="16" s="1"/>
  <c r="AA45" i="11"/>
  <c r="AA44" i="11" s="1"/>
  <c r="AB25" i="1"/>
  <c r="AA24" i="1"/>
  <c r="X35" i="19"/>
  <c r="X31" i="19"/>
  <c r="Y52" i="21"/>
  <c r="Y55" i="21"/>
  <c r="Y62" i="21" s="1"/>
  <c r="AE46" i="21"/>
  <c r="AE46" i="16"/>
  <c r="AE56" i="16" s="1"/>
  <c r="AE46" i="11"/>
  <c r="AE56" i="11" s="1"/>
  <c r="AE33" i="1"/>
  <c r="AF26" i="1"/>
  <c r="AD56" i="21"/>
  <c r="AD59" i="19"/>
  <c r="AD69" i="19" s="1"/>
  <c r="AD59" i="14"/>
  <c r="AD69" i="14" s="1"/>
  <c r="AD59" i="9"/>
  <c r="AD69" i="9" s="1"/>
  <c r="R77" i="16"/>
  <c r="R79" i="16"/>
  <c r="X13" i="16"/>
  <c r="X26" i="16"/>
  <c r="Y22" i="16"/>
  <c r="Y18" i="16"/>
  <c r="Q93" i="19"/>
  <c r="Q91" i="19"/>
  <c r="W26" i="19"/>
  <c r="AA58" i="16"/>
  <c r="AB48" i="16"/>
  <c r="X50" i="9"/>
  <c r="X51" i="9" s="1"/>
  <c r="X33" i="9"/>
  <c r="X22" i="9" s="1"/>
  <c r="X32" i="9"/>
  <c r="X23" i="9" s="1"/>
  <c r="Y37" i="11"/>
  <c r="Y38" i="11" s="1"/>
  <c r="Y20" i="11"/>
  <c r="Y10" i="11" s="1"/>
  <c r="Y19" i="11"/>
  <c r="S80" i="16" l="1"/>
  <c r="S78" i="16"/>
  <c r="Y14" i="16"/>
  <c r="Y12" i="16" s="1"/>
  <c r="Y37" i="21"/>
  <c r="Y38" i="21" s="1"/>
  <c r="Y20" i="21"/>
  <c r="Y10" i="21" s="1"/>
  <c r="Y19" i="21"/>
  <c r="AB45" i="21"/>
  <c r="AB45" i="16"/>
  <c r="AB44" i="16" s="1"/>
  <c r="AB45" i="11"/>
  <c r="AB44" i="11" s="1"/>
  <c r="AC25" i="1"/>
  <c r="AB24" i="1"/>
  <c r="R93" i="9"/>
  <c r="R91" i="9"/>
  <c r="X26" i="9"/>
  <c r="Y11" i="16"/>
  <c r="Y9" i="16"/>
  <c r="Z68" i="19"/>
  <c r="Z75" i="19" s="1"/>
  <c r="Z65" i="19"/>
  <c r="AG49" i="21"/>
  <c r="AG49" i="16"/>
  <c r="AG59" i="16" s="1"/>
  <c r="AG49" i="11"/>
  <c r="AG59" i="11" s="1"/>
  <c r="AG34" i="1"/>
  <c r="AH27" i="1"/>
  <c r="Y35" i="14"/>
  <c r="Y31" i="14"/>
  <c r="AB60" i="16"/>
  <c r="AC50" i="16"/>
  <c r="AC60" i="16" s="1"/>
  <c r="X15" i="21"/>
  <c r="X28" i="19"/>
  <c r="X16" i="19" s="1"/>
  <c r="X7" i="19" s="1"/>
  <c r="X8" i="19" s="1"/>
  <c r="X9" i="19" s="1"/>
  <c r="X10" i="19" s="1"/>
  <c r="X15" i="16"/>
  <c r="X28" i="14"/>
  <c r="X16" i="14" s="1"/>
  <c r="X7" i="14" s="1"/>
  <c r="X8" i="14" s="1"/>
  <c r="X9" i="14" s="1"/>
  <c r="X10" i="14" s="1"/>
  <c r="X15" i="11"/>
  <c r="X28" i="9"/>
  <c r="X16" i="9" s="1"/>
  <c r="X7" i="9" s="1"/>
  <c r="X8" i="9" s="1"/>
  <c r="X9" i="9" s="1"/>
  <c r="X10" i="9" s="1"/>
  <c r="Y35" i="9"/>
  <c r="Y31" i="9"/>
  <c r="Z20" i="11"/>
  <c r="Z10" i="11" s="1"/>
  <c r="Z19" i="11"/>
  <c r="Z37" i="11"/>
  <c r="Z38" i="11" s="1"/>
  <c r="X9" i="21"/>
  <c r="X11" i="21"/>
  <c r="R90" i="19"/>
  <c r="R92" i="19"/>
  <c r="X25" i="19"/>
  <c r="X39" i="19"/>
  <c r="AA55" i="11"/>
  <c r="AA62" i="11" s="1"/>
  <c r="AA52" i="11"/>
  <c r="R92" i="9"/>
  <c r="R90" i="9"/>
  <c r="X39" i="9"/>
  <c r="X25" i="9"/>
  <c r="Y50" i="19"/>
  <c r="Y51" i="19" s="1"/>
  <c r="Y33" i="19"/>
  <c r="Y22" i="19" s="1"/>
  <c r="Y32" i="19"/>
  <c r="Y23" i="19" s="1"/>
  <c r="Z52" i="21"/>
  <c r="Z55" i="21"/>
  <c r="Z62" i="21" s="1"/>
  <c r="Z10" i="1"/>
  <c r="Z6" i="1"/>
  <c r="S50" i="1"/>
  <c r="S48" i="1"/>
  <c r="Y9" i="1"/>
  <c r="S49" i="1" s="1"/>
  <c r="AF8" i="21"/>
  <c r="AF20" i="19"/>
  <c r="AF8" i="16"/>
  <c r="AF20" i="14"/>
  <c r="AF8" i="11"/>
  <c r="AF20" i="9"/>
  <c r="AG11" i="1"/>
  <c r="Y9" i="11"/>
  <c r="Y11" i="11"/>
  <c r="AB58" i="16"/>
  <c r="AC48" i="16"/>
  <c r="AF46" i="21"/>
  <c r="AF46" i="16"/>
  <c r="AF56" i="16" s="1"/>
  <c r="AF46" i="11"/>
  <c r="AF56" i="11" s="1"/>
  <c r="AF33" i="1"/>
  <c r="AG26" i="1"/>
  <c r="AA55" i="16"/>
  <c r="AA62" i="16" s="1"/>
  <c r="AA52" i="16"/>
  <c r="AK30" i="21"/>
  <c r="AJ43" i="19"/>
  <c r="AJ43" i="14"/>
  <c r="R93" i="14"/>
  <c r="R91" i="14"/>
  <c r="X26" i="14"/>
  <c r="Y35" i="19"/>
  <c r="Y31" i="19"/>
  <c r="Z68" i="9"/>
  <c r="Z75" i="9" s="1"/>
  <c r="Z65" i="9"/>
  <c r="Z8" i="1"/>
  <c r="Z17" i="1"/>
  <c r="Z18" i="1" s="1"/>
  <c r="Z7" i="1"/>
  <c r="AC60" i="21"/>
  <c r="AC63" i="19"/>
  <c r="AC73" i="19" s="1"/>
  <c r="AC63" i="14"/>
  <c r="AC73" i="14" s="1"/>
  <c r="AC63" i="9"/>
  <c r="AC73" i="9" s="1"/>
  <c r="Z18" i="16"/>
  <c r="Z22" i="16"/>
  <c r="R80" i="21"/>
  <c r="R78" i="21"/>
  <c r="X14" i="21"/>
  <c r="X12" i="21" s="1"/>
  <c r="S77" i="11"/>
  <c r="S79" i="11"/>
  <c r="Y13" i="11"/>
  <c r="Y26" i="11"/>
  <c r="AC58" i="11"/>
  <c r="AD48" i="11"/>
  <c r="AE56" i="21"/>
  <c r="AE59" i="19"/>
  <c r="AE69" i="19" s="1"/>
  <c r="AE59" i="14"/>
  <c r="AE69" i="14" s="1"/>
  <c r="AE59" i="9"/>
  <c r="AE69" i="9" s="1"/>
  <c r="R93" i="19"/>
  <c r="R91" i="19"/>
  <c r="X26" i="19"/>
  <c r="S79" i="16"/>
  <c r="S77" i="16"/>
  <c r="Y26" i="16"/>
  <c r="Y13" i="16"/>
  <c r="Y22" i="21"/>
  <c r="Y18" i="21"/>
  <c r="AA29" i="1"/>
  <c r="AA32" i="1"/>
  <c r="AA36" i="1" s="1"/>
  <c r="AA58" i="19"/>
  <c r="AA57" i="19" s="1"/>
  <c r="AA58" i="14"/>
  <c r="AA57" i="14" s="1"/>
  <c r="AA58" i="9"/>
  <c r="AA57" i="9" s="1"/>
  <c r="AA44" i="21"/>
  <c r="R90" i="14"/>
  <c r="R92" i="14"/>
  <c r="X39" i="14"/>
  <c r="X25" i="14"/>
  <c r="AB58" i="21"/>
  <c r="AC48" i="21"/>
  <c r="AB61" i="19"/>
  <c r="AB71" i="19" s="1"/>
  <c r="AB61" i="14"/>
  <c r="AB71" i="14" s="1"/>
  <c r="AB61" i="9"/>
  <c r="AB71" i="9" s="1"/>
  <c r="Z68" i="14"/>
  <c r="Z75" i="14" s="1"/>
  <c r="Z65" i="14"/>
  <c r="AF59" i="21"/>
  <c r="AF62" i="19"/>
  <c r="AF72" i="19" s="1"/>
  <c r="AF62" i="14"/>
  <c r="AF72" i="14" s="1"/>
  <c r="AF62" i="9"/>
  <c r="AF72" i="9" s="1"/>
  <c r="W24" i="19"/>
  <c r="W27" i="19" s="1"/>
  <c r="W24" i="14"/>
  <c r="W27" i="14" s="1"/>
  <c r="W24" i="9"/>
  <c r="W27" i="9" s="1"/>
  <c r="Y50" i="14"/>
  <c r="Y51" i="14" s="1"/>
  <c r="Y33" i="14"/>
  <c r="Y22" i="14" s="1"/>
  <c r="Y32" i="14"/>
  <c r="Y23" i="14" s="1"/>
  <c r="Z20" i="16"/>
  <c r="Z10" i="16" s="1"/>
  <c r="Z37" i="16"/>
  <c r="Z38" i="16" s="1"/>
  <c r="Z19" i="16"/>
  <c r="R77" i="21"/>
  <c r="R79" i="21"/>
  <c r="X26" i="21"/>
  <c r="X13" i="21"/>
  <c r="S80" i="11"/>
  <c r="S78" i="11"/>
  <c r="Y14" i="11"/>
  <c r="Y12" i="11" s="1"/>
  <c r="AP61" i="21"/>
  <c r="AP64" i="19"/>
  <c r="AP74" i="19" s="1"/>
  <c r="AP64" i="14"/>
  <c r="AP74" i="14" s="1"/>
  <c r="AP64" i="9"/>
  <c r="AP74" i="9" s="1"/>
  <c r="Y50" i="9"/>
  <c r="Y51" i="9" s="1"/>
  <c r="Y33" i="9"/>
  <c r="Y22" i="9" s="1"/>
  <c r="Y32" i="9"/>
  <c r="Y23" i="9" s="1"/>
  <c r="Z22" i="11"/>
  <c r="Z18" i="11"/>
  <c r="T77" i="11" l="1"/>
  <c r="T79" i="11"/>
  <c r="Z13" i="11"/>
  <c r="Z26" i="11"/>
  <c r="Z11" i="16"/>
  <c r="Z9" i="16"/>
  <c r="AA52" i="21"/>
  <c r="AA55" i="21"/>
  <c r="AA62" i="21" s="1"/>
  <c r="AA6" i="1"/>
  <c r="AA10" i="1"/>
  <c r="X24" i="19"/>
  <c r="X27" i="19" s="1"/>
  <c r="X24" i="14"/>
  <c r="X27" i="14" s="1"/>
  <c r="X24" i="9"/>
  <c r="X27" i="9" s="1"/>
  <c r="T77" i="16"/>
  <c r="T79" i="16"/>
  <c r="Z26" i="16"/>
  <c r="Z13" i="16"/>
  <c r="Z33" i="9"/>
  <c r="Z22" i="9" s="1"/>
  <c r="Z32" i="9"/>
  <c r="Z23" i="9" s="1"/>
  <c r="Z50" i="9"/>
  <c r="Z51" i="9" s="1"/>
  <c r="AG46" i="21"/>
  <c r="AG46" i="16"/>
  <c r="AG56" i="16" s="1"/>
  <c r="AG46" i="11"/>
  <c r="AG56" i="11" s="1"/>
  <c r="AG33" i="1"/>
  <c r="AH26" i="1"/>
  <c r="AF56" i="21"/>
  <c r="AF59" i="19"/>
  <c r="AF69" i="19" s="1"/>
  <c r="AF59" i="14"/>
  <c r="AF69" i="14" s="1"/>
  <c r="AF59" i="9"/>
  <c r="AF69" i="9" s="1"/>
  <c r="AA22" i="11"/>
  <c r="AA18" i="11"/>
  <c r="S93" i="9"/>
  <c r="S91" i="9"/>
  <c r="Y26" i="9"/>
  <c r="S90" i="14"/>
  <c r="S92" i="14"/>
  <c r="Y25" i="14"/>
  <c r="Y39" i="14"/>
  <c r="Z35" i="19"/>
  <c r="Z31" i="19"/>
  <c r="AC45" i="21"/>
  <c r="AC45" i="16"/>
  <c r="AC44" i="16" s="1"/>
  <c r="AC45" i="11"/>
  <c r="AC44" i="11" s="1"/>
  <c r="AC24" i="1"/>
  <c r="AD25" i="1"/>
  <c r="Y11" i="21"/>
  <c r="Y9" i="21"/>
  <c r="Z50" i="14"/>
  <c r="Z51" i="14" s="1"/>
  <c r="Z33" i="14"/>
  <c r="Z22" i="14" s="1"/>
  <c r="Z32" i="14"/>
  <c r="Z23" i="14" s="1"/>
  <c r="AA68" i="9"/>
  <c r="AA75" i="9" s="1"/>
  <c r="AA65" i="9"/>
  <c r="AA17" i="1"/>
  <c r="AA18" i="1" s="1"/>
  <c r="AA7" i="1"/>
  <c r="AA8" i="1"/>
  <c r="AA9" i="1" s="1"/>
  <c r="Z35" i="9"/>
  <c r="Z31" i="9"/>
  <c r="AL30" i="21"/>
  <c r="AK43" i="19"/>
  <c r="AK43" i="14"/>
  <c r="AC58" i="16"/>
  <c r="AD48" i="16"/>
  <c r="AG8" i="21"/>
  <c r="AG20" i="19"/>
  <c r="AG8" i="16"/>
  <c r="AG20" i="14"/>
  <c r="AG8" i="11"/>
  <c r="AG20" i="9"/>
  <c r="AH11" i="1"/>
  <c r="T50" i="1"/>
  <c r="T48" i="1"/>
  <c r="Z9" i="11"/>
  <c r="Z11" i="11"/>
  <c r="Y14" i="1"/>
  <c r="S93" i="14"/>
  <c r="S91" i="14"/>
  <c r="Y26" i="14"/>
  <c r="AB55" i="11"/>
  <c r="AB62" i="11" s="1"/>
  <c r="AB52" i="11"/>
  <c r="T80" i="11"/>
  <c r="T78" i="11"/>
  <c r="Z14" i="11"/>
  <c r="Z12" i="11" s="1"/>
  <c r="Z35" i="14"/>
  <c r="Z31" i="14"/>
  <c r="AC58" i="21"/>
  <c r="AD48" i="21"/>
  <c r="AC61" i="19"/>
  <c r="AC71" i="19" s="1"/>
  <c r="AC61" i="14"/>
  <c r="AC71" i="14" s="1"/>
  <c r="AC61" i="9"/>
  <c r="AC71" i="9" s="1"/>
  <c r="AA65" i="14"/>
  <c r="AA68" i="14"/>
  <c r="AA75" i="14" s="1"/>
  <c r="S79" i="21"/>
  <c r="S77" i="21"/>
  <c r="Y26" i="21"/>
  <c r="Y13" i="21"/>
  <c r="AD58" i="11"/>
  <c r="AE48" i="11"/>
  <c r="S90" i="19"/>
  <c r="S92" i="19"/>
  <c r="Y39" i="19"/>
  <c r="Y25" i="19"/>
  <c r="AA20" i="16"/>
  <c r="AA10" i="16" s="1"/>
  <c r="AA37" i="16"/>
  <c r="AA38" i="16" s="1"/>
  <c r="AA19" i="16"/>
  <c r="Z22" i="21"/>
  <c r="Z18" i="21"/>
  <c r="S47" i="1"/>
  <c r="AH49" i="21"/>
  <c r="AH49" i="16"/>
  <c r="AH59" i="16" s="1"/>
  <c r="AH49" i="11"/>
  <c r="AH59" i="11" s="1"/>
  <c r="AH34" i="1"/>
  <c r="AI27" i="1"/>
  <c r="AG59" i="21"/>
  <c r="AG62" i="19"/>
  <c r="AG72" i="19" s="1"/>
  <c r="AG62" i="14"/>
  <c r="AG72" i="14" s="1"/>
  <c r="AG62" i="9"/>
  <c r="AG72" i="9" s="1"/>
  <c r="AB52" i="16"/>
  <c r="AB55" i="16"/>
  <c r="AB62" i="16" s="1"/>
  <c r="AA65" i="19"/>
  <c r="AA68" i="19"/>
  <c r="AA75" i="19" s="1"/>
  <c r="S80" i="21"/>
  <c r="S78" i="21"/>
  <c r="Y14" i="21"/>
  <c r="Y12" i="21" s="1"/>
  <c r="T80" i="16"/>
  <c r="T78" i="16"/>
  <c r="Z14" i="16"/>
  <c r="Z12" i="16" s="1"/>
  <c r="Z9" i="1"/>
  <c r="T47" i="1" s="1"/>
  <c r="S93" i="19"/>
  <c r="S91" i="19"/>
  <c r="Y26" i="19"/>
  <c r="AA22" i="16"/>
  <c r="AA18" i="16"/>
  <c r="Z37" i="21"/>
  <c r="Z38" i="21" s="1"/>
  <c r="Z20" i="21"/>
  <c r="Z10" i="21" s="1"/>
  <c r="Z19" i="21"/>
  <c r="AA19" i="11"/>
  <c r="AA37" i="11"/>
  <c r="AA38" i="11" s="1"/>
  <c r="AA20" i="11"/>
  <c r="AA10" i="11" s="1"/>
  <c r="S90" i="9"/>
  <c r="S92" i="9"/>
  <c r="Y25" i="9"/>
  <c r="Y39" i="9"/>
  <c r="Z32" i="19"/>
  <c r="Z23" i="19" s="1"/>
  <c r="Z50" i="19"/>
  <c r="Z51" i="19" s="1"/>
  <c r="Z33" i="19"/>
  <c r="Z22" i="19" s="1"/>
  <c r="AB29" i="1"/>
  <c r="AB32" i="1"/>
  <c r="AB36" i="1" s="1"/>
  <c r="AB58" i="19"/>
  <c r="AB57" i="19" s="1"/>
  <c r="AB58" i="14"/>
  <c r="AB57" i="14" s="1"/>
  <c r="AB58" i="9"/>
  <c r="AB57" i="9" s="1"/>
  <c r="AB44" i="21"/>
  <c r="AB55" i="21" l="1"/>
  <c r="AB62" i="21" s="1"/>
  <c r="AB52" i="21"/>
  <c r="AB17" i="1"/>
  <c r="AB18" i="1" s="1"/>
  <c r="AB7" i="1"/>
  <c r="AB8" i="1"/>
  <c r="AB9" i="1" s="1"/>
  <c r="AB68" i="14"/>
  <c r="AB75" i="14" s="1"/>
  <c r="AB65" i="14"/>
  <c r="AB22" i="16"/>
  <c r="AB18" i="16"/>
  <c r="T77" i="21"/>
  <c r="T79" i="21"/>
  <c r="Z13" i="21"/>
  <c r="Z26" i="21"/>
  <c r="AA9" i="16"/>
  <c r="AA11" i="16"/>
  <c r="T92" i="14"/>
  <c r="T90" i="14"/>
  <c r="Z39" i="14"/>
  <c r="Z25" i="14"/>
  <c r="AH8" i="21"/>
  <c r="AH20" i="19"/>
  <c r="AH8" i="16"/>
  <c r="AH20" i="14"/>
  <c r="AH8" i="11"/>
  <c r="AH20" i="9"/>
  <c r="AI11" i="1"/>
  <c r="T90" i="9"/>
  <c r="T92" i="9"/>
  <c r="Z39" i="9"/>
  <c r="Z25" i="9"/>
  <c r="AD45" i="21"/>
  <c r="AD45" i="16"/>
  <c r="AD44" i="16" s="1"/>
  <c r="AD45" i="11"/>
  <c r="AD44" i="11" s="1"/>
  <c r="AE25" i="1"/>
  <c r="AD24" i="1"/>
  <c r="AC58" i="19"/>
  <c r="AC57" i="19" s="1"/>
  <c r="AC58" i="14"/>
  <c r="AC57" i="14" s="1"/>
  <c r="AC58" i="9"/>
  <c r="AC57" i="9" s="1"/>
  <c r="AC44" i="21"/>
  <c r="Z14" i="1"/>
  <c r="AH46" i="21"/>
  <c r="AH46" i="16"/>
  <c r="AH56" i="16" s="1"/>
  <c r="AH46" i="11"/>
  <c r="AH56" i="11" s="1"/>
  <c r="AH33" i="1"/>
  <c r="AI26" i="1"/>
  <c r="AG56" i="21"/>
  <c r="AG59" i="19"/>
  <c r="AG69" i="19" s="1"/>
  <c r="AG59" i="14"/>
  <c r="AG69" i="14" s="1"/>
  <c r="AG59" i="9"/>
  <c r="AG69" i="9" s="1"/>
  <c r="U47" i="1"/>
  <c r="U49" i="1"/>
  <c r="AA14" i="1"/>
  <c r="AB68" i="19"/>
  <c r="AB75" i="19" s="1"/>
  <c r="AB65" i="19"/>
  <c r="AA11" i="11"/>
  <c r="AA9" i="11"/>
  <c r="U77" i="16"/>
  <c r="U79" i="16"/>
  <c r="AA13" i="16"/>
  <c r="AA26" i="16"/>
  <c r="AA31" i="19"/>
  <c r="AA35" i="19"/>
  <c r="AB20" i="16"/>
  <c r="AB10" i="16" s="1"/>
  <c r="AB37" i="16"/>
  <c r="AB38" i="16" s="1"/>
  <c r="AB19" i="16"/>
  <c r="T80" i="21"/>
  <c r="T78" i="21"/>
  <c r="Z14" i="21"/>
  <c r="Z12" i="21" s="1"/>
  <c r="AA35" i="14"/>
  <c r="AA31" i="14"/>
  <c r="T93" i="14"/>
  <c r="T91" i="14"/>
  <c r="Z26" i="14"/>
  <c r="AB37" i="11"/>
  <c r="AB38" i="11" s="1"/>
  <c r="AB20" i="11"/>
  <c r="AB10" i="11" s="1"/>
  <c r="AB19" i="11"/>
  <c r="T93" i="9"/>
  <c r="T91" i="9"/>
  <c r="Z26" i="9"/>
  <c r="AA32" i="9"/>
  <c r="AA23" i="9" s="1"/>
  <c r="AA50" i="9"/>
  <c r="AA51" i="9" s="1"/>
  <c r="AA33" i="9"/>
  <c r="AA22" i="9" s="1"/>
  <c r="AC32" i="1"/>
  <c r="AC36" i="1" s="1"/>
  <c r="AC29" i="1"/>
  <c r="T92" i="19"/>
  <c r="T90" i="19"/>
  <c r="Z39" i="19"/>
  <c r="Z25" i="19"/>
  <c r="T49" i="1"/>
  <c r="AA22" i="21"/>
  <c r="AA18" i="21"/>
  <c r="AB10" i="1"/>
  <c r="AB6" i="1"/>
  <c r="Z11" i="21"/>
  <c r="Z9" i="21"/>
  <c r="U80" i="16"/>
  <c r="U78" i="16"/>
  <c r="AA14" i="16"/>
  <c r="AA12" i="16" s="1"/>
  <c r="Y24" i="19"/>
  <c r="Y27" i="19" s="1"/>
  <c r="Y24" i="14"/>
  <c r="Y27" i="14" s="1"/>
  <c r="Y24" i="9"/>
  <c r="Y27" i="9" s="1"/>
  <c r="AA50" i="19"/>
  <c r="AA51" i="19" s="1"/>
  <c r="AA33" i="19"/>
  <c r="AA22" i="19" s="1"/>
  <c r="AA32" i="19"/>
  <c r="AA23" i="19" s="1"/>
  <c r="AI49" i="21"/>
  <c r="AI49" i="16"/>
  <c r="AI59" i="16" s="1"/>
  <c r="AI49" i="11"/>
  <c r="AI59" i="11" s="1"/>
  <c r="AI34" i="1"/>
  <c r="AJ27" i="1"/>
  <c r="AH59" i="21"/>
  <c r="AH62" i="19"/>
  <c r="AH72" i="19" s="1"/>
  <c r="AH62" i="14"/>
  <c r="AH72" i="14" s="1"/>
  <c r="AH62" i="9"/>
  <c r="AH72" i="9" s="1"/>
  <c r="AA32" i="14"/>
  <c r="AA23" i="14" s="1"/>
  <c r="AA50" i="14"/>
  <c r="AA51" i="14" s="1"/>
  <c r="AA33" i="14"/>
  <c r="AA22" i="14" s="1"/>
  <c r="AD58" i="21"/>
  <c r="AE48" i="21"/>
  <c r="AD61" i="19"/>
  <c r="AD71" i="19" s="1"/>
  <c r="AD61" i="14"/>
  <c r="AD71" i="14" s="1"/>
  <c r="AD61" i="9"/>
  <c r="AD71" i="9" s="1"/>
  <c r="AB18" i="11"/>
  <c r="AB22" i="11"/>
  <c r="Y15" i="21"/>
  <c r="Y28" i="19"/>
  <c r="Y16" i="19" s="1"/>
  <c r="Y7" i="19" s="1"/>
  <c r="Y8" i="19" s="1"/>
  <c r="Y9" i="19" s="1"/>
  <c r="Y10" i="19" s="1"/>
  <c r="Y13" i="19" s="1"/>
  <c r="Y12" i="19" s="1"/>
  <c r="Y15" i="16"/>
  <c r="Y28" i="14"/>
  <c r="Y16" i="14" s="1"/>
  <c r="Y7" i="14" s="1"/>
  <c r="Y8" i="14" s="1"/>
  <c r="Y9" i="14" s="1"/>
  <c r="Y10" i="14" s="1"/>
  <c r="Y13" i="14" s="1"/>
  <c r="Y12" i="14" s="1"/>
  <c r="Y15" i="11"/>
  <c r="Y28" i="9"/>
  <c r="Y16" i="9" s="1"/>
  <c r="Y7" i="9" s="1"/>
  <c r="Y8" i="9" s="1"/>
  <c r="Y9" i="9" s="1"/>
  <c r="Y10" i="9" s="1"/>
  <c r="Y13" i="9" s="1"/>
  <c r="AA35" i="9"/>
  <c r="AA31" i="9"/>
  <c r="AC55" i="11"/>
  <c r="AC62" i="11" s="1"/>
  <c r="AC52" i="11"/>
  <c r="T93" i="19"/>
  <c r="T91" i="19"/>
  <c r="Z26" i="19"/>
  <c r="U79" i="11"/>
  <c r="U77" i="11"/>
  <c r="AA26" i="11"/>
  <c r="AA13" i="11"/>
  <c r="AA37" i="21"/>
  <c r="AA38" i="21" s="1"/>
  <c r="AA19" i="21"/>
  <c r="AA20" i="21"/>
  <c r="AA10" i="21" s="1"/>
  <c r="AB65" i="9"/>
  <c r="AB68" i="9"/>
  <c r="AB75" i="9" s="1"/>
  <c r="AE58" i="11"/>
  <c r="AF48" i="11"/>
  <c r="AD58" i="16"/>
  <c r="AE48" i="16"/>
  <c r="AM30" i="21"/>
  <c r="AL43" i="19"/>
  <c r="AL43" i="14"/>
  <c r="AC55" i="16"/>
  <c r="AC62" i="16" s="1"/>
  <c r="AC52" i="16"/>
  <c r="U80" i="11"/>
  <c r="U78" i="11"/>
  <c r="AA14" i="11"/>
  <c r="AA12" i="11" s="1"/>
  <c r="U50" i="1"/>
  <c r="U48" i="1"/>
  <c r="AB31" i="9" l="1"/>
  <c r="AB35" i="9"/>
  <c r="AC37" i="11"/>
  <c r="AC38" i="11" s="1"/>
  <c r="AC20" i="11"/>
  <c r="AC10" i="11" s="1"/>
  <c r="AC19" i="11"/>
  <c r="AJ49" i="21"/>
  <c r="AJ49" i="16"/>
  <c r="AJ59" i="16" s="1"/>
  <c r="AJ49" i="11"/>
  <c r="AJ59" i="11" s="1"/>
  <c r="AJ34" i="1"/>
  <c r="AK27" i="1"/>
  <c r="AI59" i="21"/>
  <c r="AI62" i="19"/>
  <c r="AI72" i="19" s="1"/>
  <c r="AI62" i="14"/>
  <c r="AI72" i="14" s="1"/>
  <c r="AI62" i="9"/>
  <c r="AI72" i="9" s="1"/>
  <c r="V47" i="1"/>
  <c r="V49" i="1"/>
  <c r="AB14" i="1"/>
  <c r="AC52" i="21"/>
  <c r="AC55" i="21"/>
  <c r="AC62" i="21" s="1"/>
  <c r="AD29" i="1"/>
  <c r="AD32" i="1"/>
  <c r="AD36" i="1" s="1"/>
  <c r="AD58" i="19"/>
  <c r="AD57" i="19" s="1"/>
  <c r="AD58" i="14"/>
  <c r="AD57" i="14" s="1"/>
  <c r="AD58" i="9"/>
  <c r="AD57" i="9" s="1"/>
  <c r="AD44" i="21"/>
  <c r="V80" i="16"/>
  <c r="V78" i="16"/>
  <c r="AB14" i="16"/>
  <c r="AB12" i="16" s="1"/>
  <c r="AB18" i="21"/>
  <c r="AB22" i="21"/>
  <c r="AB50" i="9"/>
  <c r="AB51" i="9" s="1"/>
  <c r="AB33" i="9"/>
  <c r="AB22" i="9" s="1"/>
  <c r="AB32" i="9"/>
  <c r="AB23" i="9" s="1"/>
  <c r="AC22" i="11"/>
  <c r="AC18" i="11"/>
  <c r="V50" i="1"/>
  <c r="V48" i="1"/>
  <c r="AC17" i="1"/>
  <c r="AC18" i="1" s="1"/>
  <c r="AC7" i="1"/>
  <c r="AC8" i="1"/>
  <c r="U90" i="14"/>
  <c r="U92" i="14"/>
  <c r="AA39" i="14"/>
  <c r="AA25" i="14"/>
  <c r="U93" i="19"/>
  <c r="U91" i="19"/>
  <c r="AA26" i="19"/>
  <c r="AB50" i="19"/>
  <c r="AB51" i="19" s="1"/>
  <c r="AB33" i="19"/>
  <c r="AB22" i="19" s="1"/>
  <c r="AB32" i="19"/>
  <c r="AB23" i="19" s="1"/>
  <c r="AC68" i="9"/>
  <c r="AC75" i="9" s="1"/>
  <c r="AC65" i="9"/>
  <c r="AE45" i="21"/>
  <c r="AE45" i="16"/>
  <c r="AE44" i="16" s="1"/>
  <c r="AE45" i="11"/>
  <c r="AE44" i="11" s="1"/>
  <c r="AF25" i="1"/>
  <c r="AE24" i="1"/>
  <c r="AC37" i="16"/>
  <c r="AC38" i="16" s="1"/>
  <c r="AC19" i="16"/>
  <c r="AC20" i="16"/>
  <c r="AC10" i="16" s="1"/>
  <c r="AN30" i="21"/>
  <c r="AM43" i="19"/>
  <c r="AM43" i="14"/>
  <c r="AF58" i="11"/>
  <c r="AG48" i="11"/>
  <c r="U90" i="9"/>
  <c r="U92" i="9"/>
  <c r="AA39" i="9"/>
  <c r="AA25" i="9"/>
  <c r="V80" i="11"/>
  <c r="V78" i="11"/>
  <c r="AB14" i="11"/>
  <c r="AB12" i="11" s="1"/>
  <c r="U77" i="21"/>
  <c r="U79" i="21"/>
  <c r="AA26" i="21"/>
  <c r="AA13" i="21"/>
  <c r="AC10" i="1"/>
  <c r="AC6" i="1"/>
  <c r="U93" i="14"/>
  <c r="U91" i="14"/>
  <c r="AA26" i="14"/>
  <c r="AB9" i="16"/>
  <c r="AB11" i="16"/>
  <c r="U90" i="19"/>
  <c r="U92" i="19"/>
  <c r="AA39" i="19"/>
  <c r="AA25" i="19"/>
  <c r="AB35" i="19"/>
  <c r="AB31" i="19"/>
  <c r="AI46" i="21"/>
  <c r="AI46" i="16"/>
  <c r="AI56" i="16" s="1"/>
  <c r="AI46" i="11"/>
  <c r="AI56" i="11" s="1"/>
  <c r="AJ26" i="1"/>
  <c r="AI33" i="1"/>
  <c r="AH56" i="21"/>
  <c r="AH59" i="19"/>
  <c r="AH69" i="19" s="1"/>
  <c r="AH59" i="14"/>
  <c r="AH69" i="14" s="1"/>
  <c r="AH59" i="9"/>
  <c r="AH69" i="9" s="1"/>
  <c r="AC68" i="14"/>
  <c r="AC75" i="14" s="1"/>
  <c r="AC65" i="14"/>
  <c r="AD52" i="11"/>
  <c r="AD55" i="11"/>
  <c r="AD62" i="11" s="1"/>
  <c r="AI8" i="21"/>
  <c r="AI20" i="19"/>
  <c r="AI8" i="16"/>
  <c r="AI20" i="14"/>
  <c r="AI8" i="11"/>
  <c r="AI20" i="9"/>
  <c r="AJ11" i="1"/>
  <c r="AB50" i="14"/>
  <c r="AB51" i="14" s="1"/>
  <c r="AB33" i="14"/>
  <c r="AB22" i="14" s="1"/>
  <c r="AB32" i="14"/>
  <c r="AB23" i="14" s="1"/>
  <c r="AC22" i="16"/>
  <c r="AC18" i="16"/>
  <c r="AE58" i="16"/>
  <c r="AF48" i="16"/>
  <c r="AA9" i="21"/>
  <c r="AA11" i="21"/>
  <c r="U93" i="9"/>
  <c r="U91" i="9"/>
  <c r="AA26" i="9"/>
  <c r="V77" i="11"/>
  <c r="V79" i="11"/>
  <c r="AB26" i="11"/>
  <c r="AB13" i="11"/>
  <c r="AE58" i="21"/>
  <c r="AF48" i="21"/>
  <c r="AE61" i="19"/>
  <c r="AE71" i="19" s="1"/>
  <c r="AE61" i="14"/>
  <c r="AE71" i="14" s="1"/>
  <c r="AE61" i="9"/>
  <c r="AE71" i="9" s="1"/>
  <c r="U80" i="21"/>
  <c r="U78" i="21"/>
  <c r="AA14" i="21"/>
  <c r="AA12" i="21" s="1"/>
  <c r="AB11" i="11"/>
  <c r="AB9" i="11"/>
  <c r="Z24" i="19"/>
  <c r="Z27" i="19" s="1"/>
  <c r="Z24" i="14"/>
  <c r="Z27" i="14" s="1"/>
  <c r="Z24" i="9"/>
  <c r="Z27" i="9" s="1"/>
  <c r="AA15" i="21"/>
  <c r="AA28" i="19"/>
  <c r="AA16" i="19" s="1"/>
  <c r="AA7" i="19" s="1"/>
  <c r="AA8" i="19" s="1"/>
  <c r="AA9" i="19" s="1"/>
  <c r="AA10" i="19" s="1"/>
  <c r="AA13" i="19" s="1"/>
  <c r="AA12" i="19" s="1"/>
  <c r="AA11" i="19" s="1"/>
  <c r="AA15" i="16"/>
  <c r="AA28" i="14"/>
  <c r="AA16" i="14" s="1"/>
  <c r="AA7" i="14" s="1"/>
  <c r="AA8" i="14" s="1"/>
  <c r="AA9" i="14" s="1"/>
  <c r="AA10" i="14" s="1"/>
  <c r="AA13" i="14" s="1"/>
  <c r="AA12" i="14" s="1"/>
  <c r="AA15" i="11"/>
  <c r="AA28" i="9"/>
  <c r="AA16" i="9" s="1"/>
  <c r="AA7" i="9" s="1"/>
  <c r="AA8" i="9" s="1"/>
  <c r="AA9" i="9" s="1"/>
  <c r="AA10" i="9" s="1"/>
  <c r="AA13" i="9" s="1"/>
  <c r="Z15" i="21"/>
  <c r="Z28" i="19"/>
  <c r="Z16" i="19" s="1"/>
  <c r="Z7" i="19" s="1"/>
  <c r="Z8" i="19" s="1"/>
  <c r="Z9" i="19" s="1"/>
  <c r="Z10" i="19" s="1"/>
  <c r="Z13" i="19" s="1"/>
  <c r="Z12" i="19" s="1"/>
  <c r="Z11" i="19" s="1"/>
  <c r="Z15" i="16"/>
  <c r="Z28" i="14"/>
  <c r="Z16" i="14" s="1"/>
  <c r="Z7" i="14" s="1"/>
  <c r="Z8" i="14" s="1"/>
  <c r="Z9" i="14" s="1"/>
  <c r="Z10" i="14" s="1"/>
  <c r="Z13" i="14" s="1"/>
  <c r="Z12" i="14" s="1"/>
  <c r="Z15" i="11"/>
  <c r="Z28" i="9"/>
  <c r="Z16" i="9" s="1"/>
  <c r="Z7" i="9" s="1"/>
  <c r="Z8" i="9" s="1"/>
  <c r="Z9" i="9" s="1"/>
  <c r="Z10" i="9" s="1"/>
  <c r="Z13" i="9" s="1"/>
  <c r="AC68" i="19"/>
  <c r="AC75" i="19" s="1"/>
  <c r="AC65" i="19"/>
  <c r="AD52" i="16"/>
  <c r="AD55" i="16"/>
  <c r="AD62" i="16" s="1"/>
  <c r="V77" i="16"/>
  <c r="V79" i="16"/>
  <c r="AB13" i="16"/>
  <c r="AB26" i="16"/>
  <c r="AB31" i="14"/>
  <c r="AB35" i="14"/>
  <c r="AB37" i="21"/>
  <c r="AB38" i="21" s="1"/>
  <c r="AB20" i="21"/>
  <c r="AB10" i="21" s="1"/>
  <c r="AB19" i="21"/>
  <c r="AC50" i="19" l="1"/>
  <c r="AC51" i="19" s="1"/>
  <c r="AC33" i="19"/>
  <c r="AC22" i="19" s="1"/>
  <c r="AC32" i="19"/>
  <c r="AC23" i="19" s="1"/>
  <c r="AA24" i="19"/>
  <c r="AA27" i="19" s="1"/>
  <c r="AA24" i="14"/>
  <c r="AA27" i="14" s="1"/>
  <c r="AA24" i="9"/>
  <c r="AA27" i="9" s="1"/>
  <c r="AD20" i="11"/>
  <c r="AD10" i="11" s="1"/>
  <c r="AD19" i="11"/>
  <c r="AD37" i="11"/>
  <c r="AD38" i="11" s="1"/>
  <c r="W50" i="1"/>
  <c r="W48" i="1"/>
  <c r="AC35" i="9"/>
  <c r="AC31" i="9"/>
  <c r="AC50" i="14"/>
  <c r="AC51" i="14" s="1"/>
  <c r="AC33" i="14"/>
  <c r="AC22" i="14" s="1"/>
  <c r="AC32" i="14"/>
  <c r="AC23" i="14" s="1"/>
  <c r="V93" i="14"/>
  <c r="V91" i="14"/>
  <c r="AB26" i="14"/>
  <c r="AD18" i="16"/>
  <c r="AD22" i="16"/>
  <c r="AF58" i="21"/>
  <c r="AG48" i="21"/>
  <c r="AF61" i="19"/>
  <c r="AF71" i="19" s="1"/>
  <c r="AF61" i="14"/>
  <c r="AF71" i="14" s="1"/>
  <c r="AF61" i="9"/>
  <c r="AF71" i="9" s="1"/>
  <c r="AC35" i="14"/>
  <c r="AC31" i="14"/>
  <c r="AE29" i="1"/>
  <c r="AE32" i="1"/>
  <c r="AE36" i="1" s="1"/>
  <c r="AE58" i="19"/>
  <c r="AE57" i="19" s="1"/>
  <c r="AE58" i="14"/>
  <c r="AE57" i="14" s="1"/>
  <c r="AE58" i="9"/>
  <c r="AE57" i="9" s="1"/>
  <c r="AE44" i="21"/>
  <c r="W80" i="11"/>
  <c r="W78" i="11"/>
  <c r="AC14" i="11"/>
  <c r="AC12" i="11" s="1"/>
  <c r="V80" i="21"/>
  <c r="V78" i="21"/>
  <c r="AB14" i="21"/>
  <c r="AB12" i="21" s="1"/>
  <c r="AD68" i="19"/>
  <c r="AD75" i="19" s="1"/>
  <c r="AD65" i="19"/>
  <c r="AC37" i="21"/>
  <c r="AC38" i="21" s="1"/>
  <c r="AC20" i="21"/>
  <c r="AC10" i="21" s="1"/>
  <c r="AC19" i="21"/>
  <c r="AK49" i="21"/>
  <c r="AK49" i="16"/>
  <c r="AK59" i="16" s="1"/>
  <c r="AK49" i="11"/>
  <c r="AK59" i="11" s="1"/>
  <c r="AK34" i="1"/>
  <c r="AL27" i="1"/>
  <c r="AJ59" i="21"/>
  <c r="AJ62" i="19"/>
  <c r="AJ72" i="19" s="1"/>
  <c r="AJ62" i="14"/>
  <c r="AJ72" i="14" s="1"/>
  <c r="AJ62" i="9"/>
  <c r="AJ72" i="9" s="1"/>
  <c r="V93" i="9"/>
  <c r="V91" i="9"/>
  <c r="AB26" i="9"/>
  <c r="V90" i="19"/>
  <c r="V92" i="19"/>
  <c r="AB25" i="19"/>
  <c r="AB39" i="19"/>
  <c r="AE55" i="11"/>
  <c r="AE62" i="11" s="1"/>
  <c r="AE52" i="11"/>
  <c r="AC35" i="19"/>
  <c r="AC31" i="19"/>
  <c r="AF58" i="16"/>
  <c r="AG48" i="16"/>
  <c r="V93" i="19"/>
  <c r="V91" i="19"/>
  <c r="AB26" i="19"/>
  <c r="AB9" i="21"/>
  <c r="AB11" i="21"/>
  <c r="V90" i="14"/>
  <c r="V92" i="14"/>
  <c r="AB39" i="14"/>
  <c r="AB25" i="14"/>
  <c r="AD20" i="16"/>
  <c r="AD10" i="16" s="1"/>
  <c r="AD37" i="16"/>
  <c r="AD38" i="16" s="1"/>
  <c r="AD19" i="16"/>
  <c r="W79" i="16"/>
  <c r="W77" i="16"/>
  <c r="AC26" i="16"/>
  <c r="AC13" i="16"/>
  <c r="AD22" i="11"/>
  <c r="AD18" i="11"/>
  <c r="AI56" i="21"/>
  <c r="AI59" i="19"/>
  <c r="AI69" i="19" s="1"/>
  <c r="AI59" i="14"/>
  <c r="AI69" i="14" s="1"/>
  <c r="AI59" i="9"/>
  <c r="AI69" i="9" s="1"/>
  <c r="AC14" i="1"/>
  <c r="AC11" i="16"/>
  <c r="AC9" i="16"/>
  <c r="AF45" i="21"/>
  <c r="AF45" i="16"/>
  <c r="AF44" i="16" s="1"/>
  <c r="AF45" i="11"/>
  <c r="AF44" i="11" s="1"/>
  <c r="AG25" i="1"/>
  <c r="AF24" i="1"/>
  <c r="AC50" i="9"/>
  <c r="AC51" i="9" s="1"/>
  <c r="AC33" i="9"/>
  <c r="AC22" i="9" s="1"/>
  <c r="AC32" i="9"/>
  <c r="AC23" i="9" s="1"/>
  <c r="AC9" i="1"/>
  <c r="W49" i="1" s="1"/>
  <c r="V77" i="21"/>
  <c r="V79" i="21"/>
  <c r="AB26" i="21"/>
  <c r="AB13" i="21"/>
  <c r="AD52" i="21"/>
  <c r="AD55" i="21"/>
  <c r="AD62" i="21" s="1"/>
  <c r="AD10" i="1"/>
  <c r="AD6" i="1"/>
  <c r="AB15" i="21"/>
  <c r="AB28" i="19"/>
  <c r="AB16" i="19" s="1"/>
  <c r="AB7" i="19" s="1"/>
  <c r="AB8" i="19" s="1"/>
  <c r="AB9" i="19" s="1"/>
  <c r="AB10" i="19" s="1"/>
  <c r="AB13" i="19" s="1"/>
  <c r="AB12" i="19" s="1"/>
  <c r="AB11" i="19" s="1"/>
  <c r="AB15" i="16"/>
  <c r="AB28" i="14"/>
  <c r="AB16" i="14" s="1"/>
  <c r="AB7" i="14" s="1"/>
  <c r="AB8" i="14" s="1"/>
  <c r="AB9" i="14" s="1"/>
  <c r="AB10" i="14" s="1"/>
  <c r="AB13" i="14" s="1"/>
  <c r="AB12" i="14" s="1"/>
  <c r="AB15" i="11"/>
  <c r="AB28" i="9"/>
  <c r="AB16" i="9" s="1"/>
  <c r="AB7" i="9" s="1"/>
  <c r="AB8" i="9" s="1"/>
  <c r="AB9" i="9" s="1"/>
  <c r="AB10" i="9" s="1"/>
  <c r="AB13" i="9" s="1"/>
  <c r="AC9" i="11"/>
  <c r="AC11" i="11"/>
  <c r="V92" i="9"/>
  <c r="V90" i="9"/>
  <c r="AB39" i="9"/>
  <c r="AB25" i="9"/>
  <c r="AD68" i="9"/>
  <c r="AD75" i="9" s="1"/>
  <c r="AD65" i="9"/>
  <c r="AD8" i="1"/>
  <c r="AD7" i="1"/>
  <c r="AD17" i="1"/>
  <c r="AD18" i="1" s="1"/>
  <c r="W80" i="16"/>
  <c r="W78" i="16"/>
  <c r="AC14" i="16"/>
  <c r="AC12" i="16" s="1"/>
  <c r="AJ8" i="21"/>
  <c r="AJ20" i="19"/>
  <c r="AJ8" i="16"/>
  <c r="AJ20" i="14"/>
  <c r="AJ8" i="11"/>
  <c r="AJ20" i="9"/>
  <c r="AK11" i="1"/>
  <c r="AJ46" i="21"/>
  <c r="AJ46" i="16"/>
  <c r="AJ56" i="16" s="1"/>
  <c r="AJ46" i="11"/>
  <c r="AJ56" i="11" s="1"/>
  <c r="AK26" i="1"/>
  <c r="AJ33" i="1"/>
  <c r="AG58" i="11"/>
  <c r="AH48" i="11"/>
  <c r="AO30" i="21"/>
  <c r="AN43" i="19"/>
  <c r="AN43" i="14"/>
  <c r="AE55" i="16"/>
  <c r="AE62" i="16" s="1"/>
  <c r="AE52" i="16"/>
  <c r="W77" i="11"/>
  <c r="W79" i="11"/>
  <c r="AC13" i="11"/>
  <c r="AC26" i="11"/>
  <c r="AD68" i="14"/>
  <c r="AD75" i="14" s="1"/>
  <c r="AD65" i="14"/>
  <c r="AC22" i="21"/>
  <c r="AC18" i="21"/>
  <c r="AD32" i="19" l="1"/>
  <c r="AD23" i="19" s="1"/>
  <c r="AD50" i="19"/>
  <c r="AD51" i="19" s="1"/>
  <c r="AD33" i="19"/>
  <c r="AD22" i="19" s="1"/>
  <c r="AE65" i="19"/>
  <c r="AE68" i="19"/>
  <c r="AE75" i="19" s="1"/>
  <c r="W93" i="14"/>
  <c r="W91" i="14"/>
  <c r="AC26" i="14"/>
  <c r="X77" i="16"/>
  <c r="X79" i="16"/>
  <c r="AD26" i="16"/>
  <c r="AD13" i="16"/>
  <c r="W90" i="9"/>
  <c r="W92" i="9"/>
  <c r="AC25" i="9"/>
  <c r="AC39" i="9"/>
  <c r="W79" i="21"/>
  <c r="W77" i="21"/>
  <c r="AC26" i="21"/>
  <c r="AC13" i="21"/>
  <c r="AE20" i="16"/>
  <c r="AE10" i="16" s="1"/>
  <c r="AE37" i="16"/>
  <c r="AE38" i="16" s="1"/>
  <c r="AE19" i="16"/>
  <c r="AP30" i="21"/>
  <c r="AO43" i="19"/>
  <c r="AO43" i="14"/>
  <c r="AK46" i="21"/>
  <c r="AK46" i="16"/>
  <c r="AK56" i="16" s="1"/>
  <c r="AK46" i="11"/>
  <c r="AK56" i="11" s="1"/>
  <c r="AK33" i="1"/>
  <c r="AL26" i="1"/>
  <c r="AK8" i="21"/>
  <c r="AK20" i="19"/>
  <c r="AK8" i="16"/>
  <c r="AK20" i="14"/>
  <c r="AK8" i="11"/>
  <c r="AK20" i="9"/>
  <c r="AL11" i="1"/>
  <c r="AD9" i="1"/>
  <c r="X47" i="1" s="1"/>
  <c r="X49" i="1"/>
  <c r="AD14" i="1"/>
  <c r="AF32" i="1"/>
  <c r="AF36" i="1" s="1"/>
  <c r="AF29" i="1"/>
  <c r="AF58" i="19"/>
  <c r="AF57" i="19" s="1"/>
  <c r="AF58" i="14"/>
  <c r="AF57" i="14" s="1"/>
  <c r="AF58" i="9"/>
  <c r="AF57" i="9" s="1"/>
  <c r="AF44" i="21"/>
  <c r="W47" i="1"/>
  <c r="W90" i="19"/>
  <c r="W92" i="19"/>
  <c r="AC39" i="19"/>
  <c r="AC25" i="19"/>
  <c r="AC11" i="21"/>
  <c r="AC9" i="21"/>
  <c r="AD35" i="19"/>
  <c r="AD31" i="19"/>
  <c r="AE52" i="21"/>
  <c r="AE55" i="21"/>
  <c r="AE62" i="21" s="1"/>
  <c r="AE10" i="1"/>
  <c r="AE6" i="1"/>
  <c r="AG58" i="21"/>
  <c r="AH48" i="21"/>
  <c r="AG61" i="19"/>
  <c r="AG71" i="19" s="1"/>
  <c r="AG61" i="14"/>
  <c r="AG71" i="14" s="1"/>
  <c r="AG61" i="9"/>
  <c r="AG71" i="9" s="1"/>
  <c r="W93" i="9"/>
  <c r="W91" i="9"/>
  <c r="AC26" i="9"/>
  <c r="AD9" i="11"/>
  <c r="AD11" i="11"/>
  <c r="AJ56" i="21"/>
  <c r="AJ59" i="19"/>
  <c r="AJ69" i="19" s="1"/>
  <c r="AJ59" i="14"/>
  <c r="AJ69" i="14" s="1"/>
  <c r="AJ59" i="9"/>
  <c r="AJ69" i="9" s="1"/>
  <c r="AD37" i="21"/>
  <c r="AD38" i="21" s="1"/>
  <c r="AD20" i="21"/>
  <c r="AD10" i="21" s="1"/>
  <c r="AD19" i="21"/>
  <c r="AF52" i="16"/>
  <c r="AF55" i="16"/>
  <c r="AF62" i="16" s="1"/>
  <c r="AC15" i="21"/>
  <c r="AC28" i="19"/>
  <c r="AC16" i="19" s="1"/>
  <c r="AC7" i="19" s="1"/>
  <c r="AC8" i="19" s="1"/>
  <c r="AC9" i="19" s="1"/>
  <c r="AC10" i="19" s="1"/>
  <c r="AC13" i="19" s="1"/>
  <c r="AC12" i="19" s="1"/>
  <c r="AC11" i="19" s="1"/>
  <c r="AC15" i="16"/>
  <c r="AC28" i="14"/>
  <c r="AC16" i="14" s="1"/>
  <c r="AC7" i="14" s="1"/>
  <c r="AC8" i="14" s="1"/>
  <c r="AC9" i="14" s="1"/>
  <c r="AC10" i="14" s="1"/>
  <c r="AC13" i="14" s="1"/>
  <c r="AC12" i="14" s="1"/>
  <c r="AC15" i="11"/>
  <c r="AC28" i="9"/>
  <c r="AC16" i="9" s="1"/>
  <c r="AC7" i="9" s="1"/>
  <c r="AC8" i="9" s="1"/>
  <c r="AC9" i="9" s="1"/>
  <c r="AC10" i="9" s="1"/>
  <c r="AC13" i="9" s="1"/>
  <c r="X80" i="11"/>
  <c r="X78" i="11"/>
  <c r="AD14" i="11"/>
  <c r="AD12" i="11" s="1"/>
  <c r="AE22" i="11"/>
  <c r="AE18" i="11"/>
  <c r="AL49" i="21"/>
  <c r="AL49" i="16"/>
  <c r="AL59" i="16" s="1"/>
  <c r="AL49" i="11"/>
  <c r="AL59" i="11" s="1"/>
  <c r="AL34" i="1"/>
  <c r="AM27" i="1"/>
  <c r="W80" i="21"/>
  <c r="W78" i="21"/>
  <c r="AC14" i="21"/>
  <c r="AC12" i="21" s="1"/>
  <c r="AE22" i="16"/>
  <c r="AE18" i="16"/>
  <c r="AH58" i="11"/>
  <c r="AI48" i="11"/>
  <c r="AD33" i="9"/>
  <c r="AD22" i="9" s="1"/>
  <c r="AD32" i="9"/>
  <c r="AD23" i="9" s="1"/>
  <c r="AD50" i="9"/>
  <c r="AD51" i="9" s="1"/>
  <c r="X50" i="1"/>
  <c r="X48" i="1"/>
  <c r="AG45" i="21"/>
  <c r="AG45" i="16"/>
  <c r="AG44" i="16" s="1"/>
  <c r="AG45" i="11"/>
  <c r="AG44" i="11" s="1"/>
  <c r="AG24" i="1"/>
  <c r="AH25" i="1"/>
  <c r="AD11" i="16"/>
  <c r="AD9" i="16"/>
  <c r="W93" i="19"/>
  <c r="W91" i="19"/>
  <c r="AC26" i="19"/>
  <c r="AB24" i="19"/>
  <c r="AB27" i="19" s="1"/>
  <c r="AB24" i="14"/>
  <c r="AB27" i="14" s="1"/>
  <c r="AB24" i="9"/>
  <c r="AB27" i="9" s="1"/>
  <c r="AE68" i="9"/>
  <c r="AE75" i="9" s="1"/>
  <c r="AE65" i="9"/>
  <c r="AE8" i="1"/>
  <c r="AE9" i="1" s="1"/>
  <c r="AE17" i="1"/>
  <c r="AE18" i="1" s="1"/>
  <c r="AE7" i="1"/>
  <c r="AD35" i="14"/>
  <c r="AD31" i="14"/>
  <c r="AK59" i="21"/>
  <c r="AK62" i="19"/>
  <c r="AK72" i="19" s="1"/>
  <c r="AK62" i="14"/>
  <c r="AK72" i="14" s="1"/>
  <c r="AK62" i="9"/>
  <c r="AK72" i="9" s="1"/>
  <c r="AD50" i="14"/>
  <c r="AD51" i="14" s="1"/>
  <c r="AD33" i="14"/>
  <c r="AD22" i="14" s="1"/>
  <c r="AD32" i="14"/>
  <c r="AD23" i="14" s="1"/>
  <c r="AD35" i="9"/>
  <c r="AD31" i="9"/>
  <c r="AD22" i="21"/>
  <c r="AD18" i="21"/>
  <c r="AF55" i="11"/>
  <c r="AF62" i="11" s="1"/>
  <c r="AF52" i="11"/>
  <c r="X77" i="11"/>
  <c r="X79" i="11"/>
  <c r="AD13" i="11"/>
  <c r="AD26" i="11"/>
  <c r="AG58" i="16"/>
  <c r="AH48" i="16"/>
  <c r="AE19" i="11"/>
  <c r="AE37" i="11"/>
  <c r="AE38" i="11" s="1"/>
  <c r="AE20" i="11"/>
  <c r="AE10" i="11" s="1"/>
  <c r="AE65" i="14"/>
  <c r="AE68" i="14"/>
  <c r="AE75" i="14" s="1"/>
  <c r="W90" i="14"/>
  <c r="W92" i="14"/>
  <c r="AC25" i="14"/>
  <c r="AC39" i="14"/>
  <c r="X80" i="16"/>
  <c r="X78" i="16"/>
  <c r="AD14" i="16"/>
  <c r="AD12" i="16" s="1"/>
  <c r="X77" i="21" l="1"/>
  <c r="X79" i="21"/>
  <c r="AD13" i="21"/>
  <c r="AD26" i="21"/>
  <c r="X92" i="14"/>
  <c r="X90" i="14"/>
  <c r="AD39" i="14"/>
  <c r="AD25" i="14"/>
  <c r="AG32" i="1"/>
  <c r="AG36" i="1" s="1"/>
  <c r="AG29" i="1"/>
  <c r="Y80" i="11"/>
  <c r="Y78" i="11"/>
  <c r="AE14" i="11"/>
  <c r="AE12" i="11" s="1"/>
  <c r="AD11" i="21"/>
  <c r="AD9" i="21"/>
  <c r="AH58" i="21"/>
  <c r="AI48" i="21"/>
  <c r="AH61" i="19"/>
  <c r="AH71" i="19" s="1"/>
  <c r="AH61" i="14"/>
  <c r="AH71" i="14" s="1"/>
  <c r="AH61" i="9"/>
  <c r="AH71" i="9" s="1"/>
  <c r="AE22" i="21"/>
  <c r="AE18" i="21"/>
  <c r="AF65" i="9"/>
  <c r="AF68" i="9"/>
  <c r="AF75" i="9" s="1"/>
  <c r="AF10" i="1"/>
  <c r="AF6" i="1"/>
  <c r="AL46" i="21"/>
  <c r="AL46" i="16"/>
  <c r="AL56" i="16" s="1"/>
  <c r="AL46" i="11"/>
  <c r="AL56" i="11" s="1"/>
  <c r="AL33" i="1"/>
  <c r="AM26" i="1"/>
  <c r="AK56" i="21"/>
  <c r="AK59" i="19"/>
  <c r="AK69" i="19" s="1"/>
  <c r="AK59" i="14"/>
  <c r="AK69" i="14" s="1"/>
  <c r="AK59" i="9"/>
  <c r="AK69" i="9" s="1"/>
  <c r="AE9" i="16"/>
  <c r="AE11" i="16"/>
  <c r="AF37" i="11"/>
  <c r="AF38" i="11" s="1"/>
  <c r="AF20" i="11"/>
  <c r="AF10" i="11" s="1"/>
  <c r="AF19" i="11"/>
  <c r="X80" i="21"/>
  <c r="X78" i="21"/>
  <c r="AD14" i="21"/>
  <c r="AD12" i="21" s="1"/>
  <c r="X93" i="14"/>
  <c r="X91" i="14"/>
  <c r="AD26" i="14"/>
  <c r="AE32" i="9"/>
  <c r="AE23" i="9" s="1"/>
  <c r="AE50" i="9"/>
  <c r="AE51" i="9" s="1"/>
  <c r="AE33" i="9"/>
  <c r="AE22" i="9" s="1"/>
  <c r="AG55" i="11"/>
  <c r="AG62" i="11" s="1"/>
  <c r="AG52" i="11"/>
  <c r="Y77" i="16"/>
  <c r="Y79" i="16"/>
  <c r="AE13" i="16"/>
  <c r="AE26" i="16"/>
  <c r="AE37" i="21"/>
  <c r="AE38" i="21" s="1"/>
  <c r="AE19" i="21"/>
  <c r="AE20" i="21"/>
  <c r="AE10" i="21" s="1"/>
  <c r="AF68" i="14"/>
  <c r="AF75" i="14" s="1"/>
  <c r="AF65" i="14"/>
  <c r="AD15" i="21"/>
  <c r="AD28" i="19"/>
  <c r="AD16" i="19" s="1"/>
  <c r="AD7" i="19" s="1"/>
  <c r="AD8" i="19" s="1"/>
  <c r="AD9" i="19" s="1"/>
  <c r="AD10" i="19" s="1"/>
  <c r="AD13" i="19" s="1"/>
  <c r="AD12" i="19" s="1"/>
  <c r="AD11" i="19" s="1"/>
  <c r="AD15" i="16"/>
  <c r="AD28" i="14"/>
  <c r="AD16" i="14" s="1"/>
  <c r="AD7" i="14" s="1"/>
  <c r="AD8" i="14" s="1"/>
  <c r="AD9" i="14" s="1"/>
  <c r="AD10" i="14" s="1"/>
  <c r="AD13" i="14" s="1"/>
  <c r="AD12" i="14" s="1"/>
  <c r="AD15" i="11"/>
  <c r="AD28" i="9"/>
  <c r="AD16" i="9" s="1"/>
  <c r="AD7" i="9" s="1"/>
  <c r="AD8" i="9" s="1"/>
  <c r="AD9" i="9" s="1"/>
  <c r="AD10" i="9" s="1"/>
  <c r="AD13" i="9" s="1"/>
  <c r="AL8" i="21"/>
  <c r="AL20" i="19"/>
  <c r="AL8" i="16"/>
  <c r="AL20" i="14"/>
  <c r="AL8" i="11"/>
  <c r="AL20" i="9"/>
  <c r="AM11" i="1"/>
  <c r="AE11" i="11"/>
  <c r="AE9" i="11"/>
  <c r="X90" i="9"/>
  <c r="X92" i="9"/>
  <c r="AD39" i="9"/>
  <c r="AD25" i="9"/>
  <c r="AE35" i="9"/>
  <c r="AE31" i="9"/>
  <c r="AG55" i="16"/>
  <c r="AG62" i="16" s="1"/>
  <c r="AG52" i="16"/>
  <c r="Y80" i="16"/>
  <c r="Y78" i="16"/>
  <c r="AE14" i="16"/>
  <c r="AE12" i="16" s="1"/>
  <c r="AM49" i="21"/>
  <c r="AM49" i="16"/>
  <c r="AM59" i="16" s="1"/>
  <c r="AM49" i="11"/>
  <c r="AM59" i="11" s="1"/>
  <c r="AM34" i="1"/>
  <c r="AN27" i="1"/>
  <c r="AL59" i="21"/>
  <c r="AL62" i="19"/>
  <c r="AL72" i="19" s="1"/>
  <c r="AL62" i="14"/>
  <c r="AL72" i="14" s="1"/>
  <c r="AL62" i="9"/>
  <c r="AL72" i="9" s="1"/>
  <c r="AF22" i="16"/>
  <c r="AF18" i="16"/>
  <c r="Y47" i="1"/>
  <c r="Y49" i="1"/>
  <c r="AE14" i="1"/>
  <c r="X92" i="19"/>
  <c r="X90" i="19"/>
  <c r="AD39" i="19"/>
  <c r="AD25" i="19"/>
  <c r="AF68" i="19"/>
  <c r="AF75" i="19" s="1"/>
  <c r="AF65" i="19"/>
  <c r="AE31" i="19"/>
  <c r="AE35" i="19"/>
  <c r="AE35" i="14"/>
  <c r="AE31" i="14"/>
  <c r="AF18" i="11"/>
  <c r="AF22" i="11"/>
  <c r="AE32" i="14"/>
  <c r="AE23" i="14" s="1"/>
  <c r="AE50" i="14"/>
  <c r="AE51" i="14" s="1"/>
  <c r="AE33" i="14"/>
  <c r="AE22" i="14" s="1"/>
  <c r="AH58" i="16"/>
  <c r="AI48" i="16"/>
  <c r="X93" i="9"/>
  <c r="X91" i="9"/>
  <c r="AD26" i="9"/>
  <c r="AH45" i="21"/>
  <c r="AH45" i="16"/>
  <c r="AH44" i="16" s="1"/>
  <c r="AH45" i="11"/>
  <c r="AH44" i="11" s="1"/>
  <c r="AI25" i="1"/>
  <c r="AH24" i="1"/>
  <c r="AG58" i="19"/>
  <c r="AG57" i="19" s="1"/>
  <c r="AG58" i="14"/>
  <c r="AG57" i="14" s="1"/>
  <c r="AG58" i="9"/>
  <c r="AG57" i="9" s="1"/>
  <c r="AG44" i="21"/>
  <c r="AI58" i="11"/>
  <c r="AJ48" i="11"/>
  <c r="AC24" i="19"/>
  <c r="AC27" i="19" s="1"/>
  <c r="AC24" i="14"/>
  <c r="AC27" i="14" s="1"/>
  <c r="AC24" i="9"/>
  <c r="AC27" i="9" s="1"/>
  <c r="Y79" i="11"/>
  <c r="Y77" i="11"/>
  <c r="AE26" i="11"/>
  <c r="AE13" i="11"/>
  <c r="AF20" i="16"/>
  <c r="AF10" i="16" s="1"/>
  <c r="AF37" i="16"/>
  <c r="AF38" i="16" s="1"/>
  <c r="AF19" i="16"/>
  <c r="Y50" i="1"/>
  <c r="Y48" i="1"/>
  <c r="X93" i="19"/>
  <c r="X91" i="19"/>
  <c r="AD26" i="19"/>
  <c r="AF55" i="21"/>
  <c r="AF62" i="21" s="1"/>
  <c r="AF52" i="21"/>
  <c r="AF17" i="1"/>
  <c r="AF18" i="1" s="1"/>
  <c r="AF7" i="1"/>
  <c r="AF8" i="1"/>
  <c r="AF9" i="1" s="1"/>
  <c r="AP43" i="19"/>
  <c r="AP43" i="14"/>
  <c r="AE50" i="19"/>
  <c r="AE51" i="19" s="1"/>
  <c r="AE33" i="19"/>
  <c r="AE22" i="19" s="1"/>
  <c r="AE32" i="19"/>
  <c r="AE23" i="19" s="1"/>
  <c r="AH52" i="16" l="1"/>
  <c r="AH55" i="16"/>
  <c r="AH62" i="16" s="1"/>
  <c r="Y90" i="14"/>
  <c r="Y92" i="14"/>
  <c r="AE39" i="14"/>
  <c r="AE25" i="14"/>
  <c r="Z80" i="16"/>
  <c r="Z78" i="16"/>
  <c r="AF14" i="16"/>
  <c r="AF12" i="16" s="1"/>
  <c r="AF9" i="16"/>
  <c r="AF11" i="16"/>
  <c r="AG52" i="21"/>
  <c r="AG55" i="21"/>
  <c r="AG62" i="21" s="1"/>
  <c r="AH29" i="1"/>
  <c r="AH32" i="1"/>
  <c r="AH36" i="1" s="1"/>
  <c r="AH58" i="19"/>
  <c r="AH57" i="19" s="1"/>
  <c r="AH58" i="14"/>
  <c r="AH57" i="14" s="1"/>
  <c r="AH58" i="9"/>
  <c r="AH57" i="9" s="1"/>
  <c r="AH44" i="21"/>
  <c r="AI58" i="16"/>
  <c r="AJ48" i="16"/>
  <c r="Y93" i="14"/>
  <c r="Y91" i="14"/>
  <c r="AE26" i="14"/>
  <c r="AN49" i="21"/>
  <c r="AN49" i="16"/>
  <c r="AN59" i="16" s="1"/>
  <c r="AN49" i="11"/>
  <c r="AN59" i="11" s="1"/>
  <c r="AO27" i="1"/>
  <c r="AN34" i="1"/>
  <c r="AM59" i="21"/>
  <c r="AM62" i="19"/>
  <c r="AM72" i="19" s="1"/>
  <c r="AM62" i="14"/>
  <c r="AM72" i="14" s="1"/>
  <c r="AM62" i="9"/>
  <c r="AM72" i="9" s="1"/>
  <c r="AG37" i="16"/>
  <c r="AG38" i="16" s="1"/>
  <c r="AG19" i="16"/>
  <c r="AG20" i="16"/>
  <c r="AG10" i="16" s="1"/>
  <c r="AF31" i="14"/>
  <c r="AF35" i="14"/>
  <c r="AG37" i="11"/>
  <c r="AG38" i="11" s="1"/>
  <c r="AG20" i="11"/>
  <c r="AG10" i="11" s="1"/>
  <c r="AG19" i="11"/>
  <c r="AF11" i="11"/>
  <c r="AF9" i="11"/>
  <c r="Z47" i="1"/>
  <c r="Z49" i="1"/>
  <c r="AF14" i="1"/>
  <c r="Y79" i="21"/>
  <c r="Y77" i="21"/>
  <c r="AE26" i="21"/>
  <c r="AE13" i="21"/>
  <c r="AJ58" i="11"/>
  <c r="AK48" i="11"/>
  <c r="Z77" i="11"/>
  <c r="Z79" i="11"/>
  <c r="AF26" i="11"/>
  <c r="AF13" i="11"/>
  <c r="AG68" i="19"/>
  <c r="AG75" i="19" s="1"/>
  <c r="AG65" i="19"/>
  <c r="AF37" i="21"/>
  <c r="AF38" i="21" s="1"/>
  <c r="AF20" i="21"/>
  <c r="AF10" i="21" s="1"/>
  <c r="AF19" i="21"/>
  <c r="AG68" i="9"/>
  <c r="AG75" i="9" s="1"/>
  <c r="AG65" i="9"/>
  <c r="AI45" i="21"/>
  <c r="AI45" i="16"/>
  <c r="AI44" i="16" s="1"/>
  <c r="AI45" i="11"/>
  <c r="AI44" i="11" s="1"/>
  <c r="AJ25" i="1"/>
  <c r="AI24" i="1"/>
  <c r="Z80" i="11"/>
  <c r="Z78" i="11"/>
  <c r="AF14" i="11"/>
  <c r="AF12" i="11" s="1"/>
  <c r="Y93" i="19"/>
  <c r="Y91" i="19"/>
  <c r="AE26" i="19"/>
  <c r="AF50" i="19"/>
  <c r="AF51" i="19" s="1"/>
  <c r="AF33" i="19"/>
  <c r="AF22" i="19" s="1"/>
  <c r="AF32" i="19"/>
  <c r="AF23" i="19" s="1"/>
  <c r="AG22" i="16"/>
  <c r="AG18" i="16"/>
  <c r="AG22" i="11"/>
  <c r="AG18" i="11"/>
  <c r="AD24" i="19"/>
  <c r="AD27" i="19" s="1"/>
  <c r="AD24" i="14"/>
  <c r="AD27" i="14" s="1"/>
  <c r="AD24" i="9"/>
  <c r="AD27" i="9" s="1"/>
  <c r="Z50" i="1"/>
  <c r="Z48" i="1"/>
  <c r="Y80" i="21"/>
  <c r="Y78" i="21"/>
  <c r="AE14" i="21"/>
  <c r="AE12" i="21" s="1"/>
  <c r="AI58" i="21"/>
  <c r="AJ48" i="21"/>
  <c r="AI61" i="19"/>
  <c r="AI71" i="19" s="1"/>
  <c r="AI61" i="14"/>
  <c r="AI71" i="14" s="1"/>
  <c r="AI61" i="9"/>
  <c r="AI71" i="9" s="1"/>
  <c r="AG17" i="1"/>
  <c r="AG18" i="1" s="1"/>
  <c r="AG7" i="1"/>
  <c r="AG8" i="1"/>
  <c r="AG9" i="1" s="1"/>
  <c r="AF18" i="21"/>
  <c r="AF22" i="21"/>
  <c r="AG68" i="14"/>
  <c r="AG75" i="14" s="1"/>
  <c r="AG65" i="14"/>
  <c r="Y90" i="19"/>
  <c r="Y92" i="19"/>
  <c r="AE39" i="19"/>
  <c r="AE25" i="19"/>
  <c r="AF35" i="19"/>
  <c r="AF31" i="19"/>
  <c r="Z77" i="16"/>
  <c r="Z79" i="16"/>
  <c r="AF13" i="16"/>
  <c r="AF26" i="16"/>
  <c r="Y90" i="9"/>
  <c r="Y92" i="9"/>
  <c r="AE39" i="9"/>
  <c r="AE25" i="9"/>
  <c r="AM8" i="21"/>
  <c r="AM20" i="19"/>
  <c r="AM8" i="16"/>
  <c r="AM20" i="14"/>
  <c r="AM8" i="11"/>
  <c r="AM20" i="9"/>
  <c r="AN11" i="1"/>
  <c r="AE9" i="21"/>
  <c r="AE11" i="21"/>
  <c r="AM46" i="21"/>
  <c r="AM46" i="16"/>
  <c r="AM56" i="16" s="1"/>
  <c r="AM46" i="11"/>
  <c r="AM56" i="11" s="1"/>
  <c r="AM33" i="1"/>
  <c r="AN26" i="1"/>
  <c r="AL56" i="21"/>
  <c r="AL59" i="19"/>
  <c r="AL69" i="19" s="1"/>
  <c r="AL59" i="14"/>
  <c r="AL69" i="14" s="1"/>
  <c r="AL59" i="9"/>
  <c r="AL69" i="9" s="1"/>
  <c r="AF31" i="9"/>
  <c r="AF35" i="9"/>
  <c r="AG10" i="1"/>
  <c r="AG6" i="1"/>
  <c r="AH52" i="11"/>
  <c r="AH55" i="11"/>
  <c r="AH62" i="11" s="1"/>
  <c r="AE15" i="21"/>
  <c r="AE28" i="19"/>
  <c r="AE16" i="19" s="1"/>
  <c r="AE7" i="19" s="1"/>
  <c r="AE8" i="19" s="1"/>
  <c r="AE9" i="19" s="1"/>
  <c r="AE10" i="19" s="1"/>
  <c r="AE13" i="19" s="1"/>
  <c r="AE12" i="19" s="1"/>
  <c r="AE11" i="19" s="1"/>
  <c r="AE15" i="16"/>
  <c r="AE28" i="14"/>
  <c r="AE16" i="14" s="1"/>
  <c r="AE7" i="14" s="1"/>
  <c r="AE8" i="14" s="1"/>
  <c r="AE9" i="14" s="1"/>
  <c r="AE10" i="14" s="1"/>
  <c r="AE13" i="14" s="1"/>
  <c r="AE12" i="14" s="1"/>
  <c r="AE15" i="11"/>
  <c r="AE28" i="9"/>
  <c r="AE16" i="9" s="1"/>
  <c r="AE7" i="9" s="1"/>
  <c r="AE8" i="9" s="1"/>
  <c r="AE9" i="9" s="1"/>
  <c r="AE10" i="9" s="1"/>
  <c r="AE13" i="9" s="1"/>
  <c r="Y93" i="9"/>
  <c r="Y91" i="9"/>
  <c r="AE26" i="9"/>
  <c r="AF50" i="14"/>
  <c r="AF51" i="14" s="1"/>
  <c r="AF33" i="14"/>
  <c r="AF22" i="14" s="1"/>
  <c r="AF32" i="14"/>
  <c r="AF23" i="14" s="1"/>
  <c r="AF50" i="9"/>
  <c r="AF51" i="9" s="1"/>
  <c r="AF33" i="9"/>
  <c r="AF22" i="9" s="1"/>
  <c r="AF32" i="9"/>
  <c r="AF23" i="9" s="1"/>
  <c r="AA50" i="1" l="1"/>
  <c r="AA48" i="1"/>
  <c r="AH20" i="11"/>
  <c r="AH10" i="11" s="1"/>
  <c r="AH19" i="11"/>
  <c r="AH37" i="11"/>
  <c r="AH38" i="11" s="1"/>
  <c r="AG35" i="14"/>
  <c r="AG31" i="14"/>
  <c r="Z92" i="9"/>
  <c r="Z90" i="9"/>
  <c r="AF39" i="9"/>
  <c r="AF25" i="9"/>
  <c r="Z90" i="19"/>
  <c r="Z92" i="19"/>
  <c r="AF25" i="19"/>
  <c r="AF39" i="19"/>
  <c r="Z80" i="21"/>
  <c r="Z78" i="21"/>
  <c r="AF14" i="21"/>
  <c r="AF12" i="21" s="1"/>
  <c r="AJ58" i="21"/>
  <c r="AK48" i="21"/>
  <c r="AJ61" i="19"/>
  <c r="AJ71" i="19" s="1"/>
  <c r="AJ61" i="14"/>
  <c r="AJ71" i="14" s="1"/>
  <c r="AJ61" i="9"/>
  <c r="AJ71" i="9" s="1"/>
  <c r="AI29" i="1"/>
  <c r="AI32" i="1"/>
  <c r="AI36" i="1" s="1"/>
  <c r="AI58" i="19"/>
  <c r="AI57" i="19" s="1"/>
  <c r="AI58" i="14"/>
  <c r="AI57" i="14" s="1"/>
  <c r="AI58" i="9"/>
  <c r="AI57" i="9" s="1"/>
  <c r="AI44" i="21"/>
  <c r="AK58" i="11"/>
  <c r="AL48" i="11"/>
  <c r="AO49" i="21"/>
  <c r="AO49" i="16"/>
  <c r="AO59" i="16" s="1"/>
  <c r="AO49" i="11"/>
  <c r="AO59" i="11" s="1"/>
  <c r="AO34" i="1"/>
  <c r="AP27" i="1"/>
  <c r="AH68" i="19"/>
  <c r="AH75" i="19" s="1"/>
  <c r="AH65" i="19"/>
  <c r="AG37" i="21"/>
  <c r="AG38" i="21" s="1"/>
  <c r="AG20" i="21"/>
  <c r="AG10" i="21" s="1"/>
  <c r="AG19" i="21"/>
  <c r="AA49" i="1"/>
  <c r="AA47" i="1"/>
  <c r="AG14" i="1"/>
  <c r="AN46" i="21"/>
  <c r="AN46" i="16"/>
  <c r="AN56" i="16" s="1"/>
  <c r="AN46" i="11"/>
  <c r="AN56" i="11" s="1"/>
  <c r="AN33" i="1"/>
  <c r="AO26" i="1"/>
  <c r="AM56" i="21"/>
  <c r="AM59" i="19"/>
  <c r="AM69" i="19" s="1"/>
  <c r="AM59" i="14"/>
  <c r="AM69" i="14" s="1"/>
  <c r="AM59" i="9"/>
  <c r="AM69" i="9" s="1"/>
  <c r="AN8" i="21"/>
  <c r="AN20" i="19"/>
  <c r="AN8" i="16"/>
  <c r="AN20" i="14"/>
  <c r="AN8" i="11"/>
  <c r="AN20" i="9"/>
  <c r="AO11" i="1"/>
  <c r="Z93" i="19"/>
  <c r="Z91" i="19"/>
  <c r="AF26" i="19"/>
  <c r="Z77" i="21"/>
  <c r="Z79" i="21"/>
  <c r="AF26" i="21"/>
  <c r="AF13" i="21"/>
  <c r="AA79" i="16"/>
  <c r="AA77" i="16"/>
  <c r="AG26" i="16"/>
  <c r="AG13" i="16"/>
  <c r="AJ45" i="21"/>
  <c r="AJ45" i="16"/>
  <c r="AJ44" i="16" s="1"/>
  <c r="AJ45" i="11"/>
  <c r="AJ44" i="11" s="1"/>
  <c r="AK25" i="1"/>
  <c r="AJ24" i="1"/>
  <c r="AG50" i="9"/>
  <c r="AG51" i="9" s="1"/>
  <c r="AG33" i="9"/>
  <c r="AG22" i="9" s="1"/>
  <c r="AG32" i="9"/>
  <c r="AG23" i="9" s="1"/>
  <c r="AG11" i="16"/>
  <c r="AG9" i="16"/>
  <c r="AH55" i="21"/>
  <c r="AH62" i="21" s="1"/>
  <c r="AH52" i="21"/>
  <c r="AH10" i="1"/>
  <c r="AH6" i="1"/>
  <c r="AH22" i="11"/>
  <c r="AH18" i="11"/>
  <c r="AG50" i="14"/>
  <c r="AG51" i="14" s="1"/>
  <c r="AG33" i="14"/>
  <c r="AG22" i="14" s="1"/>
  <c r="AG32" i="14"/>
  <c r="AG23" i="14" s="1"/>
  <c r="AE24" i="19"/>
  <c r="AE27" i="19" s="1"/>
  <c r="AE24" i="14"/>
  <c r="AE27" i="14" s="1"/>
  <c r="AE24" i="9"/>
  <c r="AE27" i="9" s="1"/>
  <c r="AA77" i="11"/>
  <c r="AA79" i="11"/>
  <c r="AG13" i="11"/>
  <c r="AG26" i="11"/>
  <c r="AA80" i="16"/>
  <c r="AA78" i="16"/>
  <c r="AG14" i="16"/>
  <c r="AG12" i="16" s="1"/>
  <c r="AI55" i="11"/>
  <c r="AI62" i="11" s="1"/>
  <c r="AI52" i="11"/>
  <c r="AG35" i="9"/>
  <c r="AG31" i="9"/>
  <c r="AG50" i="19"/>
  <c r="AG51" i="19" s="1"/>
  <c r="AG33" i="19"/>
  <c r="AG22" i="19" s="1"/>
  <c r="AG32" i="19"/>
  <c r="AG23" i="19" s="1"/>
  <c r="AF15" i="21"/>
  <c r="AF28" i="19"/>
  <c r="AF16" i="19" s="1"/>
  <c r="AF7" i="19" s="1"/>
  <c r="AF8" i="19" s="1"/>
  <c r="AF9" i="19" s="1"/>
  <c r="AF10" i="19" s="1"/>
  <c r="AF13" i="19" s="1"/>
  <c r="AF12" i="19" s="1"/>
  <c r="AF11" i="19" s="1"/>
  <c r="AF15" i="16"/>
  <c r="AF28" i="14"/>
  <c r="AF16" i="14" s="1"/>
  <c r="AF7" i="14" s="1"/>
  <c r="AF8" i="14" s="1"/>
  <c r="AF9" i="14" s="1"/>
  <c r="AF10" i="14" s="1"/>
  <c r="AF13" i="14" s="1"/>
  <c r="AF12" i="14" s="1"/>
  <c r="AF15" i="11"/>
  <c r="AF28" i="9"/>
  <c r="AF16" i="9" s="1"/>
  <c r="AF7" i="9" s="1"/>
  <c r="AF8" i="9" s="1"/>
  <c r="AF9" i="9" s="1"/>
  <c r="AF10" i="9" s="1"/>
  <c r="AF13" i="9" s="1"/>
  <c r="Z93" i="14"/>
  <c r="Z91" i="14"/>
  <c r="AF26" i="14"/>
  <c r="AH68" i="9"/>
  <c r="AH75" i="9" s="1"/>
  <c r="AH65" i="9"/>
  <c r="AH8" i="1"/>
  <c r="AH9" i="1" s="1"/>
  <c r="AH7" i="1"/>
  <c r="AH17" i="1"/>
  <c r="AH18" i="1" s="1"/>
  <c r="AH18" i="16"/>
  <c r="AH22" i="16"/>
  <c r="Z93" i="9"/>
  <c r="Z91" i="9"/>
  <c r="AF26" i="9"/>
  <c r="AA80" i="11"/>
  <c r="AA78" i="11"/>
  <c r="AG14" i="11"/>
  <c r="AG12" i="11" s="1"/>
  <c r="AI55" i="16"/>
  <c r="AI62" i="16" s="1"/>
  <c r="AI52" i="16"/>
  <c r="AF9" i="21"/>
  <c r="AF11" i="21"/>
  <c r="AG35" i="19"/>
  <c r="AG31" i="19"/>
  <c r="AG9" i="11"/>
  <c r="AG11" i="11"/>
  <c r="Z90" i="14"/>
  <c r="Z92" i="14"/>
  <c r="AF39" i="14"/>
  <c r="AF25" i="14"/>
  <c r="AN59" i="21"/>
  <c r="AN62" i="19"/>
  <c r="AN72" i="19" s="1"/>
  <c r="AN62" i="14"/>
  <c r="AN72" i="14" s="1"/>
  <c r="AN62" i="9"/>
  <c r="AN72" i="9" s="1"/>
  <c r="AJ58" i="16"/>
  <c r="AK48" i="16"/>
  <c r="AH68" i="14"/>
  <c r="AH75" i="14" s="1"/>
  <c r="AH65" i="14"/>
  <c r="AG22" i="21"/>
  <c r="AG18" i="21"/>
  <c r="AH20" i="16"/>
  <c r="AH10" i="16" s="1"/>
  <c r="AH37" i="16"/>
  <c r="AH38" i="16" s="1"/>
  <c r="AH19" i="16"/>
  <c r="AH50" i="14" l="1"/>
  <c r="AH51" i="14" s="1"/>
  <c r="AH33" i="14"/>
  <c r="AH22" i="14" s="1"/>
  <c r="AH32" i="14"/>
  <c r="AH23" i="14" s="1"/>
  <c r="AH35" i="9"/>
  <c r="AH31" i="9"/>
  <c r="AH35" i="14"/>
  <c r="AH31" i="14"/>
  <c r="AA90" i="9"/>
  <c r="AA92" i="9"/>
  <c r="AG25" i="9"/>
  <c r="AG39" i="9"/>
  <c r="AB47" i="1"/>
  <c r="AB49" i="1"/>
  <c r="AH14" i="1"/>
  <c r="AJ52" i="16"/>
  <c r="AJ55" i="16"/>
  <c r="AJ62" i="16" s="1"/>
  <c r="AO46" i="21"/>
  <c r="AO46" i="16"/>
  <c r="AO56" i="16" s="1"/>
  <c r="AO46" i="11"/>
  <c r="AO56" i="11" s="1"/>
  <c r="AO33" i="1"/>
  <c r="AP26" i="1"/>
  <c r="AN56" i="21"/>
  <c r="AN59" i="19"/>
  <c r="AN69" i="19" s="1"/>
  <c r="AN59" i="14"/>
  <c r="AN69" i="14" s="1"/>
  <c r="AN59" i="9"/>
  <c r="AN69" i="9" s="1"/>
  <c r="AP49" i="21"/>
  <c r="AP49" i="16"/>
  <c r="AP59" i="16" s="1"/>
  <c r="AP49" i="11"/>
  <c r="AP59" i="11" s="1"/>
  <c r="AP34" i="1"/>
  <c r="AO59" i="21"/>
  <c r="AO62" i="19"/>
  <c r="AO72" i="19" s="1"/>
  <c r="AO62" i="14"/>
  <c r="AO72" i="14" s="1"/>
  <c r="AO62" i="9"/>
  <c r="AO72" i="9" s="1"/>
  <c r="AI68" i="9"/>
  <c r="AI75" i="9" s="1"/>
  <c r="AI65" i="9"/>
  <c r="AI17" i="1"/>
  <c r="AI18" i="1" s="1"/>
  <c r="AI7" i="1"/>
  <c r="AI8" i="1"/>
  <c r="AI9" i="1" s="1"/>
  <c r="AA93" i="14"/>
  <c r="AA91" i="14"/>
  <c r="AG26" i="14"/>
  <c r="AA79" i="21"/>
  <c r="AA77" i="21"/>
  <c r="AG26" i="21"/>
  <c r="AG13" i="21"/>
  <c r="AA90" i="19"/>
  <c r="AA92" i="19"/>
  <c r="AG39" i="19"/>
  <c r="AG25" i="19"/>
  <c r="AI20" i="16"/>
  <c r="AI10" i="16" s="1"/>
  <c r="AI37" i="16"/>
  <c r="AI38" i="16" s="1"/>
  <c r="AI19" i="16"/>
  <c r="AB80" i="16"/>
  <c r="AB78" i="16"/>
  <c r="AH14" i="16"/>
  <c r="AH12" i="16" s="1"/>
  <c r="AA93" i="9"/>
  <c r="AA91" i="9"/>
  <c r="AG26" i="9"/>
  <c r="AB50" i="1"/>
  <c r="AB48" i="1"/>
  <c r="AJ29" i="1"/>
  <c r="AJ32" i="1"/>
  <c r="AJ36" i="1" s="1"/>
  <c r="AJ58" i="19"/>
  <c r="AJ57" i="19" s="1"/>
  <c r="AJ58" i="14"/>
  <c r="AJ57" i="14" s="1"/>
  <c r="AJ58" i="9"/>
  <c r="AJ57" i="9" s="1"/>
  <c r="AJ44" i="21"/>
  <c r="AO8" i="21"/>
  <c r="AO20" i="19"/>
  <c r="AO8" i="16"/>
  <c r="AO20" i="14"/>
  <c r="AO8" i="11"/>
  <c r="AO20" i="9"/>
  <c r="AP11" i="1"/>
  <c r="AG15" i="21"/>
  <c r="AG28" i="19"/>
  <c r="AG16" i="19" s="1"/>
  <c r="AG7" i="19" s="1"/>
  <c r="AG8" i="19" s="1"/>
  <c r="AG9" i="19" s="1"/>
  <c r="AG10" i="19" s="1"/>
  <c r="AG13" i="19" s="1"/>
  <c r="AG12" i="19" s="1"/>
  <c r="AG11" i="19" s="1"/>
  <c r="AG15" i="16"/>
  <c r="AG28" i="14"/>
  <c r="AG16" i="14" s="1"/>
  <c r="AG7" i="14" s="1"/>
  <c r="AG8" i="14" s="1"/>
  <c r="AG9" i="14" s="1"/>
  <c r="AG10" i="14" s="1"/>
  <c r="AG13" i="14" s="1"/>
  <c r="AG12" i="14" s="1"/>
  <c r="AG15" i="11"/>
  <c r="AG28" i="9"/>
  <c r="AG16" i="9" s="1"/>
  <c r="AG7" i="9" s="1"/>
  <c r="AG8" i="9" s="1"/>
  <c r="AG9" i="9" s="1"/>
  <c r="AG10" i="9" s="1"/>
  <c r="AG13" i="9" s="1"/>
  <c r="AL58" i="11"/>
  <c r="AM48" i="11"/>
  <c r="AI65" i="14"/>
  <c r="AI68" i="14"/>
  <c r="AI75" i="14" s="1"/>
  <c r="AK58" i="21"/>
  <c r="AL48" i="21"/>
  <c r="AK61" i="19"/>
  <c r="AK71" i="19" s="1"/>
  <c r="AK61" i="14"/>
  <c r="AK71" i="14" s="1"/>
  <c r="AK61" i="9"/>
  <c r="AK71" i="9" s="1"/>
  <c r="AK58" i="16"/>
  <c r="AL48" i="16"/>
  <c r="AH11" i="16"/>
  <c r="AH9" i="16"/>
  <c r="AA80" i="21"/>
  <c r="AA78" i="21"/>
  <c r="AG14" i="21"/>
  <c r="AG12" i="21" s="1"/>
  <c r="AA93" i="19"/>
  <c r="AA91" i="19"/>
  <c r="AG26" i="19"/>
  <c r="AI22" i="16"/>
  <c r="AI18" i="16"/>
  <c r="AB77" i="16"/>
  <c r="AB79" i="16"/>
  <c r="AH26" i="16"/>
  <c r="AH13" i="16"/>
  <c r="AH33" i="9"/>
  <c r="AH22" i="9" s="1"/>
  <c r="AH32" i="9"/>
  <c r="AH23" i="9" s="1"/>
  <c r="AH50" i="9"/>
  <c r="AH51" i="9" s="1"/>
  <c r="AI19" i="11"/>
  <c r="AI37" i="11"/>
  <c r="AI38" i="11" s="1"/>
  <c r="AI20" i="11"/>
  <c r="AI10" i="11" s="1"/>
  <c r="AB77" i="11"/>
  <c r="AB79" i="11"/>
  <c r="AH13" i="11"/>
  <c r="AH26" i="11"/>
  <c r="AH37" i="21"/>
  <c r="AH38" i="21" s="1"/>
  <c r="AH20" i="21"/>
  <c r="AH10" i="21" s="1"/>
  <c r="AH19" i="21"/>
  <c r="AK45" i="21"/>
  <c r="AK45" i="16"/>
  <c r="AK44" i="16" s="1"/>
  <c r="AK45" i="11"/>
  <c r="AK44" i="11" s="1"/>
  <c r="AK24" i="1"/>
  <c r="AL25" i="1"/>
  <c r="AH32" i="19"/>
  <c r="AH23" i="19" s="1"/>
  <c r="AH50" i="19"/>
  <c r="AH51" i="19" s="1"/>
  <c r="AH33" i="19"/>
  <c r="AH22" i="19" s="1"/>
  <c r="AI65" i="19"/>
  <c r="AI68" i="19"/>
  <c r="AI75" i="19" s="1"/>
  <c r="AH9" i="11"/>
  <c r="AH11" i="11"/>
  <c r="AI22" i="11"/>
  <c r="AI18" i="11"/>
  <c r="AB80" i="11"/>
  <c r="AB78" i="11"/>
  <c r="AH14" i="11"/>
  <c r="AH12" i="11" s="1"/>
  <c r="AH22" i="21"/>
  <c r="AH18" i="21"/>
  <c r="AJ55" i="11"/>
  <c r="AJ62" i="11" s="1"/>
  <c r="AJ52" i="11"/>
  <c r="AG11" i="21"/>
  <c r="AG9" i="21"/>
  <c r="AH35" i="19"/>
  <c r="AH31" i="19"/>
  <c r="AI52" i="21"/>
  <c r="AI55" i="21"/>
  <c r="AI62" i="21" s="1"/>
  <c r="AI6" i="1"/>
  <c r="AI10" i="1"/>
  <c r="AF24" i="19"/>
  <c r="AF27" i="19" s="1"/>
  <c r="AF24" i="14"/>
  <c r="AF27" i="14" s="1"/>
  <c r="AF24" i="9"/>
  <c r="AF27" i="9" s="1"/>
  <c r="AA90" i="14"/>
  <c r="AA92" i="14"/>
  <c r="AG25" i="14"/>
  <c r="AG39" i="14"/>
  <c r="AB92" i="19" l="1"/>
  <c r="AB90" i="19"/>
  <c r="AH39" i="19"/>
  <c r="AH25" i="19"/>
  <c r="AI22" i="21"/>
  <c r="AI18" i="21"/>
  <c r="AI37" i="21"/>
  <c r="AI38" i="21" s="1"/>
  <c r="AI19" i="21"/>
  <c r="AI20" i="21"/>
  <c r="AI10" i="21" s="1"/>
  <c r="AB79" i="21"/>
  <c r="AB77" i="21"/>
  <c r="AH13" i="21"/>
  <c r="AH26" i="21"/>
  <c r="AK55" i="16"/>
  <c r="AK62" i="16" s="1"/>
  <c r="AK52" i="16"/>
  <c r="AC77" i="16"/>
  <c r="AC79" i="16"/>
  <c r="AI13" i="16"/>
  <c r="AI26" i="16"/>
  <c r="AJ68" i="14"/>
  <c r="AJ75" i="14" s="1"/>
  <c r="AJ65" i="14"/>
  <c r="AI9" i="16"/>
  <c r="AI11" i="16"/>
  <c r="AB90" i="9"/>
  <c r="AB92" i="9"/>
  <c r="AH39" i="9"/>
  <c r="AH25" i="9"/>
  <c r="AK58" i="19"/>
  <c r="AK57" i="19" s="1"/>
  <c r="AK58" i="14"/>
  <c r="AK57" i="14" s="1"/>
  <c r="AK58" i="9"/>
  <c r="AK57" i="9" s="1"/>
  <c r="AK44" i="21"/>
  <c r="AC80" i="16"/>
  <c r="AC78" i="16"/>
  <c r="AI14" i="16"/>
  <c r="AI12" i="16" s="1"/>
  <c r="AG24" i="19"/>
  <c r="AG27" i="19" s="1"/>
  <c r="AG24" i="14"/>
  <c r="AG27" i="14" s="1"/>
  <c r="AG24" i="9"/>
  <c r="AG27" i="9" s="1"/>
  <c r="AI35" i="14"/>
  <c r="AI31" i="14"/>
  <c r="AJ68" i="19"/>
  <c r="AJ75" i="19" s="1"/>
  <c r="AJ65" i="19"/>
  <c r="AI32" i="9"/>
  <c r="AI23" i="9" s="1"/>
  <c r="AI50" i="9"/>
  <c r="AI51" i="9" s="1"/>
  <c r="AI33" i="9"/>
  <c r="AI22" i="9" s="1"/>
  <c r="AJ22" i="16"/>
  <c r="AJ18" i="16"/>
  <c r="AB93" i="9"/>
  <c r="AB91" i="9"/>
  <c r="AH26" i="9"/>
  <c r="AC50" i="1"/>
  <c r="AC48" i="1"/>
  <c r="AB80" i="21"/>
  <c r="AB78" i="21"/>
  <c r="AH14" i="21"/>
  <c r="AH12" i="21" s="1"/>
  <c r="AL45" i="21"/>
  <c r="AL45" i="16"/>
  <c r="AL44" i="16" s="1"/>
  <c r="AL45" i="11"/>
  <c r="AL44" i="11" s="1"/>
  <c r="AM25" i="1"/>
  <c r="AL24" i="1"/>
  <c r="AC47" i="1"/>
  <c r="AC49" i="1"/>
  <c r="AI14" i="1"/>
  <c r="AB93" i="19"/>
  <c r="AB91" i="19"/>
  <c r="AH26" i="19"/>
  <c r="AJ18" i="11"/>
  <c r="AJ22" i="11"/>
  <c r="AC79" i="11"/>
  <c r="AC77" i="11"/>
  <c r="AI26" i="11"/>
  <c r="AI13" i="11"/>
  <c r="AI31" i="19"/>
  <c r="AI35" i="19"/>
  <c r="AK32" i="1"/>
  <c r="AK36" i="1" s="1"/>
  <c r="AK29" i="1"/>
  <c r="AH11" i="21"/>
  <c r="AH9" i="21"/>
  <c r="AL58" i="16"/>
  <c r="AM48" i="16"/>
  <c r="AI32" i="14"/>
  <c r="AI23" i="14" s="1"/>
  <c r="AI50" i="14"/>
  <c r="AI51" i="14" s="1"/>
  <c r="AI33" i="14"/>
  <c r="AI22" i="14" s="1"/>
  <c r="AJ55" i="21"/>
  <c r="AJ62" i="21" s="1"/>
  <c r="AJ52" i="21"/>
  <c r="AJ10" i="1"/>
  <c r="AJ6" i="1"/>
  <c r="AI35" i="9"/>
  <c r="AI31" i="9"/>
  <c r="AP59" i="21"/>
  <c r="AP62" i="19"/>
  <c r="AP72" i="19" s="1"/>
  <c r="AP62" i="14"/>
  <c r="AP72" i="14" s="1"/>
  <c r="AP62" i="9"/>
  <c r="AP72" i="9" s="1"/>
  <c r="AJ20" i="16"/>
  <c r="AJ10" i="16" s="1"/>
  <c r="AJ37" i="16"/>
  <c r="AJ38" i="16" s="1"/>
  <c r="AJ19" i="16"/>
  <c r="AB92" i="14"/>
  <c r="AB90" i="14"/>
  <c r="AH39" i="14"/>
  <c r="AH25" i="14"/>
  <c r="AJ37" i="11"/>
  <c r="AJ38" i="11" s="1"/>
  <c r="AJ20" i="11"/>
  <c r="AJ10" i="11" s="1"/>
  <c r="AJ19" i="11"/>
  <c r="AC80" i="11"/>
  <c r="AC78" i="11"/>
  <c r="AI14" i="11"/>
  <c r="AI12" i="11" s="1"/>
  <c r="AI50" i="19"/>
  <c r="AI51" i="19" s="1"/>
  <c r="AI33" i="19"/>
  <c r="AI22" i="19" s="1"/>
  <c r="AI32" i="19"/>
  <c r="AI23" i="19" s="1"/>
  <c r="AK55" i="11"/>
  <c r="AK62" i="11" s="1"/>
  <c r="AK52" i="11"/>
  <c r="AI11" i="11"/>
  <c r="AI9" i="11"/>
  <c r="AL58" i="21"/>
  <c r="AM48" i="21"/>
  <c r="AL61" i="19"/>
  <c r="AL71" i="19" s="1"/>
  <c r="AL61" i="14"/>
  <c r="AL71" i="14" s="1"/>
  <c r="AL61" i="9"/>
  <c r="AL71" i="9" s="1"/>
  <c r="AM58" i="11"/>
  <c r="AN48" i="11"/>
  <c r="AP8" i="21"/>
  <c r="AP20" i="19"/>
  <c r="AP8" i="16"/>
  <c r="AP20" i="14"/>
  <c r="AP8" i="11"/>
  <c r="AP20" i="9"/>
  <c r="AJ65" i="9"/>
  <c r="AJ68" i="9"/>
  <c r="AJ75" i="9" s="1"/>
  <c r="AJ17" i="1"/>
  <c r="AJ18" i="1" s="1"/>
  <c r="AJ7" i="1"/>
  <c r="AJ8" i="1"/>
  <c r="AJ9" i="1" s="1"/>
  <c r="AP46" i="21"/>
  <c r="AP46" i="16"/>
  <c r="AP56" i="16" s="1"/>
  <c r="AP46" i="11"/>
  <c r="AP56" i="11" s="1"/>
  <c r="AP33" i="1"/>
  <c r="AO56" i="21"/>
  <c r="AO59" i="19"/>
  <c r="AO69" i="19" s="1"/>
  <c r="AO59" i="14"/>
  <c r="AO69" i="14" s="1"/>
  <c r="AO59" i="9"/>
  <c r="AO69" i="9" s="1"/>
  <c r="AH15" i="21"/>
  <c r="AH28" i="19"/>
  <c r="AH16" i="19" s="1"/>
  <c r="AH7" i="19" s="1"/>
  <c r="AH8" i="19" s="1"/>
  <c r="AH9" i="19" s="1"/>
  <c r="AH10" i="19" s="1"/>
  <c r="AH13" i="19" s="1"/>
  <c r="AH12" i="19" s="1"/>
  <c r="AH11" i="19" s="1"/>
  <c r="AH15" i="16"/>
  <c r="AH28" i="14"/>
  <c r="AH16" i="14" s="1"/>
  <c r="AH7" i="14" s="1"/>
  <c r="AH8" i="14" s="1"/>
  <c r="AH9" i="14" s="1"/>
  <c r="AH10" i="14" s="1"/>
  <c r="AH13" i="14" s="1"/>
  <c r="AH12" i="14" s="1"/>
  <c r="AH15" i="11"/>
  <c r="AH28" i="9"/>
  <c r="AH16" i="9" s="1"/>
  <c r="AH7" i="9" s="1"/>
  <c r="AH8" i="9" s="1"/>
  <c r="AH9" i="9" s="1"/>
  <c r="AH10" i="9" s="1"/>
  <c r="AH13" i="9" s="1"/>
  <c r="AB93" i="14"/>
  <c r="AB91" i="14"/>
  <c r="AH26" i="14"/>
  <c r="AP56" i="21" l="1"/>
  <c r="AP59" i="19"/>
  <c r="AP69" i="19" s="1"/>
  <c r="AP59" i="14"/>
  <c r="AP69" i="14" s="1"/>
  <c r="AP59" i="9"/>
  <c r="AP69" i="9" s="1"/>
  <c r="AJ31" i="9"/>
  <c r="AJ35" i="9"/>
  <c r="AN58" i="11"/>
  <c r="AO48" i="11"/>
  <c r="AC90" i="9"/>
  <c r="AC92" i="9"/>
  <c r="AI39" i="9"/>
  <c r="AI25" i="9"/>
  <c r="AJ37" i="21"/>
  <c r="AJ38" i="21" s="1"/>
  <c r="AJ20" i="21"/>
  <c r="AJ10" i="21" s="1"/>
  <c r="AJ19" i="21"/>
  <c r="AC93" i="19"/>
  <c r="AC91" i="19"/>
  <c r="AI26" i="19"/>
  <c r="AL52" i="11"/>
  <c r="AL55" i="11"/>
  <c r="AL62" i="11" s="1"/>
  <c r="AD80" i="16"/>
  <c r="AD78" i="16"/>
  <c r="AJ14" i="16"/>
  <c r="AJ12" i="16" s="1"/>
  <c r="AJ50" i="19"/>
  <c r="AJ51" i="19" s="1"/>
  <c r="AJ33" i="19"/>
  <c r="AJ22" i="19" s="1"/>
  <c r="AJ32" i="19"/>
  <c r="AJ23" i="19" s="1"/>
  <c r="AK68" i="14"/>
  <c r="AK75" i="14" s="1"/>
  <c r="AK65" i="14"/>
  <c r="AJ50" i="14"/>
  <c r="AJ51" i="14" s="1"/>
  <c r="AJ33" i="14"/>
  <c r="AJ22" i="14" s="1"/>
  <c r="AJ32" i="14"/>
  <c r="AJ23" i="14" s="1"/>
  <c r="AK37" i="16"/>
  <c r="AK38" i="16" s="1"/>
  <c r="AK19" i="16"/>
  <c r="AK20" i="16"/>
  <c r="AK10" i="16" s="1"/>
  <c r="AI11" i="21"/>
  <c r="AI9" i="21"/>
  <c r="AJ50" i="9"/>
  <c r="AJ51" i="9" s="1"/>
  <c r="AJ33" i="9"/>
  <c r="AJ22" i="9" s="1"/>
  <c r="AJ32" i="9"/>
  <c r="AJ23" i="9" s="1"/>
  <c r="AM58" i="21"/>
  <c r="AN48" i="21"/>
  <c r="AM61" i="19"/>
  <c r="AM71" i="19" s="1"/>
  <c r="AM61" i="14"/>
  <c r="AM71" i="14" s="1"/>
  <c r="AM61" i="9"/>
  <c r="AM71" i="9" s="1"/>
  <c r="AJ9" i="16"/>
  <c r="AJ11" i="16"/>
  <c r="AC93" i="9"/>
  <c r="AC91" i="9"/>
  <c r="AI26" i="9"/>
  <c r="AJ18" i="21"/>
  <c r="AJ22" i="21"/>
  <c r="AC90" i="19"/>
  <c r="AC92" i="19"/>
  <c r="AI39" i="19"/>
  <c r="AI25" i="19"/>
  <c r="AL52" i="16"/>
  <c r="AL55" i="16"/>
  <c r="AL62" i="16" s="1"/>
  <c r="AJ35" i="19"/>
  <c r="AJ31" i="19"/>
  <c r="AK68" i="19"/>
  <c r="AK75" i="19" s="1"/>
  <c r="AK65" i="19"/>
  <c r="AJ31" i="14"/>
  <c r="AJ35" i="14"/>
  <c r="AK22" i="16"/>
  <c r="AK18" i="16"/>
  <c r="AK37" i="11"/>
  <c r="AK38" i="11" s="1"/>
  <c r="AK20" i="11"/>
  <c r="AK10" i="11" s="1"/>
  <c r="AK19" i="11"/>
  <c r="AJ11" i="11"/>
  <c r="AJ9" i="11"/>
  <c r="AD47" i="1"/>
  <c r="AD49" i="1"/>
  <c r="AJ14" i="1"/>
  <c r="AM58" i="16"/>
  <c r="AN48" i="16"/>
  <c r="AK17" i="1"/>
  <c r="AK18" i="1" s="1"/>
  <c r="AK7" i="1"/>
  <c r="AK8" i="1"/>
  <c r="AK9" i="1" s="1"/>
  <c r="AD80" i="11"/>
  <c r="AD78" i="11"/>
  <c r="AJ14" i="11"/>
  <c r="AJ12" i="11" s="1"/>
  <c r="AL29" i="1"/>
  <c r="AL32" i="1"/>
  <c r="AL36" i="1" s="1"/>
  <c r="AL58" i="19"/>
  <c r="AL57" i="19" s="1"/>
  <c r="AL58" i="14"/>
  <c r="AL57" i="14" s="1"/>
  <c r="AL58" i="9"/>
  <c r="AL57" i="9" s="1"/>
  <c r="AL44" i="21"/>
  <c r="AC90" i="14"/>
  <c r="AC92" i="14"/>
  <c r="AI39" i="14"/>
  <c r="AI25" i="14"/>
  <c r="AK52" i="21"/>
  <c r="AK55" i="21"/>
  <c r="AK62" i="21" s="1"/>
  <c r="AC77" i="21"/>
  <c r="AC79" i="21"/>
  <c r="AI26" i="21"/>
  <c r="AI13" i="21"/>
  <c r="AK22" i="11"/>
  <c r="AK18" i="11"/>
  <c r="AD50" i="1"/>
  <c r="AD48" i="1"/>
  <c r="AK10" i="1"/>
  <c r="AK6" i="1"/>
  <c r="AD77" i="11"/>
  <c r="AD79" i="11"/>
  <c r="AJ26" i="11"/>
  <c r="AJ13" i="11"/>
  <c r="AI15" i="21"/>
  <c r="AI28" i="19"/>
  <c r="AI16" i="19" s="1"/>
  <c r="AI7" i="19" s="1"/>
  <c r="AI8" i="19" s="1"/>
  <c r="AI9" i="19" s="1"/>
  <c r="AI10" i="19" s="1"/>
  <c r="AI13" i="19" s="1"/>
  <c r="AI12" i="19" s="1"/>
  <c r="AI11" i="19" s="1"/>
  <c r="AI15" i="16"/>
  <c r="AI28" i="14"/>
  <c r="AI16" i="14" s="1"/>
  <c r="AI7" i="14" s="1"/>
  <c r="AI8" i="14" s="1"/>
  <c r="AI9" i="14" s="1"/>
  <c r="AI10" i="14" s="1"/>
  <c r="AI13" i="14" s="1"/>
  <c r="AI12" i="14" s="1"/>
  <c r="AI15" i="11"/>
  <c r="AI28" i="9"/>
  <c r="AI16" i="9" s="1"/>
  <c r="AI7" i="9" s="1"/>
  <c r="AI8" i="9" s="1"/>
  <c r="AI9" i="9" s="1"/>
  <c r="AI10" i="9" s="1"/>
  <c r="AI13" i="9" s="1"/>
  <c r="AM45" i="21"/>
  <c r="AM45" i="16"/>
  <c r="AM44" i="16" s="1"/>
  <c r="AM45" i="11"/>
  <c r="AM44" i="11" s="1"/>
  <c r="AN25" i="1"/>
  <c r="AM24" i="1"/>
  <c r="AH24" i="19"/>
  <c r="AH27" i="19" s="1"/>
  <c r="AH24" i="14"/>
  <c r="AH27" i="14" s="1"/>
  <c r="AH24" i="9"/>
  <c r="AH27" i="9" s="1"/>
  <c r="AD77" i="16"/>
  <c r="AD79" i="16"/>
  <c r="AJ13" i="16"/>
  <c r="AJ26" i="16"/>
  <c r="AC93" i="14"/>
  <c r="AC91" i="14"/>
  <c r="AI26" i="14"/>
  <c r="AK68" i="9"/>
  <c r="AK75" i="9" s="1"/>
  <c r="AK65" i="9"/>
  <c r="AC80" i="21"/>
  <c r="AC78" i="21"/>
  <c r="AI14" i="21"/>
  <c r="AI12" i="21" s="1"/>
  <c r="AI27" i="14" l="1"/>
  <c r="AM55" i="16"/>
  <c r="AM62" i="16" s="1"/>
  <c r="AM52" i="16"/>
  <c r="AK50" i="9"/>
  <c r="AK51" i="9" s="1"/>
  <c r="AK33" i="9"/>
  <c r="AK22" i="9" s="1"/>
  <c r="AK32" i="9"/>
  <c r="AK23" i="9" s="1"/>
  <c r="AM58" i="19"/>
  <c r="AM57" i="19" s="1"/>
  <c r="AM58" i="14"/>
  <c r="AM57" i="14" s="1"/>
  <c r="AM58" i="9"/>
  <c r="AM57" i="9" s="1"/>
  <c r="AM44" i="21"/>
  <c r="AK35" i="9"/>
  <c r="AK31" i="9"/>
  <c r="AE80" i="11"/>
  <c r="AE78" i="11"/>
  <c r="AK14" i="11"/>
  <c r="AK12" i="11" s="1"/>
  <c r="AL68" i="9"/>
  <c r="AL75" i="9" s="1"/>
  <c r="AL65" i="9"/>
  <c r="AL7" i="1"/>
  <c r="AL8" i="1"/>
  <c r="AL9" i="1" s="1"/>
  <c r="AL17" i="1"/>
  <c r="AL18" i="1" s="1"/>
  <c r="AE80" i="16"/>
  <c r="AE78" i="16"/>
  <c r="AK14" i="16"/>
  <c r="AK12" i="16" s="1"/>
  <c r="AK35" i="19"/>
  <c r="AK31" i="19"/>
  <c r="AL18" i="16"/>
  <c r="AL22" i="16"/>
  <c r="AE49" i="1"/>
  <c r="AE47" i="1"/>
  <c r="AK14" i="1"/>
  <c r="AE50" i="1"/>
  <c r="AE48" i="1"/>
  <c r="AL10" i="1"/>
  <c r="AL6" i="1"/>
  <c r="AI24" i="19"/>
  <c r="AI27" i="19" s="1"/>
  <c r="AI24" i="14"/>
  <c r="AI24" i="9"/>
  <c r="AI27" i="9" s="1"/>
  <c r="AN45" i="21"/>
  <c r="AN45" i="16"/>
  <c r="AN44" i="16" s="1"/>
  <c r="AN45" i="11"/>
  <c r="AN44" i="11" s="1"/>
  <c r="AO25" i="1"/>
  <c r="AN24" i="1"/>
  <c r="AM55" i="11"/>
  <c r="AM62" i="11" s="1"/>
  <c r="AM52" i="11"/>
  <c r="AK22" i="21"/>
  <c r="AK18" i="21"/>
  <c r="AL68" i="14"/>
  <c r="AL75" i="14" s="1"/>
  <c r="AL65" i="14"/>
  <c r="AJ15" i="21"/>
  <c r="AJ28" i="19"/>
  <c r="AJ16" i="19" s="1"/>
  <c r="AJ7" i="19" s="1"/>
  <c r="AJ8" i="19" s="1"/>
  <c r="AJ9" i="19" s="1"/>
  <c r="AJ10" i="19" s="1"/>
  <c r="AJ13" i="19" s="1"/>
  <c r="AJ12" i="19" s="1"/>
  <c r="AJ11" i="19" s="1"/>
  <c r="AJ15" i="16"/>
  <c r="AJ28" i="14"/>
  <c r="AJ16" i="14" s="1"/>
  <c r="AJ7" i="14" s="1"/>
  <c r="AJ8" i="14" s="1"/>
  <c r="AJ9" i="14" s="1"/>
  <c r="AJ10" i="14" s="1"/>
  <c r="AJ13" i="14" s="1"/>
  <c r="AJ12" i="14" s="1"/>
  <c r="AJ15" i="11"/>
  <c r="AJ28" i="9"/>
  <c r="AJ16" i="9" s="1"/>
  <c r="AJ7" i="9" s="1"/>
  <c r="AJ8" i="9" s="1"/>
  <c r="AJ9" i="9" s="1"/>
  <c r="AJ10" i="9" s="1"/>
  <c r="AJ13" i="9" s="1"/>
  <c r="AD93" i="14"/>
  <c r="AD91" i="14"/>
  <c r="AJ26" i="14"/>
  <c r="AD90" i="19"/>
  <c r="AD92" i="19"/>
  <c r="AJ25" i="19"/>
  <c r="AJ39" i="19"/>
  <c r="AL20" i="16"/>
  <c r="AL10" i="16" s="1"/>
  <c r="AL37" i="16"/>
  <c r="AL38" i="16" s="1"/>
  <c r="AL19" i="16"/>
  <c r="AN58" i="21"/>
  <c r="AO48" i="21"/>
  <c r="AN61" i="19"/>
  <c r="AN71" i="19" s="1"/>
  <c r="AN61" i="14"/>
  <c r="AN71" i="14" s="1"/>
  <c r="AN61" i="9"/>
  <c r="AN71" i="9" s="1"/>
  <c r="AK11" i="16"/>
  <c r="AK9" i="16"/>
  <c r="AD93" i="9"/>
  <c r="AD91" i="9"/>
  <c r="AJ26" i="9"/>
  <c r="AK37" i="21"/>
  <c r="AK38" i="21" s="1"/>
  <c r="AK20" i="21"/>
  <c r="AK10" i="21" s="1"/>
  <c r="AK19" i="21"/>
  <c r="AL68" i="19"/>
  <c r="AL75" i="19" s="1"/>
  <c r="AL65" i="19"/>
  <c r="AK9" i="11"/>
  <c r="AK11" i="11"/>
  <c r="AD90" i="14"/>
  <c r="AD92" i="14"/>
  <c r="AJ39" i="14"/>
  <c r="AJ25" i="14"/>
  <c r="AD93" i="19"/>
  <c r="AD91" i="19"/>
  <c r="AJ26" i="19"/>
  <c r="AD80" i="21"/>
  <c r="AD78" i="21"/>
  <c r="AJ14" i="21"/>
  <c r="AJ12" i="21" s="1"/>
  <c r="AK50" i="14"/>
  <c r="AK51" i="14" s="1"/>
  <c r="AK33" i="14"/>
  <c r="AK22" i="14" s="1"/>
  <c r="AK32" i="14"/>
  <c r="AK23" i="14" s="1"/>
  <c r="AL22" i="11"/>
  <c r="AL18" i="11"/>
  <c r="AO58" i="11"/>
  <c r="AP48" i="11"/>
  <c r="AP58" i="11" s="1"/>
  <c r="AD92" i="9"/>
  <c r="AD90" i="9"/>
  <c r="AJ39" i="9"/>
  <c r="AJ25" i="9"/>
  <c r="AM29" i="1"/>
  <c r="AM32" i="1"/>
  <c r="AM36" i="1" s="1"/>
  <c r="AE77" i="11"/>
  <c r="AE79" i="11"/>
  <c r="AK13" i="11"/>
  <c r="AK26" i="11"/>
  <c r="AL52" i="21"/>
  <c r="AL55" i="21"/>
  <c r="AL62" i="21" s="1"/>
  <c r="AN58" i="16"/>
  <c r="AO48" i="16"/>
  <c r="AE79" i="16"/>
  <c r="AE77" i="16"/>
  <c r="AK26" i="16"/>
  <c r="AK13" i="16"/>
  <c r="AK50" i="19"/>
  <c r="AK51" i="19" s="1"/>
  <c r="AK33" i="19"/>
  <c r="AK22" i="19" s="1"/>
  <c r="AK32" i="19"/>
  <c r="AK23" i="19" s="1"/>
  <c r="AD77" i="21"/>
  <c r="AD79" i="21"/>
  <c r="AJ26" i="21"/>
  <c r="AJ13" i="21"/>
  <c r="AK35" i="14"/>
  <c r="AK31" i="14"/>
  <c r="AL20" i="11"/>
  <c r="AL10" i="11" s="1"/>
  <c r="AL19" i="11"/>
  <c r="AL37" i="11"/>
  <c r="AL38" i="11" s="1"/>
  <c r="AJ9" i="21"/>
  <c r="AJ11" i="21"/>
  <c r="AJ27" i="14" l="1"/>
  <c r="AL37" i="21"/>
  <c r="AL38" i="21" s="1"/>
  <c r="AL20" i="21"/>
  <c r="AL10" i="21" s="1"/>
  <c r="AL19" i="21"/>
  <c r="AK11" i="21"/>
  <c r="AK9" i="21"/>
  <c r="AO58" i="21"/>
  <c r="AP48" i="21"/>
  <c r="AO61" i="19"/>
  <c r="AO71" i="19" s="1"/>
  <c r="AO61" i="14"/>
  <c r="AO71" i="14" s="1"/>
  <c r="AO61" i="9"/>
  <c r="AO71" i="9" s="1"/>
  <c r="AE93" i="14"/>
  <c r="AE91" i="14"/>
  <c r="AK26" i="14"/>
  <c r="AO58" i="16"/>
  <c r="AP48" i="16"/>
  <c r="AP58" i="16" s="1"/>
  <c r="AM10" i="1"/>
  <c r="AM6" i="1"/>
  <c r="AF77" i="11"/>
  <c r="AF79" i="11"/>
  <c r="AL13" i="11"/>
  <c r="AL26" i="11"/>
  <c r="AE80" i="21"/>
  <c r="AE78" i="21"/>
  <c r="AK14" i="21"/>
  <c r="AK12" i="21" s="1"/>
  <c r="AO45" i="21"/>
  <c r="AO45" i="16"/>
  <c r="AO44" i="16" s="1"/>
  <c r="AO45" i="11"/>
  <c r="AO44" i="11" s="1"/>
  <c r="AO24" i="1"/>
  <c r="AP25" i="1"/>
  <c r="AF50" i="1"/>
  <c r="AF48" i="1"/>
  <c r="AF80" i="16"/>
  <c r="AF78" i="16"/>
  <c r="AL14" i="16"/>
  <c r="AL12" i="16" s="1"/>
  <c r="AE93" i="9"/>
  <c r="AE91" i="9"/>
  <c r="AK26" i="9"/>
  <c r="AM65" i="19"/>
  <c r="AM68" i="19"/>
  <c r="AM75" i="19" s="1"/>
  <c r="AM20" i="16"/>
  <c r="AM10" i="16" s="1"/>
  <c r="AM37" i="16"/>
  <c r="AM38" i="16" s="1"/>
  <c r="AM19" i="16"/>
  <c r="AE90" i="14"/>
  <c r="AE92" i="14"/>
  <c r="AK25" i="14"/>
  <c r="AK39" i="14"/>
  <c r="AL9" i="11"/>
  <c r="AL11" i="11"/>
  <c r="AM8" i="1"/>
  <c r="AM9" i="1" s="1"/>
  <c r="AM17" i="1"/>
  <c r="AM18" i="1" s="1"/>
  <c r="AM7" i="1"/>
  <c r="AF80" i="11"/>
  <c r="AF78" i="11"/>
  <c r="AL14" i="11"/>
  <c r="AL12" i="11" s="1"/>
  <c r="AJ24" i="19"/>
  <c r="AJ27" i="19" s="1"/>
  <c r="AJ24" i="14"/>
  <c r="AJ24" i="9"/>
  <c r="AJ27" i="9" s="1"/>
  <c r="AL32" i="19"/>
  <c r="AL23" i="19" s="1"/>
  <c r="AL50" i="19"/>
  <c r="AL51" i="19" s="1"/>
  <c r="AL33" i="19"/>
  <c r="AL22" i="19" s="1"/>
  <c r="AL11" i="16"/>
  <c r="AL9" i="16"/>
  <c r="AL50" i="14"/>
  <c r="AL51" i="14" s="1"/>
  <c r="AL33" i="14"/>
  <c r="AL22" i="14" s="1"/>
  <c r="AL32" i="14"/>
  <c r="AL23" i="14" s="1"/>
  <c r="AM19" i="11"/>
  <c r="AM37" i="11"/>
  <c r="AM38" i="11" s="1"/>
  <c r="AM20" i="11"/>
  <c r="AM10" i="11" s="1"/>
  <c r="AN55" i="11"/>
  <c r="AN62" i="11" s="1"/>
  <c r="AN52" i="11"/>
  <c r="AF77" i="16"/>
  <c r="AF79" i="16"/>
  <c r="AL26" i="16"/>
  <c r="AL13" i="16"/>
  <c r="AM55" i="21"/>
  <c r="AM62" i="21" s="1"/>
  <c r="AM52" i="21"/>
  <c r="AM22" i="16"/>
  <c r="AM18" i="16"/>
  <c r="AL22" i="21"/>
  <c r="AL18" i="21"/>
  <c r="AL35" i="19"/>
  <c r="AL31" i="19"/>
  <c r="AL35" i="14"/>
  <c r="AL31" i="14"/>
  <c r="AM22" i="11"/>
  <c r="AM18" i="11"/>
  <c r="AN52" i="16"/>
  <c r="AN55" i="16"/>
  <c r="AN62" i="16" s="1"/>
  <c r="AE90" i="19"/>
  <c r="AE92" i="19"/>
  <c r="AK39" i="19"/>
  <c r="AK25" i="19"/>
  <c r="AL33" i="9"/>
  <c r="AL22" i="9" s="1"/>
  <c r="AL32" i="9"/>
  <c r="AL23" i="9" s="1"/>
  <c r="AL50" i="9"/>
  <c r="AL51" i="9" s="1"/>
  <c r="AM68" i="9"/>
  <c r="AM75" i="9" s="1"/>
  <c r="AM65" i="9"/>
  <c r="AE79" i="21"/>
  <c r="AE77" i="21"/>
  <c r="AK26" i="21"/>
  <c r="AK13" i="21"/>
  <c r="AN32" i="1"/>
  <c r="AN36" i="1" s="1"/>
  <c r="AN29" i="1"/>
  <c r="AN58" i="19"/>
  <c r="AN57" i="19" s="1"/>
  <c r="AN58" i="14"/>
  <c r="AN57" i="14" s="1"/>
  <c r="AN58" i="9"/>
  <c r="AN57" i="9" s="1"/>
  <c r="AN44" i="21"/>
  <c r="AF47" i="1"/>
  <c r="AF49" i="1"/>
  <c r="AL14" i="1"/>
  <c r="AK15" i="21"/>
  <c r="AK28" i="19"/>
  <c r="AK16" i="19" s="1"/>
  <c r="AK7" i="19" s="1"/>
  <c r="AK8" i="19" s="1"/>
  <c r="AK9" i="19" s="1"/>
  <c r="AK10" i="19" s="1"/>
  <c r="AK13" i="19" s="1"/>
  <c r="AK12" i="19" s="1"/>
  <c r="AK11" i="19" s="1"/>
  <c r="AK15" i="16"/>
  <c r="AK28" i="14"/>
  <c r="AK16" i="14" s="1"/>
  <c r="AK7" i="14" s="1"/>
  <c r="AK8" i="14" s="1"/>
  <c r="AK9" i="14" s="1"/>
  <c r="AK10" i="14" s="1"/>
  <c r="AK13" i="14" s="1"/>
  <c r="AK12" i="14" s="1"/>
  <c r="AK15" i="11"/>
  <c r="AK28" i="9"/>
  <c r="AK16" i="9" s="1"/>
  <c r="AK7" i="9" s="1"/>
  <c r="AK8" i="9" s="1"/>
  <c r="AK9" i="9" s="1"/>
  <c r="AK10" i="9" s="1"/>
  <c r="AK13" i="9" s="1"/>
  <c r="AE93" i="19"/>
  <c r="AE91" i="19"/>
  <c r="AK26" i="19"/>
  <c r="AL35" i="9"/>
  <c r="AL31" i="9"/>
  <c r="AE90" i="9"/>
  <c r="AE92" i="9"/>
  <c r="AK25" i="9"/>
  <c r="AK39" i="9"/>
  <c r="AM65" i="14"/>
  <c r="AM68" i="14"/>
  <c r="AM75" i="14" s="1"/>
  <c r="AK27" i="19" l="1"/>
  <c r="AK27" i="14"/>
  <c r="AN68" i="19"/>
  <c r="AN75" i="19" s="1"/>
  <c r="AN65" i="19"/>
  <c r="AM32" i="9"/>
  <c r="AM23" i="9" s="1"/>
  <c r="AM50" i="9"/>
  <c r="AM51" i="9" s="1"/>
  <c r="AM33" i="9"/>
  <c r="AM22" i="9" s="1"/>
  <c r="AF93" i="19"/>
  <c r="AF91" i="19"/>
  <c r="AL26" i="19"/>
  <c r="AN18" i="11"/>
  <c r="AN22" i="11"/>
  <c r="AM35" i="14"/>
  <c r="AM31" i="14"/>
  <c r="AN55" i="21"/>
  <c r="AN62" i="21" s="1"/>
  <c r="AN52" i="21"/>
  <c r="AN17" i="1"/>
  <c r="AN18" i="1" s="1"/>
  <c r="AN7" i="1"/>
  <c r="AN8" i="1"/>
  <c r="AM35" i="9"/>
  <c r="AM31" i="9"/>
  <c r="AN22" i="16"/>
  <c r="AN18" i="16"/>
  <c r="AF92" i="14"/>
  <c r="AF90" i="14"/>
  <c r="AL39" i="14"/>
  <c r="AL25" i="14"/>
  <c r="AF77" i="21"/>
  <c r="AF79" i="21"/>
  <c r="AL26" i="21"/>
  <c r="AL13" i="21"/>
  <c r="AM37" i="21"/>
  <c r="AM38" i="21" s="1"/>
  <c r="AM19" i="21"/>
  <c r="AM20" i="21"/>
  <c r="AM10" i="21" s="1"/>
  <c r="AO32" i="1"/>
  <c r="AO36" i="1" s="1"/>
  <c r="AO29" i="1"/>
  <c r="AK24" i="19"/>
  <c r="AK24" i="14"/>
  <c r="AK24" i="9"/>
  <c r="AK27" i="9" s="1"/>
  <c r="AG50" i="1"/>
  <c r="AG48" i="1"/>
  <c r="AN68" i="14"/>
  <c r="AN75" i="14" s="1"/>
  <c r="AN65" i="14"/>
  <c r="AM32" i="14"/>
  <c r="AM23" i="14" s="1"/>
  <c r="AM50" i="14"/>
  <c r="AM51" i="14" s="1"/>
  <c r="AM33" i="14"/>
  <c r="AM22" i="14" s="1"/>
  <c r="AL15" i="21"/>
  <c r="AL28" i="19"/>
  <c r="AL16" i="19" s="1"/>
  <c r="AL15" i="16"/>
  <c r="AL28" i="14"/>
  <c r="AL16" i="14" s="1"/>
  <c r="AL15" i="11"/>
  <c r="AL28" i="9"/>
  <c r="AL16" i="9" s="1"/>
  <c r="AN65" i="9"/>
  <c r="AN68" i="9"/>
  <c r="AN75" i="9" s="1"/>
  <c r="AN10" i="1"/>
  <c r="AN6" i="1"/>
  <c r="AN20" i="16"/>
  <c r="AN10" i="16" s="1"/>
  <c r="AN37" i="16"/>
  <c r="AN38" i="16" s="1"/>
  <c r="AN19" i="16"/>
  <c r="AF93" i="14"/>
  <c r="AF91" i="14"/>
  <c r="AL26" i="14"/>
  <c r="AF80" i="21"/>
  <c r="AF78" i="21"/>
  <c r="AL14" i="21"/>
  <c r="AL12" i="21" s="1"/>
  <c r="AM22" i="21"/>
  <c r="AM18" i="21"/>
  <c r="AM31" i="19"/>
  <c r="AM35" i="19"/>
  <c r="AO55" i="11"/>
  <c r="AO62" i="11" s="1"/>
  <c r="AO52" i="11"/>
  <c r="AP58" i="21"/>
  <c r="AP61" i="19"/>
  <c r="AP71" i="19" s="1"/>
  <c r="AP61" i="14"/>
  <c r="AP71" i="14" s="1"/>
  <c r="AP61" i="9"/>
  <c r="AP71" i="9" s="1"/>
  <c r="AF90" i="9"/>
  <c r="AF92" i="9"/>
  <c r="AL39" i="9"/>
  <c r="AL25" i="9"/>
  <c r="AG79" i="11"/>
  <c r="AG77" i="11"/>
  <c r="AM26" i="11"/>
  <c r="AM13" i="11"/>
  <c r="AF92" i="19"/>
  <c r="AF90" i="19"/>
  <c r="AL39" i="19"/>
  <c r="AL25" i="19"/>
  <c r="AG77" i="16"/>
  <c r="AG79" i="16"/>
  <c r="AM13" i="16"/>
  <c r="AM26" i="16"/>
  <c r="AN37" i="11"/>
  <c r="AN38" i="11" s="1"/>
  <c r="AN20" i="11"/>
  <c r="AN10" i="11" s="1"/>
  <c r="AN19" i="11"/>
  <c r="AM11" i="11"/>
  <c r="AM9" i="11"/>
  <c r="AM9" i="16"/>
  <c r="AM11" i="16"/>
  <c r="AM50" i="19"/>
  <c r="AM51" i="19" s="1"/>
  <c r="AM33" i="19"/>
  <c r="AM22" i="19" s="1"/>
  <c r="AM32" i="19"/>
  <c r="AM23" i="19" s="1"/>
  <c r="AO55" i="16"/>
  <c r="AO62" i="16" s="1"/>
  <c r="AO52" i="16"/>
  <c r="AL11" i="21"/>
  <c r="AL9" i="21"/>
  <c r="AF93" i="9"/>
  <c r="AF91" i="9"/>
  <c r="AL26" i="9"/>
  <c r="AG80" i="11"/>
  <c r="AG78" i="11"/>
  <c r="AM14" i="11"/>
  <c r="AM12" i="11" s="1"/>
  <c r="AG80" i="16"/>
  <c r="AG78" i="16"/>
  <c r="AM14" i="16"/>
  <c r="AM12" i="16" s="1"/>
  <c r="AP45" i="21"/>
  <c r="AP45" i="16"/>
  <c r="AP44" i="16" s="1"/>
  <c r="AP45" i="11"/>
  <c r="AP44" i="11" s="1"/>
  <c r="AP24" i="1"/>
  <c r="AO58" i="19"/>
  <c r="AO57" i="19" s="1"/>
  <c r="AO58" i="14"/>
  <c r="AO57" i="14" s="1"/>
  <c r="AO58" i="9"/>
  <c r="AO57" i="9" s="1"/>
  <c r="AO44" i="21"/>
  <c r="AG47" i="1"/>
  <c r="AG49" i="1"/>
  <c r="AM14" i="1"/>
  <c r="AP29" i="1" l="1"/>
  <c r="AP32" i="1"/>
  <c r="AP36" i="1" s="1"/>
  <c r="AO37" i="16"/>
  <c r="AO38" i="16" s="1"/>
  <c r="AO19" i="16"/>
  <c r="AO20" i="16"/>
  <c r="AO10" i="16" s="1"/>
  <c r="AO37" i="11"/>
  <c r="AO38" i="11" s="1"/>
  <c r="AO20" i="11"/>
  <c r="AO10" i="11" s="1"/>
  <c r="AO19" i="11"/>
  <c r="AM15" i="21"/>
  <c r="AM28" i="19"/>
  <c r="AM16" i="19" s="1"/>
  <c r="AM15" i="16"/>
  <c r="AM28" i="14"/>
  <c r="AM16" i="14" s="1"/>
  <c r="AM15" i="11"/>
  <c r="AM28" i="9"/>
  <c r="AM16" i="9" s="1"/>
  <c r="AO68" i="9"/>
  <c r="AO75" i="9" s="1"/>
  <c r="AO65" i="9"/>
  <c r="AP52" i="11"/>
  <c r="AP55" i="11"/>
  <c r="AP62" i="11" s="1"/>
  <c r="AO22" i="16"/>
  <c r="AO18" i="16"/>
  <c r="AN11" i="11"/>
  <c r="AN9" i="11"/>
  <c r="AO22" i="11"/>
  <c r="AO18" i="11"/>
  <c r="AG80" i="21"/>
  <c r="AG78" i="21"/>
  <c r="AM14" i="21"/>
  <c r="AM12" i="21" s="1"/>
  <c r="AN31" i="9"/>
  <c r="AN35" i="9"/>
  <c r="AN31" i="14"/>
  <c r="AN35" i="14"/>
  <c r="AG93" i="9"/>
  <c r="AG91" i="9"/>
  <c r="AM26" i="9"/>
  <c r="AN37" i="21"/>
  <c r="AN38" i="21" s="1"/>
  <c r="AN20" i="21"/>
  <c r="AN10" i="21" s="1"/>
  <c r="AN19" i="21"/>
  <c r="AH80" i="11"/>
  <c r="AH78" i="11"/>
  <c r="AN14" i="11"/>
  <c r="AN12" i="11" s="1"/>
  <c r="AN50" i="19"/>
  <c r="AN51" i="19" s="1"/>
  <c r="AN33" i="19"/>
  <c r="AN22" i="19" s="1"/>
  <c r="AN32" i="19"/>
  <c r="AN23" i="19" s="1"/>
  <c r="AO68" i="19"/>
  <c r="AO75" i="19" s="1"/>
  <c r="AO65" i="19"/>
  <c r="AO68" i="14"/>
  <c r="AO75" i="14" s="1"/>
  <c r="AO65" i="14"/>
  <c r="AP52" i="16"/>
  <c r="AP55" i="16"/>
  <c r="AP62" i="16" s="1"/>
  <c r="AG93" i="19"/>
  <c r="AG91" i="19"/>
  <c r="AM26" i="19"/>
  <c r="AL24" i="19"/>
  <c r="AL27" i="19" s="1"/>
  <c r="AL24" i="14"/>
  <c r="AL27" i="14" s="1"/>
  <c r="AL24" i="9"/>
  <c r="AL27" i="9" s="1"/>
  <c r="AN50" i="9"/>
  <c r="AN51" i="9" s="1"/>
  <c r="AN33" i="9"/>
  <c r="AN22" i="9" s="1"/>
  <c r="AN32" i="9"/>
  <c r="AN23" i="9" s="1"/>
  <c r="AH77" i="16"/>
  <c r="AH79" i="16"/>
  <c r="AN13" i="16"/>
  <c r="AN26" i="16"/>
  <c r="AN9" i="1"/>
  <c r="AN18" i="21"/>
  <c r="AN22" i="21"/>
  <c r="AH77" i="11"/>
  <c r="AH79" i="11"/>
  <c r="AN26" i="11"/>
  <c r="AN13" i="11"/>
  <c r="AN35" i="19"/>
  <c r="AN31" i="19"/>
  <c r="AG90" i="19"/>
  <c r="AG92" i="19"/>
  <c r="AM39" i="19"/>
  <c r="AM25" i="19"/>
  <c r="AH47" i="1"/>
  <c r="AH49" i="1"/>
  <c r="AN14" i="1"/>
  <c r="AO17" i="1"/>
  <c r="AO18" i="1" s="1"/>
  <c r="AO7" i="1"/>
  <c r="AO8" i="1"/>
  <c r="AO9" i="1" s="1"/>
  <c r="AH80" i="16"/>
  <c r="AH78" i="16"/>
  <c r="AN14" i="16"/>
  <c r="AN12" i="16" s="1"/>
  <c r="AG90" i="14"/>
  <c r="AG92" i="14"/>
  <c r="AM39" i="14"/>
  <c r="AM25" i="14"/>
  <c r="AP58" i="19"/>
  <c r="AP57" i="19" s="1"/>
  <c r="AP58" i="14"/>
  <c r="AP57" i="14" s="1"/>
  <c r="AP58" i="9"/>
  <c r="AP57" i="9" s="1"/>
  <c r="AP44" i="21"/>
  <c r="AO52" i="21"/>
  <c r="AO55" i="21"/>
  <c r="AO62" i="21" s="1"/>
  <c r="AG79" i="21"/>
  <c r="AG77" i="21"/>
  <c r="AM26" i="21"/>
  <c r="AM13" i="21"/>
  <c r="AN9" i="16"/>
  <c r="AN11" i="16"/>
  <c r="AH50" i="1"/>
  <c r="AH48" i="1"/>
  <c r="AN50" i="14"/>
  <c r="AN51" i="14" s="1"/>
  <c r="AN33" i="14"/>
  <c r="AN22" i="14" s="1"/>
  <c r="AN32" i="14"/>
  <c r="AN23" i="14" s="1"/>
  <c r="AO10" i="1"/>
  <c r="AO6" i="1"/>
  <c r="AM11" i="21"/>
  <c r="AM9" i="21"/>
  <c r="AG90" i="9"/>
  <c r="AG92" i="9"/>
  <c r="AM39" i="9"/>
  <c r="AM25" i="9"/>
  <c r="AG93" i="14"/>
  <c r="AG91" i="14"/>
  <c r="AM26" i="14"/>
  <c r="AI49" i="1" l="1"/>
  <c r="AI47" i="1"/>
  <c r="AO14" i="1"/>
  <c r="AI50" i="1"/>
  <c r="AI48" i="1"/>
  <c r="AO22" i="21"/>
  <c r="AO18" i="21"/>
  <c r="AP68" i="14"/>
  <c r="AP75" i="14" s="1"/>
  <c r="AP65" i="14"/>
  <c r="AN15" i="21"/>
  <c r="AN28" i="19"/>
  <c r="AN16" i="19" s="1"/>
  <c r="AN15" i="16"/>
  <c r="AN28" i="14"/>
  <c r="AN16" i="14" s="1"/>
  <c r="AN15" i="11"/>
  <c r="AN28" i="9"/>
  <c r="AN16" i="9" s="1"/>
  <c r="AH90" i="19"/>
  <c r="AH92" i="19"/>
  <c r="AN25" i="19"/>
  <c r="AN39" i="19"/>
  <c r="AH77" i="21"/>
  <c r="AH79" i="21"/>
  <c r="AN13" i="21"/>
  <c r="AN26" i="21"/>
  <c r="AP20" i="16"/>
  <c r="AP10" i="16" s="1"/>
  <c r="AP37" i="16"/>
  <c r="AP38" i="16" s="1"/>
  <c r="AP19" i="16"/>
  <c r="AO35" i="19"/>
  <c r="AO31" i="19"/>
  <c r="AH93" i="9"/>
  <c r="AH91" i="9"/>
  <c r="AN26" i="9"/>
  <c r="AP20" i="11"/>
  <c r="AP10" i="11" s="1"/>
  <c r="AP19" i="11"/>
  <c r="AP37" i="11"/>
  <c r="AP38" i="11" s="1"/>
  <c r="AP8" i="1"/>
  <c r="AP17" i="1"/>
  <c r="AP18" i="1" s="1"/>
  <c r="AP7" i="1"/>
  <c r="AO37" i="21"/>
  <c r="AO38" i="21" s="1"/>
  <c r="AO20" i="21"/>
  <c r="AO10" i="21" s="1"/>
  <c r="AO19" i="21"/>
  <c r="AP68" i="19"/>
  <c r="AP75" i="19" s="1"/>
  <c r="AP65" i="19"/>
  <c r="AH93" i="19"/>
  <c r="AH91" i="19"/>
  <c r="AN26" i="19"/>
  <c r="AO50" i="14"/>
  <c r="AO51" i="14" s="1"/>
  <c r="AO33" i="14"/>
  <c r="AO22" i="14" s="1"/>
  <c r="AO32" i="14"/>
  <c r="AO23" i="14" s="1"/>
  <c r="AH93" i="14"/>
  <c r="AH91" i="14"/>
  <c r="AN26" i="14"/>
  <c r="AH92" i="9"/>
  <c r="AH90" i="9"/>
  <c r="AN39" i="9"/>
  <c r="AN25" i="9"/>
  <c r="AI77" i="11"/>
  <c r="AI79" i="11"/>
  <c r="AO13" i="11"/>
  <c r="AO26" i="11"/>
  <c r="AI79" i="16"/>
  <c r="AI77" i="16"/>
  <c r="AO26" i="16"/>
  <c r="AO13" i="16"/>
  <c r="AO50" i="9"/>
  <c r="AO51" i="9" s="1"/>
  <c r="AO33" i="9"/>
  <c r="AO22" i="9" s="1"/>
  <c r="AO32" i="9"/>
  <c r="AO23" i="9" s="1"/>
  <c r="AO9" i="11"/>
  <c r="AO11" i="11"/>
  <c r="AO11" i="16"/>
  <c r="AO9" i="16"/>
  <c r="AP52" i="21"/>
  <c r="AP55" i="21"/>
  <c r="AP62" i="21" s="1"/>
  <c r="AO35" i="14"/>
  <c r="AO31" i="14"/>
  <c r="AH90" i="14"/>
  <c r="AH92" i="14"/>
  <c r="AN39" i="14"/>
  <c r="AN25" i="14"/>
  <c r="AM24" i="19"/>
  <c r="AM27" i="19" s="1"/>
  <c r="AM15" i="19" s="1"/>
  <c r="AM14" i="19" s="1"/>
  <c r="AM24" i="14"/>
  <c r="AM27" i="14" s="1"/>
  <c r="AM15" i="14" s="1"/>
  <c r="AM14" i="14" s="1"/>
  <c r="AM24" i="9"/>
  <c r="AM27" i="9" s="1"/>
  <c r="AM15" i="9" s="1"/>
  <c r="AM14" i="9" s="1"/>
  <c r="AI80" i="11"/>
  <c r="AI78" i="11"/>
  <c r="AO14" i="11"/>
  <c r="AO12" i="11" s="1"/>
  <c r="AI80" i="16"/>
  <c r="AI78" i="16"/>
  <c r="AO14" i="16"/>
  <c r="AO12" i="16" s="1"/>
  <c r="AO35" i="9"/>
  <c r="AO31" i="9"/>
  <c r="AP68" i="9"/>
  <c r="AP75" i="9" s="1"/>
  <c r="AP65" i="9"/>
  <c r="AH80" i="21"/>
  <c r="AH78" i="21"/>
  <c r="AN14" i="21"/>
  <c r="AN12" i="21" s="1"/>
  <c r="AP18" i="16"/>
  <c r="AP22" i="16"/>
  <c r="AO50" i="19"/>
  <c r="AO51" i="19" s="1"/>
  <c r="AO33" i="19"/>
  <c r="AO22" i="19" s="1"/>
  <c r="AO32" i="19"/>
  <c r="AO23" i="19" s="1"/>
  <c r="AN11" i="21"/>
  <c r="AN9" i="21"/>
  <c r="AP22" i="11"/>
  <c r="AP18" i="11"/>
  <c r="AP10" i="1"/>
  <c r="AP6" i="1"/>
  <c r="AP33" i="9" l="1"/>
  <c r="AP22" i="9" s="1"/>
  <c r="AP32" i="9"/>
  <c r="AP23" i="9" s="1"/>
  <c r="AP50" i="9"/>
  <c r="AP51" i="9" s="1"/>
  <c r="AP22" i="21"/>
  <c r="AP18" i="21"/>
  <c r="AP35" i="19"/>
  <c r="AP31" i="19"/>
  <c r="AP9" i="11"/>
  <c r="AP11" i="11"/>
  <c r="AP50" i="14"/>
  <c r="AP51" i="14" s="1"/>
  <c r="AP33" i="14"/>
  <c r="AP22" i="14" s="1"/>
  <c r="AP32" i="14"/>
  <c r="AP23" i="14" s="1"/>
  <c r="AP35" i="9"/>
  <c r="AP31" i="9"/>
  <c r="AP37" i="21"/>
  <c r="AP38" i="21" s="1"/>
  <c r="AP20" i="21"/>
  <c r="AP10" i="21" s="1"/>
  <c r="AP19" i="21"/>
  <c r="AO11" i="21"/>
  <c r="AO9" i="21"/>
  <c r="AI90" i="19"/>
  <c r="AI92" i="19"/>
  <c r="AO39" i="19"/>
  <c r="AO25" i="19"/>
  <c r="AP35" i="14"/>
  <c r="AP31" i="14"/>
  <c r="AJ80" i="11"/>
  <c r="AJ78" i="11"/>
  <c r="AP14" i="11"/>
  <c r="AP12" i="11" s="1"/>
  <c r="AN24" i="19"/>
  <c r="AN27" i="19" s="1"/>
  <c r="AN15" i="19" s="1"/>
  <c r="AN14" i="19" s="1"/>
  <c r="AN24" i="14"/>
  <c r="AN27" i="14" s="1"/>
  <c r="AN15" i="14" s="1"/>
  <c r="AN14" i="14" s="1"/>
  <c r="AN24" i="9"/>
  <c r="AN27" i="9" s="1"/>
  <c r="AN15" i="9" s="1"/>
  <c r="AN14" i="9" s="1"/>
  <c r="AJ50" i="1"/>
  <c r="AJ48" i="1"/>
  <c r="AJ80" i="16"/>
  <c r="AJ78" i="16"/>
  <c r="AP14" i="16"/>
  <c r="AP12" i="16" s="1"/>
  <c r="AI90" i="9"/>
  <c r="AI92" i="9"/>
  <c r="AO25" i="9"/>
  <c r="AO39" i="9"/>
  <c r="AI90" i="14"/>
  <c r="AI92" i="14"/>
  <c r="AO25" i="14"/>
  <c r="AO39" i="14"/>
  <c r="AP9" i="1"/>
  <c r="AJ47" i="1" s="1"/>
  <c r="AI93" i="19"/>
  <c r="AI91" i="19"/>
  <c r="AO26" i="19"/>
  <c r="AI79" i="21"/>
  <c r="AI77" i="21"/>
  <c r="AO26" i="21"/>
  <c r="AO13" i="21"/>
  <c r="AO15" i="21"/>
  <c r="AO28" i="19"/>
  <c r="AO16" i="19" s="1"/>
  <c r="AO15" i="16"/>
  <c r="AO28" i="14"/>
  <c r="AO16" i="14" s="1"/>
  <c r="AO15" i="11"/>
  <c r="AO28" i="9"/>
  <c r="AO16" i="9" s="1"/>
  <c r="AP14" i="1"/>
  <c r="AJ77" i="11"/>
  <c r="AJ79" i="11"/>
  <c r="AP13" i="11"/>
  <c r="AP26" i="11"/>
  <c r="AJ77" i="16"/>
  <c r="AJ79" i="16"/>
  <c r="AP26" i="16"/>
  <c r="AP13" i="16"/>
  <c r="AI93" i="9"/>
  <c r="AI91" i="9"/>
  <c r="AO26" i="9"/>
  <c r="AI93" i="14"/>
  <c r="AI91" i="14"/>
  <c r="AO26" i="14"/>
  <c r="AP32" i="19"/>
  <c r="AP23" i="19" s="1"/>
  <c r="AP50" i="19"/>
  <c r="AP51" i="19" s="1"/>
  <c r="AP33" i="19"/>
  <c r="AP22" i="19" s="1"/>
  <c r="AP11" i="16"/>
  <c r="AP9" i="16"/>
  <c r="AI80" i="21"/>
  <c r="AI78" i="21"/>
  <c r="AO14" i="21"/>
  <c r="AO12" i="21" s="1"/>
  <c r="AO27" i="9" l="1"/>
  <c r="AO15" i="9" s="1"/>
  <c r="AO14" i="9" s="1"/>
  <c r="AJ49" i="1"/>
  <c r="AJ92" i="14"/>
  <c r="AJ90" i="14"/>
  <c r="AP39" i="14"/>
  <c r="AP25" i="14"/>
  <c r="AP11" i="21"/>
  <c r="AP9" i="21"/>
  <c r="AJ93" i="9"/>
  <c r="AJ91" i="9"/>
  <c r="AP26" i="9"/>
  <c r="AP15" i="21"/>
  <c r="AP28" i="19"/>
  <c r="AP16" i="19" s="1"/>
  <c r="AP15" i="16"/>
  <c r="AP28" i="14"/>
  <c r="AP16" i="14" s="1"/>
  <c r="AP15" i="11"/>
  <c r="AP28" i="9"/>
  <c r="AP16" i="9" s="1"/>
  <c r="AO24" i="19"/>
  <c r="AO27" i="19" s="1"/>
  <c r="AO15" i="19" s="1"/>
  <c r="AO14" i="19" s="1"/>
  <c r="AO24" i="14"/>
  <c r="AO27" i="14" s="1"/>
  <c r="AO15" i="14" s="1"/>
  <c r="AO14" i="14" s="1"/>
  <c r="AO24" i="9"/>
  <c r="AJ93" i="14"/>
  <c r="AJ91" i="14"/>
  <c r="AP26" i="14"/>
  <c r="AJ77" i="21"/>
  <c r="AJ79" i="21"/>
  <c r="AP26" i="21"/>
  <c r="AP13" i="21"/>
  <c r="AJ92" i="19"/>
  <c r="AJ90" i="19"/>
  <c r="AP39" i="19"/>
  <c r="AP25" i="19"/>
  <c r="AJ80" i="21"/>
  <c r="AJ78" i="21"/>
  <c r="AP14" i="21"/>
  <c r="AP12" i="21" s="1"/>
  <c r="AJ90" i="9"/>
  <c r="AJ92" i="9"/>
  <c r="AP39" i="9"/>
  <c r="AP25" i="9"/>
  <c r="AJ93" i="19"/>
  <c r="AJ91" i="19"/>
  <c r="AP26" i="19"/>
  <c r="AP27" i="19" l="1"/>
  <c r="AP15" i="19" s="1"/>
  <c r="AP14" i="19" s="1"/>
  <c r="AP27" i="14"/>
  <c r="AP15" i="14" s="1"/>
  <c r="AP14" i="14" s="1"/>
  <c r="AP24" i="19"/>
  <c r="AP24" i="14"/>
  <c r="AP24" i="9"/>
  <c r="AP27" i="9" s="1"/>
  <c r="AP15" i="9" s="1"/>
  <c r="AP14" i="9" s="1"/>
</calcChain>
</file>

<file path=xl/comments1.xml><?xml version="1.0" encoding="utf-8"?>
<comments xmlns="http://schemas.openxmlformats.org/spreadsheetml/2006/main">
  <authors>
    <author/>
  </authors>
  <commentList>
    <comment ref="L42" authorId="0" shapeId="0">
      <text>
        <r>
          <rPr>
            <sz val="11"/>
            <color rgb="FF000000"/>
            <rFont val="Calibri"/>
          </rPr>
          <t xml:space="preserve"> :Scheduling, curtailment, and boiler efficiency</t>
        </r>
      </text>
    </comment>
    <comment ref="Y42" authorId="0" shapeId="0">
      <text>
        <r>
          <rPr>
            <sz val="11"/>
            <color rgb="FF000000"/>
            <rFont val="Calibri"/>
          </rPr>
          <t xml:space="preserve"> :Biomass.  Additional data entered to compensate for growth.  Leaves remainder for small buildings</t>
        </r>
      </text>
    </comment>
    <comment ref="L45" authorId="0" shapeId="0">
      <text>
        <r>
          <rPr>
            <sz val="11"/>
            <color rgb="FF000000"/>
            <rFont val="Calibri"/>
          </rPr>
          <t xml:space="preserve"> :Building scheduling, curtailment and 1/10 of a 1400 MT ten year reduction project</t>
        </r>
      </text>
    </comment>
    <comment ref="P45" authorId="0" shapeId="0">
      <text>
        <r>
          <rPr>
            <sz val="11"/>
            <color rgb="FF000000"/>
            <rFont val="Calibri"/>
          </rPr>
          <t xml:space="preserve"> :Windpower Added</t>
        </r>
      </text>
    </comment>
    <comment ref="S45" authorId="0" shapeId="0">
      <text>
        <r>
          <rPr>
            <sz val="11"/>
            <color rgb="FF000000"/>
            <rFont val="Calibri"/>
          </rPr>
          <t xml:space="preserve"> :PV Merrill Gym
</t>
        </r>
      </text>
    </comment>
    <comment ref="U45" authorId="0" shapeId="0">
      <text>
        <r>
          <rPr>
            <sz val="11"/>
            <color rgb="FF000000"/>
            <rFont val="Calibri"/>
          </rPr>
          <t xml:space="preserve"> :PV Cutten
</t>
        </r>
      </text>
    </comment>
    <comment ref="W45" authorId="0" shapeId="0">
      <text>
        <r>
          <rPr>
            <sz val="11"/>
            <color rgb="FF000000"/>
            <rFont val="Calibri"/>
          </rPr>
          <t xml:space="preserve"> :PV Olin Arts &amp; Housing
</t>
        </r>
      </text>
    </comment>
    <comment ref="AL45" authorId="0" shapeId="0">
      <text>
        <r>
          <rPr>
            <sz val="11"/>
            <color rgb="FF000000"/>
            <rFont val="Calibri"/>
          </rPr>
          <t xml:space="preserve"> :Athletics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L29" authorId="0" shapeId="0">
      <text>
        <r>
          <rPr>
            <sz val="11"/>
            <color rgb="FF000000"/>
            <rFont val="Calibri"/>
          </rPr>
          <t xml:space="preserve"> :Scheduling, curtailment, and boiler efficiency</t>
        </r>
      </text>
    </comment>
    <comment ref="T29" authorId="0" shapeId="0">
      <text>
        <r>
          <rPr>
            <sz val="11"/>
            <color rgb="FF000000"/>
            <rFont val="Calibri"/>
          </rPr>
          <t xml:space="preserve"> :Biomass Plant comes Online.  Any delta in this column is to adjust to maintain small house emissions - Removed from this scenario
</t>
        </r>
      </text>
    </comment>
    <comment ref="L32" authorId="0" shapeId="0">
      <text>
        <r>
          <rPr>
            <sz val="11"/>
            <color rgb="FF000000"/>
            <rFont val="Calibri"/>
          </rPr>
          <t xml:space="preserve"> :Building scheduling, curtailment and 1/10 of a 1400 MT ten year reduction project</t>
        </r>
      </text>
    </comment>
    <comment ref="P32" authorId="0" shapeId="0">
      <text>
        <r>
          <rPr>
            <sz val="11"/>
            <color rgb="FF000000"/>
            <rFont val="Calibri"/>
          </rPr>
          <t xml:space="preserve"> :Windpower Not used, removed from scenario</t>
        </r>
      </text>
    </comment>
    <comment ref="S32" authorId="0" shapeId="0">
      <text>
        <r>
          <rPr>
            <sz val="11"/>
            <color rgb="FF000000"/>
            <rFont val="Calibri"/>
          </rPr>
          <t xml:space="preserve"> :PV Merrill Gym
Removed from scenario</t>
        </r>
      </text>
    </comment>
    <comment ref="U32" authorId="0" shapeId="0">
      <text>
        <r>
          <rPr>
            <sz val="11"/>
            <color rgb="FF000000"/>
            <rFont val="Calibri"/>
          </rPr>
          <t xml:space="preserve"> :PV Cutten SOC &amp; CCF
Removed from scenario</t>
        </r>
      </text>
    </comment>
    <comment ref="V32" authorId="0" shapeId="0">
      <text>
        <r>
          <rPr>
            <sz val="11"/>
            <color rgb="FF000000"/>
            <rFont val="Calibri"/>
          </rPr>
          <t xml:space="preserve"> :Backpressure Turbine
 Removed from this scenario</t>
        </r>
      </text>
    </comment>
    <comment ref="W32" authorId="0" shapeId="0">
      <text>
        <r>
          <rPr>
            <sz val="11"/>
            <color rgb="FF000000"/>
            <rFont val="Calibri"/>
          </rPr>
          <t xml:space="preserve"> :PV Olin Arts &amp; Housing  Removed from scenario
</t>
        </r>
      </text>
    </comment>
    <comment ref="X32" authorId="0" shapeId="0">
      <text>
        <r>
          <rPr>
            <sz val="11"/>
            <color rgb="FF000000"/>
            <rFont val="Calibri"/>
          </rPr>
          <t xml:space="preserve"> :Academic PV
Removed from scenario</t>
        </r>
      </text>
    </comment>
    <comment ref="AL32" authorId="0" shapeId="0">
      <text>
        <r>
          <rPr>
            <sz val="11"/>
            <color rgb="FF000000"/>
            <rFont val="Calibri"/>
          </rPr>
          <t xml:space="preserve"> :Athletics
PV removed from scenario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L42" authorId="0" shapeId="0">
      <text>
        <r>
          <rPr>
            <sz val="11"/>
            <color rgb="FF000000"/>
            <rFont val="Calibri"/>
          </rPr>
          <t xml:space="preserve"> :Scheduling, curtailment, and boiler efficiency</t>
        </r>
      </text>
    </comment>
    <comment ref="Y42" authorId="0" shapeId="0">
      <text>
        <r>
          <rPr>
            <sz val="11"/>
            <color rgb="FF000000"/>
            <rFont val="Calibri"/>
          </rPr>
          <t xml:space="preserve"> :Biomass.  Additional data entered to compensate for growth.  Leaves remainder for small buildings</t>
        </r>
      </text>
    </comment>
    <comment ref="L45" authorId="0" shapeId="0">
      <text>
        <r>
          <rPr>
            <sz val="11"/>
            <color rgb="FF000000"/>
            <rFont val="Calibri"/>
          </rPr>
          <t xml:space="preserve"> :Building scheduling, curtailment and 1/10 of a 1400 MT ten year reduction project</t>
        </r>
      </text>
    </comment>
    <comment ref="P45" authorId="0" shapeId="0">
      <text>
        <r>
          <rPr>
            <sz val="11"/>
            <color rgb="FF000000"/>
            <rFont val="Calibri"/>
          </rPr>
          <t xml:space="preserve"> :Windpower Added</t>
        </r>
      </text>
    </comment>
    <comment ref="S45" authorId="0" shapeId="0">
      <text>
        <r>
          <rPr>
            <sz val="11"/>
            <color rgb="FF000000"/>
            <rFont val="Calibri"/>
          </rPr>
          <t xml:space="preserve"> :PV Merrill Gym
</t>
        </r>
      </text>
    </comment>
    <comment ref="U45" authorId="0" shapeId="0">
      <text>
        <r>
          <rPr>
            <sz val="11"/>
            <color rgb="FF000000"/>
            <rFont val="Calibri"/>
          </rPr>
          <t xml:space="preserve"> :PV Cutten
</t>
        </r>
      </text>
    </comment>
    <comment ref="W45" authorId="0" shapeId="0">
      <text>
        <r>
          <rPr>
            <sz val="11"/>
            <color rgb="FF000000"/>
            <rFont val="Calibri"/>
          </rPr>
          <t xml:space="preserve"> :PV Olin Arts &amp; Housing
</t>
        </r>
      </text>
    </comment>
    <comment ref="AL45" authorId="0" shapeId="0">
      <text>
        <r>
          <rPr>
            <sz val="11"/>
            <color rgb="FF000000"/>
            <rFont val="Calibri"/>
          </rPr>
          <t xml:space="preserve"> :Athletics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L29" authorId="0" shapeId="0">
      <text>
        <r>
          <rPr>
            <sz val="11"/>
            <color rgb="FF000000"/>
            <rFont val="Calibri"/>
          </rPr>
          <t xml:space="preserve"> :Scheduling, curtailment, and boiler efficiency</t>
        </r>
      </text>
    </comment>
    <comment ref="T29" authorId="0" shapeId="0">
      <text>
        <r>
          <rPr>
            <sz val="11"/>
            <color rgb="FF000000"/>
            <rFont val="Calibri"/>
          </rPr>
          <t xml:space="preserve"> :Biomass Plant comes Online.  Any delta in this column is to adjust to maintain small house emissions
</t>
        </r>
      </text>
    </comment>
    <comment ref="L32" authorId="0" shapeId="0">
      <text>
        <r>
          <rPr>
            <sz val="11"/>
            <color rgb="FF000000"/>
            <rFont val="Calibri"/>
          </rPr>
          <t xml:space="preserve"> :Building scheduling, curtailment and 1/10 of a 1400 MT ten year reduction project</t>
        </r>
      </text>
    </comment>
    <comment ref="P32" authorId="0" shapeId="0">
      <text>
        <r>
          <rPr>
            <sz val="11"/>
            <color rgb="FF000000"/>
            <rFont val="Calibri"/>
          </rPr>
          <t xml:space="preserve"> :Windpower Not used, removed from scenario</t>
        </r>
      </text>
    </comment>
    <comment ref="S32" authorId="0" shapeId="0">
      <text>
        <r>
          <rPr>
            <sz val="11"/>
            <color rgb="FF000000"/>
            <rFont val="Calibri"/>
          </rPr>
          <t xml:space="preserve"> :PV Merrill Gym
Removed from scenario</t>
        </r>
      </text>
    </comment>
    <comment ref="U32" authorId="0" shapeId="0">
      <text>
        <r>
          <rPr>
            <sz val="11"/>
            <color rgb="FF000000"/>
            <rFont val="Calibri"/>
          </rPr>
          <t xml:space="preserve"> :PV Cutten SOC &amp; CCF
Removed from scenario</t>
        </r>
      </text>
    </comment>
    <comment ref="V32" authorId="0" shapeId="0">
      <text>
        <r>
          <rPr>
            <sz val="11"/>
            <color rgb="FF000000"/>
            <rFont val="Calibri"/>
          </rPr>
          <t xml:space="preserve"> :Backpressure Turbine
</t>
        </r>
      </text>
    </comment>
    <comment ref="W32" authorId="0" shapeId="0">
      <text>
        <r>
          <rPr>
            <sz val="11"/>
            <color rgb="FF000000"/>
            <rFont val="Calibri"/>
          </rPr>
          <t xml:space="preserve"> :PV Olin Arts &amp; Housing  Removed from scenario
</t>
        </r>
      </text>
    </comment>
    <comment ref="X32" authorId="0" shapeId="0">
      <text>
        <r>
          <rPr>
            <sz val="11"/>
            <color rgb="FF000000"/>
            <rFont val="Calibri"/>
          </rPr>
          <t xml:space="preserve"> :Academic PV
Removed from scenario</t>
        </r>
      </text>
    </comment>
    <comment ref="AL32" authorId="0" shapeId="0">
      <text>
        <r>
          <rPr>
            <sz val="11"/>
            <color rgb="FF000000"/>
            <rFont val="Calibri"/>
          </rPr>
          <t xml:space="preserve"> :Athletics
PV removed from scenario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L42" authorId="0" shapeId="0">
      <text>
        <r>
          <rPr>
            <sz val="11"/>
            <color rgb="FF000000"/>
            <rFont val="Calibri"/>
          </rPr>
          <t xml:space="preserve"> :Scheduling, curtailment, and boiler efficiency</t>
        </r>
      </text>
    </comment>
    <comment ref="Y42" authorId="0" shapeId="0">
      <text>
        <r>
          <rPr>
            <sz val="11"/>
            <color rgb="FF000000"/>
            <rFont val="Calibri"/>
          </rPr>
          <t xml:space="preserve"> :Biomass.  Additional data entered to compensate for growth.  Leaves remainder for small buildings</t>
        </r>
      </text>
    </comment>
    <comment ref="L45" authorId="0" shapeId="0">
      <text>
        <r>
          <rPr>
            <sz val="11"/>
            <color rgb="FF000000"/>
            <rFont val="Calibri"/>
          </rPr>
          <t xml:space="preserve"> :Building scheduling, curtailment and 1/10 of a 1400 MT ten year reduction project</t>
        </r>
      </text>
    </comment>
    <comment ref="P45" authorId="0" shapeId="0">
      <text>
        <r>
          <rPr>
            <sz val="11"/>
            <color rgb="FF000000"/>
            <rFont val="Calibri"/>
          </rPr>
          <t xml:space="preserve"> :Windpower Added</t>
        </r>
      </text>
    </comment>
    <comment ref="S45" authorId="0" shapeId="0">
      <text>
        <r>
          <rPr>
            <sz val="11"/>
            <color rgb="FF000000"/>
            <rFont val="Calibri"/>
          </rPr>
          <t xml:space="preserve"> :PV Merrill Gym
</t>
        </r>
      </text>
    </comment>
    <comment ref="U45" authorId="0" shapeId="0">
      <text>
        <r>
          <rPr>
            <sz val="11"/>
            <color rgb="FF000000"/>
            <rFont val="Calibri"/>
          </rPr>
          <t xml:space="preserve"> :PV Cutten
</t>
        </r>
      </text>
    </comment>
    <comment ref="W45" authorId="0" shapeId="0">
      <text>
        <r>
          <rPr>
            <sz val="11"/>
            <color rgb="FF000000"/>
            <rFont val="Calibri"/>
          </rPr>
          <t xml:space="preserve"> :PV Olin Arts &amp; Housing
</t>
        </r>
      </text>
    </comment>
    <comment ref="AL45" authorId="0" shapeId="0">
      <text>
        <r>
          <rPr>
            <sz val="11"/>
            <color rgb="FF000000"/>
            <rFont val="Calibri"/>
          </rPr>
          <t xml:space="preserve"> :Athletics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L29" authorId="0" shapeId="0">
      <text>
        <r>
          <rPr>
            <sz val="11"/>
            <color rgb="FF000000"/>
            <rFont val="Calibri"/>
          </rPr>
          <t xml:space="preserve"> :Scheduling, curtailment, and boiler efficiency</t>
        </r>
      </text>
    </comment>
    <comment ref="T29" authorId="0" shapeId="0">
      <text>
        <r>
          <rPr>
            <sz val="11"/>
            <color rgb="FF000000"/>
            <rFont val="Calibri"/>
          </rPr>
          <t xml:space="preserve"> :Biomass Plant comes Online.  Any delta in this column is to adjust to maintain small house emissions
</t>
        </r>
      </text>
    </comment>
    <comment ref="L32" authorId="0" shapeId="0">
      <text>
        <r>
          <rPr>
            <sz val="11"/>
            <color rgb="FF000000"/>
            <rFont val="Calibri"/>
          </rPr>
          <t xml:space="preserve"> :Building scheduling, curtailment and 1/10 of a 1400 MT ten year reduction project</t>
        </r>
      </text>
    </comment>
    <comment ref="P32" authorId="0" shapeId="0">
      <text>
        <r>
          <rPr>
            <sz val="11"/>
            <color rgb="FF000000"/>
            <rFont val="Calibri"/>
          </rPr>
          <t xml:space="preserve"> :Windpower Added</t>
        </r>
      </text>
    </comment>
    <comment ref="S32" authorId="0" shapeId="0">
      <text>
        <r>
          <rPr>
            <sz val="11"/>
            <color rgb="FF000000"/>
            <rFont val="Calibri"/>
          </rPr>
          <t xml:space="preserve"> :PV Merrill Gym
</t>
        </r>
      </text>
    </comment>
    <comment ref="U32" authorId="0" shapeId="0">
      <text>
        <r>
          <rPr>
            <sz val="11"/>
            <color rgb="FF000000"/>
            <rFont val="Calibri"/>
          </rPr>
          <t xml:space="preserve"> :PV Cutten SOC &amp; CCF
</t>
        </r>
      </text>
    </comment>
    <comment ref="V32" authorId="0" shapeId="0">
      <text>
        <r>
          <rPr>
            <sz val="11"/>
            <color rgb="FF000000"/>
            <rFont val="Calibri"/>
          </rPr>
          <t xml:space="preserve"> :Backpressure Turbine
</t>
        </r>
      </text>
    </comment>
    <comment ref="W32" authorId="0" shapeId="0">
      <text>
        <r>
          <rPr>
            <sz val="11"/>
            <color rgb="FF000000"/>
            <rFont val="Calibri"/>
          </rPr>
          <t xml:space="preserve"> :PV Olin Arts &amp; Housing
</t>
        </r>
      </text>
    </comment>
    <comment ref="X32" authorId="0" shapeId="0">
      <text>
        <r>
          <rPr>
            <sz val="11"/>
            <color rgb="FF000000"/>
            <rFont val="Calibri"/>
          </rPr>
          <t xml:space="preserve"> :Academic PV
</t>
        </r>
      </text>
    </comment>
    <comment ref="AL32" authorId="0" shapeId="0">
      <text>
        <r>
          <rPr>
            <sz val="11"/>
            <color rgb="FF000000"/>
            <rFont val="Calibri"/>
          </rPr>
          <t xml:space="preserve"> :Athletics
</t>
        </r>
      </text>
    </comment>
  </commentList>
</comments>
</file>

<file path=xl/sharedStrings.xml><?xml version="1.0" encoding="utf-8"?>
<sst xmlns="http://schemas.openxmlformats.org/spreadsheetml/2006/main" count="929" uniqueCount="294">
  <si>
    <t>Bates College Climate Action Planning</t>
  </si>
  <si>
    <t>Base Case Data</t>
  </si>
  <si>
    <t>Institutionally Supplied Historic Data</t>
  </si>
  <si>
    <t>Fiscal Year</t>
  </si>
  <si>
    <t>On-Campus Stationary Sources</t>
  </si>
  <si>
    <t>Campus Fleet</t>
  </si>
  <si>
    <t>Fugitive Emissions</t>
  </si>
  <si>
    <t>De Minimus Emissions</t>
  </si>
  <si>
    <t>Purchased Electricity</t>
  </si>
  <si>
    <t>Institutionally Sponsored Air Travel</t>
  </si>
  <si>
    <t>Faculty &amp; Staff Commuting</t>
  </si>
  <si>
    <t>Totals</t>
  </si>
  <si>
    <t>GHG MT Cross-Check</t>
  </si>
  <si>
    <t>Campus GSF</t>
  </si>
  <si>
    <t>MTeCO2/GSF</t>
  </si>
  <si>
    <t>Ave MTeCO2/GSF</t>
  </si>
  <si>
    <t>MMBTU Total</t>
  </si>
  <si>
    <t>MBTU/GSF</t>
  </si>
  <si>
    <t>Campus GSF Calculator</t>
  </si>
  <si>
    <t>Baseline Campus GSF</t>
  </si>
  <si>
    <t>Demolished GSF</t>
  </si>
  <si>
    <t>Renovated GSF</t>
  </si>
  <si>
    <t>New Construction GSF</t>
  </si>
  <si>
    <t>New Energy Hog GSF</t>
  </si>
  <si>
    <t>Cumulative Total GSF</t>
  </si>
  <si>
    <t>Campus Energy Usage Caculator</t>
  </si>
  <si>
    <t>Total MBTU Usage Base</t>
  </si>
  <si>
    <t>Total MBTU Usage Renovation</t>
  </si>
  <si>
    <t>Total MBTU Usage New Construction</t>
  </si>
  <si>
    <t>Total MBTU New Energy Hog</t>
  </si>
  <si>
    <t xml:space="preserve">Total MBTU Usage </t>
  </si>
  <si>
    <t>Energy &amp; GHG Baseline Units</t>
  </si>
  <si>
    <t>MBTU/GSF OCS Existing</t>
  </si>
  <si>
    <t>De Minimus Emissions (&lt;5%)</t>
  </si>
  <si>
    <t>MBTU/GSF PE Existing</t>
  </si>
  <si>
    <t>Total MBTU/GSF Existing</t>
  </si>
  <si>
    <t>Fugitives</t>
  </si>
  <si>
    <t>Total MBTU/GSF New/Renovated</t>
  </si>
  <si>
    <t>Agriculture</t>
  </si>
  <si>
    <t>% OCS MBTU/GSF</t>
  </si>
  <si>
    <t>% PE MBTU/GSF</t>
  </si>
  <si>
    <t>MTeCO2/MBTU OCS</t>
  </si>
  <si>
    <t>Cost to Offset/ Green</t>
  </si>
  <si>
    <t>MTeCO2/MBTU  PE</t>
  </si>
  <si>
    <t>Low</t>
  </si>
  <si>
    <t>VER</t>
  </si>
  <si>
    <t>REC</t>
  </si>
  <si>
    <t>Campus Fleet MT CO2e/GSF</t>
  </si>
  <si>
    <t>High</t>
  </si>
  <si>
    <t>CER</t>
  </si>
  <si>
    <t>Fugitive Emissions MT CO2e/GSF</t>
  </si>
  <si>
    <t>Graphing Module</t>
  </si>
  <si>
    <t>Wedge Graphing Module</t>
  </si>
  <si>
    <t>Faculty and Staff Commuting</t>
  </si>
  <si>
    <t>Energy Conservation Measures</t>
  </si>
  <si>
    <t>Energy Efficiency</t>
  </si>
  <si>
    <t>T&amp;D Losses</t>
  </si>
  <si>
    <t>Green Building Design</t>
  </si>
  <si>
    <t>Green Electricity RECs</t>
  </si>
  <si>
    <t>On-Site Renewable Energy</t>
  </si>
  <si>
    <t xml:space="preserve">BAU Total Emissions </t>
  </si>
  <si>
    <t>Cogeneration</t>
  </si>
  <si>
    <t>Biomass</t>
  </si>
  <si>
    <t>Offsets</t>
  </si>
  <si>
    <t>Net Emissions</t>
  </si>
  <si>
    <t>BAU Emissions</t>
  </si>
  <si>
    <t>Data Module</t>
  </si>
  <si>
    <t>Agriculture Sources</t>
  </si>
  <si>
    <t>Commuting</t>
  </si>
  <si>
    <t>Mitigation Module</t>
  </si>
  <si>
    <t>Yearly Fossil Fuel Reduction</t>
  </si>
  <si>
    <t>Cumulative Fossil Fuel Reduction</t>
  </si>
  <si>
    <t>Yearly Purchased Electricity Reduction</t>
  </si>
  <si>
    <t>Cumulative Purchased Electricity Reduction</t>
  </si>
  <si>
    <t>Renovated GSF Type A</t>
  </si>
  <si>
    <t>Renovated GSF Type B</t>
  </si>
  <si>
    <t>Renovated GSF Type C</t>
  </si>
  <si>
    <t>New Construction GSF Type A</t>
  </si>
  <si>
    <t>New Construction GSF Type B</t>
  </si>
  <si>
    <t>New Construction GSF Type C</t>
  </si>
  <si>
    <t>Campus Energy Usage Calculator</t>
  </si>
  <si>
    <t>Total MBTU Usage Renovation Type A</t>
  </si>
  <si>
    <t>Total MBTU Usage Renovation Type B</t>
  </si>
  <si>
    <t>Total MBTU Usage Renovation Type C</t>
  </si>
  <si>
    <t>Total MBTU Usage New Construction A</t>
  </si>
  <si>
    <t>Total MBTU Usage New Construction B</t>
  </si>
  <si>
    <t>Total MBTU Usage New Construction C</t>
  </si>
  <si>
    <t>Total MBTU/GSF Renovated Type A</t>
  </si>
  <si>
    <t>Total MBTU/GSF Renovated Type B</t>
  </si>
  <si>
    <t>Total MBTU/GSF Renovated Type C</t>
  </si>
  <si>
    <t>Total MBTU/GSF New Type A</t>
  </si>
  <si>
    <t>Total MBTU/GSF New Type B</t>
  </si>
  <si>
    <t>Total MBTU/GSF New Type C</t>
  </si>
  <si>
    <t>MTCO2e/MWh</t>
  </si>
  <si>
    <t>MTCO2e PE Ave</t>
  </si>
  <si>
    <t>kWh/Year Ave</t>
  </si>
  <si>
    <t>Gas</t>
  </si>
  <si>
    <t>lbs CO2e/kW</t>
  </si>
  <si>
    <t>kWh/MWh</t>
  </si>
  <si>
    <t>Cost REC/MWh</t>
  </si>
  <si>
    <t>Annual kWh</t>
  </si>
  <si>
    <t>lbs/MT</t>
  </si>
  <si>
    <t>MMBTU/kWh</t>
  </si>
  <si>
    <t>MMBTU/CCF</t>
  </si>
  <si>
    <t>MMBTU/Therm</t>
  </si>
  <si>
    <t xml:space="preserve">Model </t>
  </si>
  <si>
    <t>Output (kWh)</t>
  </si>
  <si>
    <t>$$</t>
  </si>
  <si>
    <t>GHG Reduction</t>
  </si>
  <si>
    <t>ROI</t>
  </si>
  <si>
    <t>Northland 100</t>
  </si>
  <si>
    <t>DW 900</t>
  </si>
  <si>
    <t>67% of Central Plant fossil</t>
  </si>
  <si>
    <t>Steam Turbines</t>
  </si>
  <si>
    <t>85 psi Drop</t>
  </si>
  <si>
    <t>140 psi Drop</t>
  </si>
  <si>
    <t>190 psi Drop</t>
  </si>
  <si>
    <t>CHP</t>
  </si>
  <si>
    <t>MMBTU Output</t>
  </si>
  <si>
    <t>Input MMBTU</t>
  </si>
  <si>
    <t>GHG Increase</t>
  </si>
  <si>
    <t>250kW</t>
  </si>
  <si>
    <t>Merril Gym</t>
  </si>
  <si>
    <t>PV</t>
  </si>
  <si>
    <t>Cutten</t>
  </si>
  <si>
    <t>Olin</t>
  </si>
  <si>
    <t>Athletic</t>
  </si>
  <si>
    <t>Academic</t>
  </si>
  <si>
    <t>Housing</t>
  </si>
  <si>
    <t>Campus CTR</t>
  </si>
  <si>
    <t>Energy Efficiency Reductions Calculations</t>
  </si>
  <si>
    <t>Cost per MMBTU</t>
  </si>
  <si>
    <t>MTCDE/MBTU</t>
  </si>
  <si>
    <t>MBTU/MMBTU</t>
  </si>
  <si>
    <t>Total Reduction</t>
  </si>
  <si>
    <t>Energy Savings $$</t>
  </si>
  <si>
    <t>Energy Conservation Reductions Calculations</t>
  </si>
  <si>
    <t>Demo</t>
  </si>
  <si>
    <t>Reno</t>
  </si>
  <si>
    <t>New</t>
  </si>
  <si>
    <t>Phase 2</t>
  </si>
  <si>
    <t>Phase 3</t>
  </si>
  <si>
    <t>Comments</t>
  </si>
  <si>
    <t>SF</t>
  </si>
  <si>
    <t>Cost</t>
  </si>
  <si>
    <t>Science</t>
  </si>
  <si>
    <t>Hathorn</t>
  </si>
  <si>
    <t>G &amp; 1st Floor Renovation</t>
  </si>
  <si>
    <t>Dana</t>
  </si>
  <si>
    <t>Winter Garden / Library Expansion</t>
  </si>
  <si>
    <t>From 2004 MP / Library Addition Included</t>
  </si>
  <si>
    <t>Shaefer Theater Renovation / Expansion</t>
  </si>
  <si>
    <t>From 2004 MP</t>
  </si>
  <si>
    <t>SOC Displaced</t>
  </si>
  <si>
    <t>Roger Williams</t>
  </si>
  <si>
    <t>Hedge</t>
  </si>
  <si>
    <t>subtotal</t>
  </si>
  <si>
    <t>Frye Street</t>
  </si>
  <si>
    <t>New Village 1</t>
  </si>
  <si>
    <t>suite style structure (60 beds)</t>
  </si>
  <si>
    <t>New Village 2</t>
  </si>
  <si>
    <t>suite style structure (70 beds)</t>
  </si>
  <si>
    <t>New Village 3</t>
  </si>
  <si>
    <t>suite style structure (85 beds)</t>
  </si>
  <si>
    <t>SOC West</t>
  </si>
  <si>
    <t>5 town style structures (150 beds)</t>
  </si>
  <si>
    <t>SOC East</t>
  </si>
  <si>
    <t>6 town style structures (165 beds)</t>
  </si>
  <si>
    <t>JB</t>
  </si>
  <si>
    <t>Admin Functions in Alternate A</t>
  </si>
  <si>
    <t>Lane</t>
  </si>
  <si>
    <t>traditional style reno / addition (55 beds)</t>
  </si>
  <si>
    <t>Page</t>
  </si>
  <si>
    <t>traditional style addition (80 beds)</t>
  </si>
  <si>
    <t>Wood Street Housing Displaced</t>
  </si>
  <si>
    <t>Dedensification</t>
  </si>
  <si>
    <t>Rental Relocated</t>
  </si>
  <si>
    <t>Rental Displaced</t>
  </si>
  <si>
    <t>Admin</t>
  </si>
  <si>
    <t>2nd &amp; 3rd  Floor Renovation</t>
  </si>
  <si>
    <t>Carnegie</t>
  </si>
  <si>
    <t>23,400 SF Admin</t>
  </si>
  <si>
    <t>Campus Center Functions</t>
  </si>
  <si>
    <t>CCF1</t>
  </si>
  <si>
    <t>CCF2</t>
  </si>
  <si>
    <t>housing component in SOC East</t>
  </si>
  <si>
    <t>CCF3</t>
  </si>
  <si>
    <t>Chase</t>
  </si>
  <si>
    <t>Health Center</t>
  </si>
  <si>
    <t>Co-Curricular</t>
  </si>
  <si>
    <t>Presidents House</t>
  </si>
  <si>
    <t>Harward Center</t>
  </si>
  <si>
    <t>Cheney House</t>
  </si>
  <si>
    <t>Football Field</t>
  </si>
  <si>
    <t>Soccer Field</t>
  </si>
  <si>
    <t>Field Hockey</t>
  </si>
  <si>
    <t>Recreation Field</t>
  </si>
  <si>
    <t>Fitness</t>
  </si>
  <si>
    <t>Gymnasium</t>
  </si>
  <si>
    <t>Parking</t>
  </si>
  <si>
    <t>Below New Math and Science</t>
  </si>
  <si>
    <t>150 Spaces</t>
  </si>
  <si>
    <t>Wood Street SOC</t>
  </si>
  <si>
    <t>50 Spaces</t>
  </si>
  <si>
    <t>Central Avenue</t>
  </si>
  <si>
    <t>3 Lots - 125 Spaces</t>
  </si>
  <si>
    <t>Tennis Court Lot</t>
  </si>
  <si>
    <t>60 Spaces</t>
  </si>
  <si>
    <t>Olin Lot</t>
  </si>
  <si>
    <t>40 Spaces</t>
  </si>
  <si>
    <t>Shaeffer Lot</t>
  </si>
  <si>
    <t>25 Spaces</t>
  </si>
  <si>
    <t>Below Page Addition</t>
  </si>
  <si>
    <t>30 Spaces</t>
  </si>
  <si>
    <t>Lane Lot Displaced</t>
  </si>
  <si>
    <t>Loss of 62 Spaces - Convert to openspace</t>
  </si>
  <si>
    <t>Smith-Adams Lot Displaced</t>
  </si>
  <si>
    <t>Loss of 44 Spaces - Convert to openspace</t>
  </si>
  <si>
    <t>Infrastructure</t>
  </si>
  <si>
    <t>Wood Street Housing</t>
  </si>
  <si>
    <t>Alternative A Phase/Year</t>
  </si>
  <si>
    <t>Alternative B Phase/Year</t>
  </si>
  <si>
    <t>Alternative C Phase/Year</t>
  </si>
  <si>
    <t>Name</t>
  </si>
  <si>
    <t>Address</t>
  </si>
  <si>
    <t>Size</t>
  </si>
  <si>
    <t>Function</t>
  </si>
  <si>
    <t>Canham House</t>
  </si>
  <si>
    <t>146 Wood</t>
  </si>
  <si>
    <t>academic</t>
  </si>
  <si>
    <t>2-2024</t>
  </si>
  <si>
    <t>2-2020</t>
  </si>
  <si>
    <t>Writing Workshop</t>
  </si>
  <si>
    <t>53 Campus</t>
  </si>
  <si>
    <t>2-2017</t>
  </si>
  <si>
    <t>2-2022</t>
  </si>
  <si>
    <t>Environmental Studies</t>
  </si>
  <si>
    <t>111 Bardwell</t>
  </si>
  <si>
    <t>Philosophy / Religion</t>
  </si>
  <si>
    <t>75 Campus</t>
  </si>
  <si>
    <t>Security</t>
  </si>
  <si>
    <t>245 College</t>
  </si>
  <si>
    <t>admin</t>
  </si>
  <si>
    <t>3-2028</t>
  </si>
  <si>
    <t>215 College</t>
  </si>
  <si>
    <t>Lindholm House</t>
  </si>
  <si>
    <t>23 Campus</t>
  </si>
  <si>
    <t>31 Campus</t>
  </si>
  <si>
    <t>OCMR</t>
  </si>
  <si>
    <t>141 Nichols</t>
  </si>
  <si>
    <t>Alumni House</t>
  </si>
  <si>
    <t>67 Campus</t>
  </si>
  <si>
    <t>Student Org</t>
  </si>
  <si>
    <t>45 Campus</t>
  </si>
  <si>
    <t>CCF</t>
  </si>
  <si>
    <t>163 Wood Street</t>
  </si>
  <si>
    <t>163 Wood</t>
  </si>
  <si>
    <t>cocurricular</t>
  </si>
  <si>
    <t>Multicultural Center</t>
  </si>
  <si>
    <t>63 Campus</t>
  </si>
  <si>
    <t>Turner House</t>
  </si>
  <si>
    <t>241 College</t>
  </si>
  <si>
    <t>housing</t>
  </si>
  <si>
    <t>Clason House</t>
  </si>
  <si>
    <t>239 College</t>
  </si>
  <si>
    <t>Parsons House</t>
  </si>
  <si>
    <t>235 College</t>
  </si>
  <si>
    <t>Nash House</t>
  </si>
  <si>
    <t>227 College</t>
  </si>
  <si>
    <t>Milliken House</t>
  </si>
  <si>
    <t>11 Campus</t>
  </si>
  <si>
    <t>Whittier House</t>
  </si>
  <si>
    <t>13 Campus</t>
  </si>
  <si>
    <t>Stillman House</t>
  </si>
  <si>
    <t>154 Wood</t>
  </si>
  <si>
    <t>Herrick House</t>
  </si>
  <si>
    <t>148 Wood</t>
  </si>
  <si>
    <t>Wood Street House</t>
  </si>
  <si>
    <t>142 Wood</t>
  </si>
  <si>
    <t>Holmes House</t>
  </si>
  <si>
    <t>143 Wood</t>
  </si>
  <si>
    <t>Howard House</t>
  </si>
  <si>
    <t>145 Wood</t>
  </si>
  <si>
    <t>Leadbetter House</t>
  </si>
  <si>
    <t>149 Wood</t>
  </si>
  <si>
    <t>Davis House</t>
  </si>
  <si>
    <t>151 Wood</t>
  </si>
  <si>
    <t>Sum 2024</t>
  </si>
  <si>
    <t>Sum 2017</t>
  </si>
  <si>
    <t>Sum 2020</t>
  </si>
  <si>
    <t>Sum 2028</t>
  </si>
  <si>
    <t>Sum2022</t>
  </si>
  <si>
    <t>#ERROR!</t>
  </si>
  <si>
    <t>Projected -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</si>
</sst>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000"/>
    <numFmt numFmtId="167" formatCode="0.00000000"/>
    <numFmt numFmtId="168" formatCode="0.0"/>
    <numFmt numFmtId="169" formatCode="0.0000"/>
    <numFmt numFmtId="170" formatCode="0.0%"/>
    <numFmt numFmtId="171" formatCode="_(&quot;$&quot;* #,##0_);_(&quot;$&quot;* \(#,##0\);_(&quot;$&quot;* &quot;-&quot;??_);_(@_)"/>
    <numFmt numFmtId="172" formatCode="0.000"/>
    <numFmt numFmtId="173" formatCode="#,##0_);[Red]\(#,##0\);&quot;-&quot;_)"/>
  </numFmts>
  <fonts count="13">
    <font>
      <sz val="11"/>
      <color rgb="FF000000"/>
      <name val="Calibri"/>
    </font>
    <font>
      <b/>
      <sz val="16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sz val="11"/>
      <color rgb="FF008000"/>
      <name val="Calibri"/>
    </font>
    <font>
      <sz val="11"/>
      <color rgb="FFFF0000"/>
      <name val="Calibri"/>
    </font>
    <font>
      <i/>
      <sz val="11"/>
      <color rgb="FF000000"/>
      <name val="Calibri"/>
    </font>
    <font>
      <sz val="10"/>
      <name val="Carme"/>
    </font>
    <font>
      <sz val="8"/>
      <name val="Carme"/>
    </font>
    <font>
      <i/>
      <sz val="10"/>
      <name val="Carme"/>
    </font>
    <font>
      <sz val="10"/>
      <name val="Garamond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FF0000"/>
        <bgColor rgb="FFFF0000"/>
      </patternFill>
    </fill>
    <fill>
      <patternFill patternType="solid">
        <fgColor rgb="FFFF99CC"/>
        <bgColor rgb="FFFF99CC"/>
      </patternFill>
    </fill>
    <fill>
      <patternFill patternType="solid">
        <fgColor rgb="FFCC99FF"/>
        <bgColor rgb="FFCC99FF"/>
      </patternFill>
    </fill>
    <fill>
      <patternFill patternType="solid">
        <fgColor rgb="FF99CC00"/>
        <bgColor rgb="FF99CC00"/>
      </patternFill>
    </fill>
    <fill>
      <patternFill patternType="solid">
        <fgColor rgb="FFC0C0C0"/>
        <bgColor rgb="FFC0C0C0"/>
      </patternFill>
    </fill>
  </fills>
  <borders count="5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6" xfId="0" applyFont="1" applyBorder="1"/>
    <xf numFmtId="0" fontId="0" fillId="0" borderId="7" xfId="0" applyFont="1" applyBorder="1"/>
    <xf numFmtId="164" fontId="0" fillId="0" borderId="0" xfId="0" applyNumberFormat="1" applyFont="1"/>
    <xf numFmtId="164" fontId="0" fillId="0" borderId="8" xfId="0" applyNumberFormat="1" applyFont="1" applyBorder="1"/>
    <xf numFmtId="165" fontId="0" fillId="0" borderId="9" xfId="0" applyNumberFormat="1" applyFont="1" applyBorder="1"/>
    <xf numFmtId="165" fontId="0" fillId="0" borderId="0" xfId="0" applyNumberFormat="1" applyFont="1"/>
    <xf numFmtId="0" fontId="0" fillId="0" borderId="10" xfId="0" applyFont="1" applyBorder="1"/>
    <xf numFmtId="0" fontId="4" fillId="0" borderId="0" xfId="0" applyFont="1"/>
    <xf numFmtId="165" fontId="4" fillId="0" borderId="10" xfId="0" applyNumberFormat="1" applyFont="1" applyBorder="1"/>
    <xf numFmtId="165" fontId="0" fillId="0" borderId="10" xfId="0" applyNumberFormat="1" applyFont="1" applyBorder="1"/>
    <xf numFmtId="165" fontId="4" fillId="0" borderId="0" xfId="0" applyNumberFormat="1" applyFont="1" applyAlignment="1">
      <alignment horizontal="left" vertical="top"/>
    </xf>
    <xf numFmtId="165" fontId="4" fillId="0" borderId="0" xfId="0" applyNumberFormat="1" applyFont="1"/>
    <xf numFmtId="165" fontId="4" fillId="0" borderId="9" xfId="0" applyNumberFormat="1" applyFont="1" applyBorder="1"/>
    <xf numFmtId="0" fontId="0" fillId="0" borderId="9" xfId="0" applyFont="1" applyBorder="1"/>
    <xf numFmtId="165" fontId="2" fillId="0" borderId="0" xfId="0" applyNumberFormat="1" applyFont="1"/>
    <xf numFmtId="165" fontId="2" fillId="0" borderId="9" xfId="0" applyNumberFormat="1" applyFont="1" applyBorder="1"/>
    <xf numFmtId="0" fontId="0" fillId="0" borderId="11" xfId="0" applyFont="1" applyBorder="1"/>
    <xf numFmtId="165" fontId="5" fillId="0" borderId="11" xfId="0" applyNumberFormat="1" applyFont="1" applyBorder="1"/>
    <xf numFmtId="165" fontId="0" fillId="0" borderId="11" xfId="0" applyNumberFormat="1" applyFont="1" applyBorder="1"/>
    <xf numFmtId="165" fontId="0" fillId="0" borderId="12" xfId="0" applyNumberFormat="1" applyFont="1" applyBorder="1"/>
    <xf numFmtId="165" fontId="0" fillId="0" borderId="13" xfId="0" applyNumberFormat="1" applyFont="1" applyBorder="1"/>
    <xf numFmtId="166" fontId="0" fillId="0" borderId="0" xfId="0" applyNumberFormat="1" applyFont="1"/>
    <xf numFmtId="166" fontId="0" fillId="0" borderId="9" xfId="0" applyNumberFormat="1" applyFont="1" applyBorder="1"/>
    <xf numFmtId="165" fontId="0" fillId="0" borderId="14" xfId="0" applyNumberFormat="1" applyFont="1" applyBorder="1"/>
    <xf numFmtId="167" fontId="0" fillId="0" borderId="0" xfId="0" applyNumberFormat="1" applyFont="1"/>
    <xf numFmtId="0" fontId="0" fillId="0" borderId="14" xfId="0" applyFont="1" applyBorder="1"/>
    <xf numFmtId="0" fontId="0" fillId="0" borderId="15" xfId="0" applyFont="1" applyBorder="1"/>
    <xf numFmtId="168" fontId="0" fillId="0" borderId="15" xfId="0" applyNumberFormat="1" applyFont="1" applyBorder="1"/>
    <xf numFmtId="0" fontId="0" fillId="0" borderId="16" xfId="0" applyFont="1" applyBorder="1"/>
    <xf numFmtId="0" fontId="0" fillId="0" borderId="17" xfId="0" applyFont="1" applyBorder="1"/>
    <xf numFmtId="168" fontId="0" fillId="0" borderId="0" xfId="0" applyNumberFormat="1" applyFont="1"/>
    <xf numFmtId="165" fontId="0" fillId="0" borderId="15" xfId="0" applyNumberFormat="1" applyFont="1" applyBorder="1"/>
    <xf numFmtId="165" fontId="0" fillId="0" borderId="17" xfId="0" applyNumberFormat="1" applyFont="1" applyBorder="1"/>
    <xf numFmtId="169" fontId="0" fillId="0" borderId="0" xfId="0" applyNumberFormat="1" applyFont="1"/>
    <xf numFmtId="165" fontId="2" fillId="0" borderId="0" xfId="0" applyNumberFormat="1" applyFont="1" applyAlignment="1">
      <alignment horizontal="left"/>
    </xf>
    <xf numFmtId="168" fontId="0" fillId="0" borderId="13" xfId="0" applyNumberFormat="1" applyFont="1" applyBorder="1"/>
    <xf numFmtId="0" fontId="2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168" fontId="0" fillId="0" borderId="14" xfId="0" applyNumberFormat="1" applyFont="1" applyBorder="1"/>
    <xf numFmtId="0" fontId="0" fillId="0" borderId="21" xfId="0" applyFont="1" applyBorder="1"/>
    <xf numFmtId="9" fontId="0" fillId="0" borderId="0" xfId="0" applyNumberFormat="1" applyFont="1"/>
    <xf numFmtId="9" fontId="0" fillId="0" borderId="14" xfId="0" applyNumberFormat="1" applyFont="1" applyBorder="1"/>
    <xf numFmtId="170" fontId="0" fillId="0" borderId="0" xfId="0" applyNumberFormat="1" applyFont="1"/>
    <xf numFmtId="170" fontId="0" fillId="0" borderId="14" xfId="0" applyNumberFormat="1" applyFont="1" applyBorder="1"/>
    <xf numFmtId="0" fontId="0" fillId="0" borderId="22" xfId="0" applyFont="1" applyBorder="1"/>
    <xf numFmtId="10" fontId="0" fillId="0" borderId="15" xfId="0" applyNumberFormat="1" applyFont="1" applyBorder="1"/>
    <xf numFmtId="10" fontId="0" fillId="0" borderId="17" xfId="0" applyNumberFormat="1" applyFont="1" applyBorder="1"/>
    <xf numFmtId="10" fontId="0" fillId="0" borderId="0" xfId="0" applyNumberFormat="1" applyFont="1"/>
    <xf numFmtId="167" fontId="0" fillId="0" borderId="14" xfId="0" applyNumberFormat="1" applyFont="1" applyBorder="1"/>
    <xf numFmtId="0" fontId="0" fillId="0" borderId="23" xfId="0" applyFont="1" applyBorder="1"/>
    <xf numFmtId="0" fontId="2" fillId="0" borderId="11" xfId="0" applyFont="1" applyBorder="1"/>
    <xf numFmtId="0" fontId="0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3" xfId="0" applyFont="1" applyBorder="1"/>
    <xf numFmtId="171" fontId="0" fillId="0" borderId="0" xfId="0" applyNumberFormat="1" applyFont="1"/>
    <xf numFmtId="171" fontId="0" fillId="0" borderId="14" xfId="0" applyNumberFormat="1" applyFont="1" applyBorder="1"/>
    <xf numFmtId="171" fontId="0" fillId="0" borderId="15" xfId="0" applyNumberFormat="1" applyFont="1" applyBorder="1"/>
    <xf numFmtId="171" fontId="0" fillId="0" borderId="17" xfId="0" applyNumberFormat="1" applyFont="1" applyBorder="1"/>
    <xf numFmtId="0" fontId="0" fillId="0" borderId="0" xfId="0" applyFont="1"/>
    <xf numFmtId="0" fontId="2" fillId="0" borderId="24" xfId="0" applyFont="1" applyBorder="1"/>
    <xf numFmtId="0" fontId="2" fillId="0" borderId="9" xfId="0" applyFont="1" applyBorder="1"/>
    <xf numFmtId="1" fontId="0" fillId="0" borderId="11" xfId="0" applyNumberFormat="1" applyFont="1" applyBorder="1"/>
    <xf numFmtId="1" fontId="0" fillId="0" borderId="12" xfId="0" applyNumberFormat="1" applyFont="1" applyBorder="1"/>
    <xf numFmtId="1" fontId="4" fillId="0" borderId="21" xfId="0" applyNumberFormat="1" applyFont="1" applyBorder="1"/>
    <xf numFmtId="1" fontId="4" fillId="0" borderId="0" xfId="0" applyNumberFormat="1" applyFont="1"/>
    <xf numFmtId="1" fontId="4" fillId="0" borderId="9" xfId="0" applyNumberFormat="1" applyFont="1" applyBorder="1"/>
    <xf numFmtId="1" fontId="4" fillId="0" borderId="14" xfId="0" applyNumberFormat="1" applyFont="1" applyBorder="1"/>
    <xf numFmtId="0" fontId="4" fillId="0" borderId="21" xfId="0" applyFont="1" applyBorder="1"/>
    <xf numFmtId="0" fontId="0" fillId="0" borderId="25" xfId="0" applyFont="1" applyBorder="1"/>
    <xf numFmtId="1" fontId="0" fillId="0" borderId="0" xfId="0" applyNumberFormat="1" applyFont="1"/>
    <xf numFmtId="165" fontId="4" fillId="0" borderId="14" xfId="0" applyNumberFormat="1" applyFont="1" applyBorder="1"/>
    <xf numFmtId="1" fontId="0" fillId="0" borderId="9" xfId="0" applyNumberFormat="1" applyFont="1" applyBorder="1"/>
    <xf numFmtId="1" fontId="0" fillId="0" borderId="21" xfId="0" applyNumberFormat="1" applyFont="1" applyBorder="1"/>
    <xf numFmtId="1" fontId="0" fillId="0" borderId="14" xfId="0" applyNumberFormat="1" applyFont="1" applyBorder="1"/>
    <xf numFmtId="165" fontId="0" fillId="0" borderId="16" xfId="0" applyNumberFormat="1" applyFont="1" applyBorder="1"/>
    <xf numFmtId="164" fontId="0" fillId="0" borderId="11" xfId="0" applyNumberFormat="1" applyFont="1" applyBorder="1"/>
    <xf numFmtId="0" fontId="2" fillId="0" borderId="22" xfId="0" applyFont="1" applyBorder="1"/>
    <xf numFmtId="165" fontId="2" fillId="0" borderId="15" xfId="0" applyNumberFormat="1" applyFont="1" applyBorder="1"/>
    <xf numFmtId="165" fontId="2" fillId="0" borderId="16" xfId="0" applyNumberFormat="1" applyFont="1" applyBorder="1"/>
    <xf numFmtId="165" fontId="2" fillId="0" borderId="17" xfId="0" applyNumberFormat="1" applyFont="1" applyBorder="1"/>
    <xf numFmtId="165" fontId="0" fillId="0" borderId="26" xfId="0" applyNumberFormat="1" applyFont="1" applyBorder="1"/>
    <xf numFmtId="165" fontId="0" fillId="0" borderId="27" xfId="0" applyNumberFormat="1" applyFont="1" applyBorder="1"/>
    <xf numFmtId="0" fontId="0" fillId="0" borderId="27" xfId="0" applyFont="1" applyBorder="1"/>
    <xf numFmtId="0" fontId="0" fillId="0" borderId="28" xfId="0" applyFont="1" applyBorder="1"/>
    <xf numFmtId="165" fontId="0" fillId="0" borderId="23" xfId="0" applyNumberFormat="1" applyFont="1" applyBorder="1"/>
    <xf numFmtId="165" fontId="0" fillId="0" borderId="21" xfId="0" applyNumberFormat="1" applyFont="1" applyBorder="1"/>
    <xf numFmtId="1" fontId="0" fillId="0" borderId="15" xfId="0" applyNumberFormat="1" applyFont="1" applyBorder="1"/>
    <xf numFmtId="1" fontId="0" fillId="0" borderId="17" xfId="0" applyNumberFormat="1" applyFont="1" applyBorder="1"/>
    <xf numFmtId="165" fontId="0" fillId="0" borderId="22" xfId="0" applyNumberFormat="1" applyFont="1" applyBorder="1"/>
    <xf numFmtId="172" fontId="4" fillId="0" borderId="0" xfId="0" applyNumberFormat="1" applyFont="1"/>
    <xf numFmtId="173" fontId="4" fillId="0" borderId="0" xfId="0" applyNumberFormat="1" applyFont="1"/>
    <xf numFmtId="3" fontId="4" fillId="0" borderId="0" xfId="0" applyNumberFormat="1" applyFont="1"/>
    <xf numFmtId="172" fontId="0" fillId="0" borderId="0" xfId="0" applyNumberFormat="1" applyFont="1"/>
    <xf numFmtId="0" fontId="0" fillId="0" borderId="0" xfId="0" applyFont="1" applyAlignment="1">
      <alignment horizontal="center"/>
    </xf>
    <xf numFmtId="0" fontId="7" fillId="0" borderId="0" xfId="0" applyFont="1"/>
    <xf numFmtId="43" fontId="0" fillId="0" borderId="0" xfId="0" applyNumberFormat="1" applyFont="1"/>
    <xf numFmtId="0" fontId="8" fillId="0" borderId="0" xfId="0" applyFont="1"/>
    <xf numFmtId="165" fontId="8" fillId="0" borderId="0" xfId="0" applyNumberFormat="1" applyFont="1"/>
    <xf numFmtId="171" fontId="8" fillId="0" borderId="0" xfId="0" applyNumberFormat="1" applyFont="1"/>
    <xf numFmtId="0" fontId="8" fillId="0" borderId="7" xfId="0" applyFont="1" applyBorder="1"/>
    <xf numFmtId="0" fontId="8" fillId="0" borderId="2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Border="1"/>
    <xf numFmtId="165" fontId="9" fillId="0" borderId="5" xfId="0" applyNumberFormat="1" applyFont="1" applyBorder="1" applyAlignment="1">
      <alignment horizontal="center"/>
    </xf>
    <xf numFmtId="171" fontId="9" fillId="0" borderId="29" xfId="0" applyNumberFormat="1" applyFont="1" applyBorder="1" applyAlignment="1">
      <alignment horizontal="center"/>
    </xf>
    <xf numFmtId="0" fontId="8" fillId="0" borderId="5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31" xfId="0" applyFont="1" applyBorder="1"/>
    <xf numFmtId="165" fontId="8" fillId="0" borderId="32" xfId="0" applyNumberFormat="1" applyFont="1" applyBorder="1"/>
    <xf numFmtId="171" fontId="8" fillId="0" borderId="33" xfId="0" applyNumberFormat="1" applyFont="1" applyBorder="1"/>
    <xf numFmtId="0" fontId="8" fillId="0" borderId="34" xfId="0" applyFont="1" applyBorder="1"/>
    <xf numFmtId="171" fontId="8" fillId="0" borderId="31" xfId="0" applyNumberFormat="1" applyFont="1" applyBorder="1"/>
    <xf numFmtId="0" fontId="8" fillId="0" borderId="35" xfId="0" applyFont="1" applyBorder="1"/>
    <xf numFmtId="0" fontId="8" fillId="0" borderId="36" xfId="0" applyFont="1" applyBorder="1"/>
    <xf numFmtId="165" fontId="8" fillId="0" borderId="37" xfId="0" applyNumberFormat="1" applyFont="1" applyBorder="1"/>
    <xf numFmtId="171" fontId="8" fillId="0" borderId="38" xfId="0" applyNumberFormat="1" applyFont="1" applyBorder="1"/>
    <xf numFmtId="0" fontId="8" fillId="0" borderId="39" xfId="0" applyFont="1" applyBorder="1"/>
    <xf numFmtId="171" fontId="8" fillId="0" borderId="36" xfId="0" applyNumberFormat="1" applyFont="1" applyBorder="1"/>
    <xf numFmtId="0" fontId="10" fillId="0" borderId="35" xfId="0" applyFont="1" applyBorder="1"/>
    <xf numFmtId="0" fontId="8" fillId="0" borderId="40" xfId="0" applyFont="1" applyBorder="1"/>
    <xf numFmtId="0" fontId="8" fillId="0" borderId="41" xfId="0" applyFont="1" applyBorder="1"/>
    <xf numFmtId="165" fontId="8" fillId="0" borderId="42" xfId="0" applyNumberFormat="1" applyFont="1" applyBorder="1"/>
    <xf numFmtId="171" fontId="8" fillId="0" borderId="43" xfId="0" applyNumberFormat="1" applyFont="1" applyBorder="1"/>
    <xf numFmtId="0" fontId="8" fillId="0" borderId="44" xfId="0" applyFont="1" applyBorder="1"/>
    <xf numFmtId="171" fontId="8" fillId="0" borderId="41" xfId="0" applyNumberFormat="1" applyFont="1" applyBorder="1"/>
    <xf numFmtId="0" fontId="8" fillId="0" borderId="45" xfId="0" applyFont="1" applyBorder="1"/>
    <xf numFmtId="0" fontId="8" fillId="0" borderId="46" xfId="0" applyFont="1" applyBorder="1"/>
    <xf numFmtId="165" fontId="8" fillId="0" borderId="47" xfId="0" applyNumberFormat="1" applyFont="1" applyBorder="1"/>
    <xf numFmtId="171" fontId="8" fillId="0" borderId="48" xfId="0" applyNumberFormat="1" applyFont="1" applyBorder="1"/>
    <xf numFmtId="0" fontId="8" fillId="0" borderId="49" xfId="0" applyFont="1" applyBorder="1"/>
    <xf numFmtId="0" fontId="8" fillId="0" borderId="0" xfId="0" applyFont="1" applyAlignment="1">
      <alignment horizontal="right"/>
    </xf>
    <xf numFmtId="0" fontId="8" fillId="0" borderId="1" xfId="0" applyFont="1" applyBorder="1"/>
    <xf numFmtId="171" fontId="8" fillId="0" borderId="50" xfId="0" applyNumberFormat="1" applyFont="1" applyBorder="1"/>
    <xf numFmtId="0" fontId="8" fillId="3" borderId="0" xfId="0" applyFont="1" applyFill="1" applyBorder="1"/>
    <xf numFmtId="0" fontId="10" fillId="0" borderId="30" xfId="0" applyFont="1" applyBorder="1"/>
    <xf numFmtId="171" fontId="8" fillId="0" borderId="51" xfId="0" applyNumberFormat="1" applyFont="1" applyBorder="1"/>
    <xf numFmtId="171" fontId="8" fillId="0" borderId="52" xfId="0" applyNumberFormat="1" applyFont="1" applyBorder="1"/>
    <xf numFmtId="165" fontId="10" fillId="0" borderId="37" xfId="0" applyNumberFormat="1" applyFont="1" applyBorder="1"/>
    <xf numFmtId="171" fontId="10" fillId="0" borderId="38" xfId="0" applyNumberFormat="1" applyFont="1" applyBorder="1"/>
    <xf numFmtId="171" fontId="10" fillId="0" borderId="36" xfId="0" applyNumberFormat="1" applyFont="1" applyBorder="1"/>
    <xf numFmtId="0" fontId="10" fillId="0" borderId="0" xfId="0" applyFont="1"/>
    <xf numFmtId="171" fontId="10" fillId="0" borderId="52" xfId="0" applyNumberFormat="1" applyFont="1" applyBorder="1"/>
    <xf numFmtId="171" fontId="8" fillId="0" borderId="53" xfId="0" applyNumberFormat="1" applyFont="1" applyBorder="1"/>
    <xf numFmtId="171" fontId="8" fillId="0" borderId="29" xfId="0" applyNumberFormat="1" applyFont="1" applyBorder="1"/>
    <xf numFmtId="0" fontId="8" fillId="4" borderId="0" xfId="0" applyFont="1" applyFill="1" applyBorder="1"/>
    <xf numFmtId="165" fontId="8" fillId="0" borderId="54" xfId="0" applyNumberFormat="1" applyFont="1" applyBorder="1"/>
    <xf numFmtId="171" fontId="8" fillId="0" borderId="55" xfId="0" applyNumberFormat="1" applyFont="1" applyBorder="1"/>
    <xf numFmtId="0" fontId="8" fillId="0" borderId="56" xfId="0" applyFont="1" applyBorder="1"/>
    <xf numFmtId="171" fontId="8" fillId="0" borderId="57" xfId="0" applyNumberFormat="1" applyFont="1" applyBorder="1"/>
    <xf numFmtId="0" fontId="8" fillId="5" borderId="0" xfId="0" applyFont="1" applyFill="1" applyBorder="1"/>
    <xf numFmtId="0" fontId="8" fillId="0" borderId="32" xfId="0" applyFont="1" applyBorder="1"/>
    <xf numFmtId="0" fontId="8" fillId="0" borderId="37" xfId="0" applyFont="1" applyBorder="1"/>
    <xf numFmtId="0" fontId="8" fillId="6" borderId="0" xfId="0" applyFont="1" applyFill="1" applyBorder="1"/>
    <xf numFmtId="0" fontId="10" fillId="0" borderId="45" xfId="0" applyFont="1" applyBorder="1"/>
    <xf numFmtId="165" fontId="10" fillId="0" borderId="47" xfId="0" applyNumberFormat="1" applyFont="1" applyBorder="1"/>
    <xf numFmtId="0" fontId="8" fillId="7" borderId="0" xfId="0" applyFont="1" applyFill="1" applyBorder="1"/>
    <xf numFmtId="165" fontId="8" fillId="0" borderId="34" xfId="0" applyNumberFormat="1" applyFont="1" applyBorder="1"/>
    <xf numFmtId="171" fontId="8" fillId="0" borderId="34" xfId="0" applyNumberFormat="1" applyFont="1" applyBorder="1"/>
    <xf numFmtId="165" fontId="8" fillId="0" borderId="39" xfId="0" applyNumberFormat="1" applyFont="1" applyBorder="1"/>
    <xf numFmtId="171" fontId="8" fillId="0" borderId="39" xfId="0" applyNumberFormat="1" applyFont="1" applyBorder="1"/>
    <xf numFmtId="165" fontId="8" fillId="0" borderId="49" xfId="0" applyNumberFormat="1" applyFont="1" applyBorder="1"/>
    <xf numFmtId="171" fontId="8" fillId="0" borderId="49" xfId="0" applyNumberFormat="1" applyFont="1" applyBorder="1"/>
    <xf numFmtId="0" fontId="0" fillId="0" borderId="0" xfId="0" applyFont="1" applyAlignment="1">
      <alignment horizontal="center" wrapText="1"/>
    </xf>
    <xf numFmtId="0" fontId="0" fillId="0" borderId="56" xfId="0" applyFont="1" applyBorder="1"/>
    <xf numFmtId="0" fontId="11" fillId="0" borderId="0" xfId="0" applyFont="1"/>
    <xf numFmtId="49" fontId="0" fillId="0" borderId="0" xfId="0" applyNumberFormat="1" applyFont="1"/>
    <xf numFmtId="165" fontId="0" fillId="0" borderId="0" xfId="0" applyNumberFormat="1" applyFont="1" applyAlignment="1">
      <alignment horizontal="center"/>
    </xf>
    <xf numFmtId="0" fontId="12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8" fillId="0" borderId="7" xfId="0" applyFont="1" applyBorder="1" applyAlignment="1">
      <alignment horizontal="center"/>
    </xf>
    <xf numFmtId="0" fontId="3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0.xml"/><Relationship Id="rId18" Type="http://schemas.openxmlformats.org/officeDocument/2006/relationships/chartsheet" Target="chartsheets/sheet13.xml"/><Relationship Id="rId26" Type="http://schemas.openxmlformats.org/officeDocument/2006/relationships/styles" Target="styles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7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9.xml"/><Relationship Id="rId17" Type="http://schemas.openxmlformats.org/officeDocument/2006/relationships/chartsheet" Target="chartsheets/sheet12.xml"/><Relationship Id="rId25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5.xml"/><Relationship Id="rId20" Type="http://schemas.openxmlformats.org/officeDocument/2006/relationships/chartsheet" Target="chartsheets/sheet14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24" Type="http://schemas.openxmlformats.org/officeDocument/2006/relationships/worksheet" Target="worksheets/sheet10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1.xml"/><Relationship Id="rId23" Type="http://schemas.openxmlformats.org/officeDocument/2006/relationships/worksheet" Target="worksheets/sheet9.xml"/><Relationship Id="rId28" Type="http://schemas.openxmlformats.org/officeDocument/2006/relationships/calcChain" Target="calcChain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6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4.xml"/><Relationship Id="rId22" Type="http://schemas.openxmlformats.org/officeDocument/2006/relationships/worksheet" Target="worksheets/sheet8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'BAU Data'!$A$29</c:f>
              <c:strCache>
                <c:ptCount val="1"/>
                <c:pt idx="0">
                  <c:v>Cumulative Total GSF</c:v>
                </c:pt>
              </c:strCache>
            </c:strRef>
          </c:tx>
          <c:spPr>
            <a:solidFill>
              <a:srgbClr val="666699"/>
            </a:solidFill>
          </c:spPr>
          <c:invertIfNegative val="1"/>
          <c:cat>
            <c:numRef>
              <c:f>'BAU Data'!$B$5:$AP$5</c:f>
              <c:numCache>
                <c:formatCode>General</c:formatCode>
                <c:ptCount val="4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</c:numCache>
            </c:numRef>
          </c:cat>
          <c:val>
            <c:numRef>
              <c:f>'BAU Data'!$B$29:$AP$29</c:f>
              <c:numCache>
                <c:formatCode>_(* #,##0_);_(* \(#,##0\);_(* "-"??_);_(@_)</c:formatCode>
                <c:ptCount val="41"/>
                <c:pt idx="0">
                  <c:v>1538247</c:v>
                </c:pt>
                <c:pt idx="1">
                  <c:v>1538247</c:v>
                </c:pt>
                <c:pt idx="2">
                  <c:v>1538247</c:v>
                </c:pt>
                <c:pt idx="3">
                  <c:v>1538247</c:v>
                </c:pt>
                <c:pt idx="4">
                  <c:v>1538247</c:v>
                </c:pt>
                <c:pt idx="5">
                  <c:v>1538247</c:v>
                </c:pt>
                <c:pt idx="6">
                  <c:v>1538247</c:v>
                </c:pt>
                <c:pt idx="7">
                  <c:v>1538247</c:v>
                </c:pt>
                <c:pt idx="8">
                  <c:v>1538247</c:v>
                </c:pt>
                <c:pt idx="9">
                  <c:v>1538247</c:v>
                </c:pt>
                <c:pt idx="10">
                  <c:v>1538247</c:v>
                </c:pt>
                <c:pt idx="11">
                  <c:v>1545747</c:v>
                </c:pt>
                <c:pt idx="12">
                  <c:v>1545747</c:v>
                </c:pt>
                <c:pt idx="13">
                  <c:v>1545747</c:v>
                </c:pt>
                <c:pt idx="14">
                  <c:v>1615622</c:v>
                </c:pt>
                <c:pt idx="15">
                  <c:v>1615622</c:v>
                </c:pt>
                <c:pt idx="16">
                  <c:v>1615622</c:v>
                </c:pt>
                <c:pt idx="17">
                  <c:v>1577352</c:v>
                </c:pt>
                <c:pt idx="18">
                  <c:v>1682582</c:v>
                </c:pt>
                <c:pt idx="19">
                  <c:v>1682582</c:v>
                </c:pt>
                <c:pt idx="20">
                  <c:v>1698732</c:v>
                </c:pt>
                <c:pt idx="21">
                  <c:v>1720732</c:v>
                </c:pt>
                <c:pt idx="22">
                  <c:v>1659595</c:v>
                </c:pt>
                <c:pt idx="23">
                  <c:v>1659595</c:v>
                </c:pt>
                <c:pt idx="24">
                  <c:v>1594329</c:v>
                </c:pt>
                <c:pt idx="25">
                  <c:v>1620479</c:v>
                </c:pt>
                <c:pt idx="26">
                  <c:v>1646629</c:v>
                </c:pt>
                <c:pt idx="27">
                  <c:v>1661579</c:v>
                </c:pt>
                <c:pt idx="28">
                  <c:v>1796579</c:v>
                </c:pt>
                <c:pt idx="29">
                  <c:v>1796579</c:v>
                </c:pt>
                <c:pt idx="30">
                  <c:v>1811788</c:v>
                </c:pt>
                <c:pt idx="31">
                  <c:v>1811788</c:v>
                </c:pt>
                <c:pt idx="32">
                  <c:v>1811788</c:v>
                </c:pt>
                <c:pt idx="33">
                  <c:v>1811788</c:v>
                </c:pt>
                <c:pt idx="34">
                  <c:v>1811788</c:v>
                </c:pt>
                <c:pt idx="35">
                  <c:v>1866788</c:v>
                </c:pt>
                <c:pt idx="36">
                  <c:v>1866788</c:v>
                </c:pt>
                <c:pt idx="37">
                  <c:v>1866788</c:v>
                </c:pt>
                <c:pt idx="38">
                  <c:v>1866788</c:v>
                </c:pt>
                <c:pt idx="39">
                  <c:v>1953788</c:v>
                </c:pt>
                <c:pt idx="40">
                  <c:v>1953788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119760"/>
        <c:axId val="292120320"/>
      </c:barChart>
      <c:catAx>
        <c:axId val="29211976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92120320"/>
        <c:crosses val="autoZero"/>
        <c:auto val="1"/>
        <c:lblAlgn val="ctr"/>
        <c:lblOffset val="100"/>
        <c:noMultiLvlLbl val="1"/>
      </c:catAx>
      <c:valAx>
        <c:axId val="292120320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</a:defRPr>
                </a:pPr>
                <a:r>
                  <a:rPr lang="en-US"/>
                  <a:t>Gross Square Feet (GSF)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9211976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en-US"/>
              <a:t>Business As Usual Projection Through FY 2040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1"/>
        <c:ser>
          <c:idx val="0"/>
          <c:order val="0"/>
          <c:spPr>
            <a:solidFill>
              <a:srgbClr val="993366">
                <a:alpha val="80000"/>
              </a:srgbClr>
            </a:solidFill>
            <a:ln w="25400" cmpd="sng">
              <a:solidFill>
                <a:srgbClr val="993366"/>
              </a:solidFill>
            </a:ln>
          </c:spPr>
          <c:cat>
            <c:numRef>
              <c:f>'BAU Data'!$K$5:$AP$5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'BAU Data'!$K$11:$AP$11</c:f>
              <c:numCache>
                <c:formatCode>_(* #,##0_);_(* \(#,##0\);_(* "-"??_);_(@_)</c:formatCode>
                <c:ptCount val="32"/>
                <c:pt idx="0">
                  <c:v>1022.5</c:v>
                </c:pt>
                <c:pt idx="1">
                  <c:v>1022.5</c:v>
                </c:pt>
                <c:pt idx="2">
                  <c:v>1022.5</c:v>
                </c:pt>
                <c:pt idx="3">
                  <c:v>1022.5</c:v>
                </c:pt>
                <c:pt idx="4">
                  <c:v>1022.5</c:v>
                </c:pt>
                <c:pt idx="5">
                  <c:v>1022.5</c:v>
                </c:pt>
                <c:pt idx="6">
                  <c:v>1022.5</c:v>
                </c:pt>
                <c:pt idx="7">
                  <c:v>1022.5</c:v>
                </c:pt>
                <c:pt idx="8">
                  <c:v>1022.5</c:v>
                </c:pt>
                <c:pt idx="9">
                  <c:v>1022.5</c:v>
                </c:pt>
                <c:pt idx="10">
                  <c:v>1022.5</c:v>
                </c:pt>
                <c:pt idx="11">
                  <c:v>1022.5</c:v>
                </c:pt>
                <c:pt idx="12">
                  <c:v>1022.5</c:v>
                </c:pt>
                <c:pt idx="13">
                  <c:v>1022.5</c:v>
                </c:pt>
                <c:pt idx="14">
                  <c:v>1022.5</c:v>
                </c:pt>
                <c:pt idx="15">
                  <c:v>1022.5</c:v>
                </c:pt>
                <c:pt idx="16">
                  <c:v>1022.5</c:v>
                </c:pt>
                <c:pt idx="17">
                  <c:v>1022.5</c:v>
                </c:pt>
                <c:pt idx="18">
                  <c:v>1022.5</c:v>
                </c:pt>
                <c:pt idx="19">
                  <c:v>1022.5</c:v>
                </c:pt>
                <c:pt idx="20">
                  <c:v>1022.5</c:v>
                </c:pt>
                <c:pt idx="21">
                  <c:v>1022.5</c:v>
                </c:pt>
                <c:pt idx="22">
                  <c:v>1022.5</c:v>
                </c:pt>
                <c:pt idx="23">
                  <c:v>1022.5</c:v>
                </c:pt>
                <c:pt idx="24">
                  <c:v>1022.5</c:v>
                </c:pt>
                <c:pt idx="25">
                  <c:v>1022.5</c:v>
                </c:pt>
                <c:pt idx="26">
                  <c:v>1022.5</c:v>
                </c:pt>
                <c:pt idx="27">
                  <c:v>1022.5</c:v>
                </c:pt>
                <c:pt idx="28">
                  <c:v>1022.5</c:v>
                </c:pt>
                <c:pt idx="29">
                  <c:v>1022.5</c:v>
                </c:pt>
                <c:pt idx="30">
                  <c:v>1022.5</c:v>
                </c:pt>
                <c:pt idx="31">
                  <c:v>1022.5</c:v>
                </c:pt>
              </c:numCache>
            </c:numRef>
          </c:val>
        </c:ser>
        <c:ser>
          <c:idx val="1"/>
          <c:order val="1"/>
          <c:spPr>
            <a:solidFill>
              <a:srgbClr val="0066CC">
                <a:alpha val="80000"/>
              </a:srgbClr>
            </a:solidFill>
            <a:ln w="25400" cmpd="sng">
              <a:solidFill>
                <a:srgbClr val="0066CC"/>
              </a:solidFill>
            </a:ln>
          </c:spPr>
          <c:cat>
            <c:numRef>
              <c:f>'BAU Data'!$K$5:$AP$5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'BAU Data'!$K$12:$AP$12</c:f>
              <c:numCache>
                <c:formatCode>_(* #,##0_);_(* \(#,##0\);_(* "-"??_);_(@_)</c:formatCode>
                <c:ptCount val="32"/>
                <c:pt idx="0">
                  <c:v>725.6</c:v>
                </c:pt>
                <c:pt idx="1">
                  <c:v>725.6</c:v>
                </c:pt>
                <c:pt idx="2">
                  <c:v>725.6</c:v>
                </c:pt>
                <c:pt idx="3">
                  <c:v>725.6</c:v>
                </c:pt>
                <c:pt idx="4">
                  <c:v>725.6</c:v>
                </c:pt>
                <c:pt idx="5">
                  <c:v>725.6</c:v>
                </c:pt>
                <c:pt idx="6">
                  <c:v>725.6</c:v>
                </c:pt>
                <c:pt idx="7">
                  <c:v>725.6</c:v>
                </c:pt>
                <c:pt idx="8">
                  <c:v>725.6</c:v>
                </c:pt>
                <c:pt idx="9">
                  <c:v>725.6</c:v>
                </c:pt>
                <c:pt idx="10">
                  <c:v>725.6</c:v>
                </c:pt>
                <c:pt idx="11">
                  <c:v>725.6</c:v>
                </c:pt>
                <c:pt idx="12">
                  <c:v>725.6</c:v>
                </c:pt>
                <c:pt idx="13">
                  <c:v>725.6</c:v>
                </c:pt>
                <c:pt idx="14">
                  <c:v>725.6</c:v>
                </c:pt>
                <c:pt idx="15">
                  <c:v>725.6</c:v>
                </c:pt>
                <c:pt idx="16">
                  <c:v>725.6</c:v>
                </c:pt>
                <c:pt idx="17">
                  <c:v>725.6</c:v>
                </c:pt>
                <c:pt idx="18">
                  <c:v>725.6</c:v>
                </c:pt>
                <c:pt idx="19">
                  <c:v>725.6</c:v>
                </c:pt>
                <c:pt idx="20">
                  <c:v>725.6</c:v>
                </c:pt>
                <c:pt idx="21">
                  <c:v>725.6</c:v>
                </c:pt>
                <c:pt idx="22">
                  <c:v>725.6</c:v>
                </c:pt>
                <c:pt idx="23">
                  <c:v>725.6</c:v>
                </c:pt>
                <c:pt idx="24">
                  <c:v>725.6</c:v>
                </c:pt>
                <c:pt idx="25">
                  <c:v>725.6</c:v>
                </c:pt>
                <c:pt idx="26">
                  <c:v>725.6</c:v>
                </c:pt>
                <c:pt idx="27">
                  <c:v>725.6</c:v>
                </c:pt>
                <c:pt idx="28">
                  <c:v>725.6</c:v>
                </c:pt>
                <c:pt idx="29">
                  <c:v>725.6</c:v>
                </c:pt>
                <c:pt idx="30">
                  <c:v>725.6</c:v>
                </c:pt>
                <c:pt idx="31">
                  <c:v>725.6</c:v>
                </c:pt>
              </c:numCache>
            </c:numRef>
          </c:val>
        </c:ser>
        <c:ser>
          <c:idx val="2"/>
          <c:order val="2"/>
          <c:spPr>
            <a:solidFill>
              <a:srgbClr val="666699">
                <a:alpha val="80000"/>
              </a:srgbClr>
            </a:solidFill>
            <a:ln w="25400" cmpd="sng">
              <a:solidFill>
                <a:srgbClr val="666699"/>
              </a:solidFill>
            </a:ln>
          </c:spPr>
          <c:cat>
            <c:numRef>
              <c:f>'BAU Data'!$K$5:$AP$5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'BAU Data'!$K$9:$AP$9</c:f>
              <c:numCache>
                <c:formatCode>_(* #,##0_);_(* \(#,##0\);_(* "-"??_);_(@_)</c:formatCode>
                <c:ptCount val="32"/>
                <c:pt idx="0">
                  <c:v>294.10000000000002</c:v>
                </c:pt>
                <c:pt idx="1">
                  <c:v>294.09999999999997</c:v>
                </c:pt>
                <c:pt idx="2">
                  <c:v>295.49736986322739</c:v>
                </c:pt>
                <c:pt idx="3">
                  <c:v>295.49736986322739</c:v>
                </c:pt>
                <c:pt idx="4">
                  <c:v>295.49736986322739</c:v>
                </c:pt>
                <c:pt idx="5">
                  <c:v>308.51619908896294</c:v>
                </c:pt>
                <c:pt idx="6">
                  <c:v>308.51619908896294</c:v>
                </c:pt>
                <c:pt idx="7">
                  <c:v>308.51619908896294</c:v>
                </c:pt>
                <c:pt idx="8">
                  <c:v>301.38588646686776</c:v>
                </c:pt>
                <c:pt idx="9">
                  <c:v>320.99191722785741</c:v>
                </c:pt>
                <c:pt idx="10">
                  <c:v>320.99191722785741</c:v>
                </c:pt>
                <c:pt idx="11">
                  <c:v>324.00092033334045</c:v>
                </c:pt>
                <c:pt idx="12">
                  <c:v>328.0998719321409</c:v>
                </c:pt>
                <c:pt idx="13">
                  <c:v>316.70907175505624</c:v>
                </c:pt>
                <c:pt idx="14">
                  <c:v>316.70907175505624</c:v>
                </c:pt>
                <c:pt idx="15">
                  <c:v>304.54897288926941</c:v>
                </c:pt>
                <c:pt idx="16">
                  <c:v>309.42113581238902</c:v>
                </c:pt>
                <c:pt idx="17">
                  <c:v>314.29329873550864</c:v>
                </c:pt>
                <c:pt idx="18">
                  <c:v>317.07872266287529</c:v>
                </c:pt>
                <c:pt idx="19">
                  <c:v>342.23138020096906</c:v>
                </c:pt>
                <c:pt idx="20">
                  <c:v>342.23138020096906</c:v>
                </c:pt>
                <c:pt idx="21">
                  <c:v>345.06505996761246</c:v>
                </c:pt>
                <c:pt idx="22">
                  <c:v>345.06505996761246</c:v>
                </c:pt>
                <c:pt idx="23">
                  <c:v>345.06505996761246</c:v>
                </c:pt>
                <c:pt idx="24">
                  <c:v>345.06505996761246</c:v>
                </c:pt>
                <c:pt idx="25">
                  <c:v>345.06505996761246</c:v>
                </c:pt>
                <c:pt idx="26">
                  <c:v>355.31243896461359</c:v>
                </c:pt>
                <c:pt idx="27">
                  <c:v>355.31243896461359</c:v>
                </c:pt>
                <c:pt idx="28">
                  <c:v>355.31243896461359</c:v>
                </c:pt>
                <c:pt idx="29">
                  <c:v>355.31243896461359</c:v>
                </c:pt>
                <c:pt idx="30">
                  <c:v>371.52192937805177</c:v>
                </c:pt>
                <c:pt idx="31">
                  <c:v>371.52192937805177</c:v>
                </c:pt>
              </c:numCache>
            </c:numRef>
          </c:val>
        </c:ser>
        <c:ser>
          <c:idx val="3"/>
          <c:order val="3"/>
          <c:spPr>
            <a:solidFill>
              <a:srgbClr val="FF6600">
                <a:alpha val="80000"/>
              </a:srgbClr>
            </a:solidFill>
            <a:ln w="25400" cmpd="sng">
              <a:solidFill>
                <a:srgbClr val="FF6600"/>
              </a:solidFill>
            </a:ln>
          </c:spPr>
          <c:cat>
            <c:numRef>
              <c:f>'BAU Data'!$K$5:$AP$5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'BAU Data'!$K$6:$AP$6</c:f>
              <c:numCache>
                <c:formatCode>_(* #,##0_);_(* \(#,##0\);_(* "-"??_);_(@_)</c:formatCode>
                <c:ptCount val="32"/>
                <c:pt idx="0">
                  <c:v>7502</c:v>
                </c:pt>
                <c:pt idx="1">
                  <c:v>7502</c:v>
                </c:pt>
                <c:pt idx="2">
                  <c:v>7538.5466815398458</c:v>
                </c:pt>
                <c:pt idx="3">
                  <c:v>7538.5466815398458</c:v>
                </c:pt>
                <c:pt idx="4">
                  <c:v>7538.5466815398458</c:v>
                </c:pt>
                <c:pt idx="5">
                  <c:v>7879.2727518821885</c:v>
                </c:pt>
                <c:pt idx="6">
                  <c:v>7879.2727518821885</c:v>
                </c:pt>
                <c:pt idx="7">
                  <c:v>7879.2727518821885</c:v>
                </c:pt>
                <c:pt idx="8">
                  <c:v>7692.6117920638762</c:v>
                </c:pt>
                <c:pt idx="9">
                  <c:v>8205.6733793041149</c:v>
                </c:pt>
                <c:pt idx="10">
                  <c:v>8205.6733793041149</c:v>
                </c:pt>
                <c:pt idx="11">
                  <c:v>8284.3952233861128</c:v>
                </c:pt>
                <c:pt idx="12">
                  <c:v>8391.6328706511031</c:v>
                </c:pt>
                <c:pt idx="13">
                  <c:v>9739.4261780459092</c:v>
                </c:pt>
                <c:pt idx="14">
                  <c:v>9739.4261780459092</c:v>
                </c:pt>
                <c:pt idx="15">
                  <c:v>9421.0718838235152</c:v>
                </c:pt>
                <c:pt idx="16">
                  <c:v>9548.5851108639781</c:v>
                </c:pt>
                <c:pt idx="17">
                  <c:v>9676.098337904441</c:v>
                </c:pt>
                <c:pt idx="18">
                  <c:v>9748.9978692334989</c:v>
                </c:pt>
                <c:pt idx="19">
                  <c:v>9748.9978692334989</c:v>
                </c:pt>
                <c:pt idx="20">
                  <c:v>9748.9978692334989</c:v>
                </c:pt>
                <c:pt idx="21">
                  <c:v>9823.1363279358029</c:v>
                </c:pt>
                <c:pt idx="22">
                  <c:v>9823.1363279358029</c:v>
                </c:pt>
                <c:pt idx="23">
                  <c:v>9823.1363279358029</c:v>
                </c:pt>
                <c:pt idx="24">
                  <c:v>9823.1363279358029</c:v>
                </c:pt>
                <c:pt idx="25">
                  <c:v>9823.1363279358029</c:v>
                </c:pt>
                <c:pt idx="26">
                  <c:v>10091.32858366144</c:v>
                </c:pt>
                <c:pt idx="27">
                  <c:v>10091.32858366144</c:v>
                </c:pt>
                <c:pt idx="28">
                  <c:v>10091.32858366144</c:v>
                </c:pt>
                <c:pt idx="29">
                  <c:v>10091.32858366144</c:v>
                </c:pt>
                <c:pt idx="30">
                  <c:v>10515.559969991082</c:v>
                </c:pt>
                <c:pt idx="31">
                  <c:v>10515.559969991082</c:v>
                </c:pt>
              </c:numCache>
            </c:numRef>
          </c:val>
        </c:ser>
        <c:ser>
          <c:idx val="4"/>
          <c:order val="4"/>
          <c:spPr>
            <a:solidFill>
              <a:srgbClr val="993366">
                <a:alpha val="80000"/>
              </a:srgbClr>
            </a:solidFill>
            <a:ln w="25400" cmpd="sng">
              <a:solidFill>
                <a:srgbClr val="993366"/>
              </a:solidFill>
            </a:ln>
          </c:spPr>
          <c:cat>
            <c:numRef>
              <c:f>'BAU Data'!$K$5:$AP$5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'BAU Data'!$K$10:$AP$10</c:f>
              <c:numCache>
                <c:formatCode>_(* #,##0_);_(* \(#,##0\);_(* "-"??_);_(@_)</c:formatCode>
                <c:ptCount val="32"/>
                <c:pt idx="0">
                  <c:v>9416.6</c:v>
                </c:pt>
                <c:pt idx="1">
                  <c:v>9416.6</c:v>
                </c:pt>
                <c:pt idx="2">
                  <c:v>9462.4738311634374</c:v>
                </c:pt>
                <c:pt idx="3">
                  <c:v>9462.4738311634374</c:v>
                </c:pt>
                <c:pt idx="4">
                  <c:v>9462.4738311634374</c:v>
                </c:pt>
                <c:pt idx="5">
                  <c:v>9890.1572641127459</c:v>
                </c:pt>
                <c:pt idx="6">
                  <c:v>9890.1572641127459</c:v>
                </c:pt>
                <c:pt idx="7">
                  <c:v>9890.1572641127459</c:v>
                </c:pt>
                <c:pt idx="8">
                  <c:v>9655.8581979670344</c:v>
                </c:pt>
                <c:pt idx="9">
                  <c:v>10299.85923001268</c:v>
                </c:pt>
                <c:pt idx="10">
                  <c:v>10299.85923001268</c:v>
                </c:pt>
                <c:pt idx="11">
                  <c:v>10398.67182891731</c:v>
                </c:pt>
                <c:pt idx="12">
                  <c:v>10533.27780455521</c:v>
                </c:pt>
                <c:pt idx="13">
                  <c:v>12225.044061341925</c:v>
                </c:pt>
                <c:pt idx="14">
                  <c:v>12225.044061341925</c:v>
                </c:pt>
                <c:pt idx="15">
                  <c:v>11825.441948975276</c:v>
                </c:pt>
                <c:pt idx="16">
                  <c:v>11985.498074508363</c:v>
                </c:pt>
                <c:pt idx="17">
                  <c:v>12145.55420004145</c:v>
                </c:pt>
                <c:pt idx="18">
                  <c:v>12237.058562439905</c:v>
                </c:pt>
                <c:pt idx="19">
                  <c:v>12237.058562439905</c:v>
                </c:pt>
                <c:pt idx="20">
                  <c:v>12237.058562439905</c:v>
                </c:pt>
                <c:pt idx="21">
                  <c:v>12330.118041274365</c:v>
                </c:pt>
                <c:pt idx="22">
                  <c:v>12330.118041274365</c:v>
                </c:pt>
                <c:pt idx="23">
                  <c:v>12330.118041274365</c:v>
                </c:pt>
                <c:pt idx="24">
                  <c:v>12330.118041274365</c:v>
                </c:pt>
                <c:pt idx="25">
                  <c:v>12330.118041274365</c:v>
                </c:pt>
                <c:pt idx="26">
                  <c:v>12666.756163810493</c:v>
                </c:pt>
                <c:pt idx="27">
                  <c:v>12666.756163810493</c:v>
                </c:pt>
                <c:pt idx="28">
                  <c:v>12666.756163810493</c:v>
                </c:pt>
                <c:pt idx="29">
                  <c:v>12666.756163810493</c:v>
                </c:pt>
                <c:pt idx="30">
                  <c:v>13199.256466731276</c:v>
                </c:pt>
                <c:pt idx="31">
                  <c:v>13199.256466731276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48768"/>
        <c:axId val="151762208"/>
      </c:areaChart>
      <c:catAx>
        <c:axId val="4324876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151762208"/>
        <c:crosses val="autoZero"/>
        <c:auto val="1"/>
        <c:lblAlgn val="ctr"/>
        <c:lblOffset val="100"/>
        <c:noMultiLvlLbl val="1"/>
      </c:catAx>
      <c:valAx>
        <c:axId val="151762208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MTCDE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248768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areaChart>
        <c:grouping val="stacked"/>
        <c:varyColors val="1"/>
        <c:ser>
          <c:idx val="0"/>
          <c:order val="0"/>
          <c:tx>
            <c:strRef>
              <c:f>'BAU Data'!$E$47</c:f>
              <c:strCache>
                <c:ptCount val="1"/>
                <c:pt idx="0">
                  <c:v>VER</c:v>
                </c:pt>
              </c:strCache>
            </c:strRef>
          </c:tx>
          <c:spPr>
            <a:solidFill>
              <a:srgbClr val="666699">
                <a:alpha val="80000"/>
              </a:srgbClr>
            </a:solidFill>
            <a:ln w="25400" cmpd="sng">
              <a:solidFill>
                <a:srgbClr val="666699"/>
              </a:solidFill>
            </a:ln>
          </c:spPr>
          <c:cat>
            <c:numRef>
              <c:f>'BAU Data'!$L$5:$AP$5</c:f>
              <c:numCache>
                <c:formatCode>General</c:formatCode>
                <c:ptCount val="3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</c:numCache>
            </c:numRef>
          </c:cat>
          <c:val>
            <c:numRef>
              <c:f>'BAU Data'!$F$47:$AJ$47</c:f>
              <c:numCache>
                <c:formatCode>_("$"* #,##0_);_("$"* \(#,##0\);_("$"* "-"??_);_(@_)</c:formatCode>
                <c:ptCount val="31"/>
                <c:pt idx="0">
                  <c:v>44238.600000000006</c:v>
                </c:pt>
                <c:pt idx="1">
                  <c:v>44415.636395698355</c:v>
                </c:pt>
                <c:pt idx="2">
                  <c:v>44415.636395698355</c:v>
                </c:pt>
                <c:pt idx="3">
                  <c:v>44415.636395698355</c:v>
                </c:pt>
                <c:pt idx="4">
                  <c:v>46066.073175270518</c:v>
                </c:pt>
                <c:pt idx="5">
                  <c:v>46066.073175270518</c:v>
                </c:pt>
                <c:pt idx="6">
                  <c:v>46066.073175270518</c:v>
                </c:pt>
                <c:pt idx="7">
                  <c:v>45161.926042489256</c:v>
                </c:pt>
                <c:pt idx="8">
                  <c:v>47647.157461919232</c:v>
                </c:pt>
                <c:pt idx="9">
                  <c:v>47647.157461919232</c:v>
                </c:pt>
                <c:pt idx="10">
                  <c:v>48028.486788237577</c:v>
                </c:pt>
                <c:pt idx="11">
                  <c:v>48547.946765319241</c:v>
                </c:pt>
                <c:pt idx="12">
                  <c:v>54510.499447002097</c:v>
                </c:pt>
                <c:pt idx="13">
                  <c:v>54510.499447002097</c:v>
                </c:pt>
                <c:pt idx="14">
                  <c:v>52968.464233209248</c:v>
                </c:pt>
                <c:pt idx="15">
                  <c:v>53586.123221199399</c:v>
                </c:pt>
                <c:pt idx="16">
                  <c:v>54203.782209189565</c:v>
                </c:pt>
                <c:pt idx="17">
                  <c:v>54556.898915516627</c:v>
                </c:pt>
                <c:pt idx="18">
                  <c:v>54783.272833359464</c:v>
                </c:pt>
                <c:pt idx="19">
                  <c:v>54783.272833359464</c:v>
                </c:pt>
                <c:pt idx="20">
                  <c:v>55142.399015419622</c:v>
                </c:pt>
                <c:pt idx="21">
                  <c:v>55142.399015419622</c:v>
                </c:pt>
                <c:pt idx="22">
                  <c:v>55142.399015419622</c:v>
                </c:pt>
                <c:pt idx="23">
                  <c:v>55142.399015419622</c:v>
                </c:pt>
                <c:pt idx="24">
                  <c:v>55142.399015419622</c:v>
                </c:pt>
                <c:pt idx="25">
                  <c:v>56441.490577157994</c:v>
                </c:pt>
                <c:pt idx="26">
                  <c:v>56441.490577157994</c:v>
                </c:pt>
                <c:pt idx="27">
                  <c:v>56441.490577157994</c:v>
                </c:pt>
                <c:pt idx="28">
                  <c:v>56441.490577157994</c:v>
                </c:pt>
                <c:pt idx="29">
                  <c:v>58496.417229362334</c:v>
                </c:pt>
                <c:pt idx="30">
                  <c:v>58496.417229362334</c:v>
                </c:pt>
              </c:numCache>
            </c:numRef>
          </c:val>
        </c:ser>
        <c:ser>
          <c:idx val="1"/>
          <c:order val="1"/>
          <c:tx>
            <c:strRef>
              <c:f>'BAU Data'!$E$48</c:f>
              <c:strCache>
                <c:ptCount val="1"/>
                <c:pt idx="0">
                  <c:v>REC</c:v>
                </c:pt>
              </c:strCache>
            </c:strRef>
          </c:tx>
          <c:spPr>
            <a:solidFill>
              <a:srgbClr val="993366">
                <a:alpha val="80000"/>
              </a:srgbClr>
            </a:solidFill>
            <a:ln w="25400" cmpd="sng">
              <a:solidFill>
                <a:srgbClr val="993366"/>
              </a:solidFill>
            </a:ln>
          </c:spPr>
          <c:cat>
            <c:numRef>
              <c:f>'BAU Data'!$L$5:$AP$5</c:f>
              <c:numCache>
                <c:formatCode>General</c:formatCode>
                <c:ptCount val="3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</c:numCache>
            </c:numRef>
          </c:cat>
          <c:val>
            <c:numRef>
              <c:f>'BAU Data'!$F$48:$AJ$48</c:f>
              <c:numCache>
                <c:formatCode>_("$"* #,##0_);_("$"* \(#,##0\);_("$"* "-"??_);_(@_)</c:formatCode>
                <c:ptCount val="31"/>
                <c:pt idx="0">
                  <c:v>41421.994134897359</c:v>
                </c:pt>
                <c:pt idx="1">
                  <c:v>41623.785181070838</c:v>
                </c:pt>
                <c:pt idx="2">
                  <c:v>41623.785181070838</c:v>
                </c:pt>
                <c:pt idx="3">
                  <c:v>41623.785181070838</c:v>
                </c:pt>
                <c:pt idx="4">
                  <c:v>43505.090604601515</c:v>
                </c:pt>
                <c:pt idx="5">
                  <c:v>43505.090604601515</c:v>
                </c:pt>
                <c:pt idx="6">
                  <c:v>43505.090604601515</c:v>
                </c:pt>
                <c:pt idx="7">
                  <c:v>42474.449551174635</c:v>
                </c:pt>
                <c:pt idx="8">
                  <c:v>45307.298665744922</c:v>
                </c:pt>
                <c:pt idx="9">
                  <c:v>45307.298665744922</c:v>
                </c:pt>
                <c:pt idx="10">
                  <c:v>45741.958191718368</c:v>
                </c:pt>
                <c:pt idx="11">
                  <c:v>46334.066588952533</c:v>
                </c:pt>
                <c:pt idx="12">
                  <c:v>53775.853642266527</c:v>
                </c:pt>
                <c:pt idx="13">
                  <c:v>53775.853642266527</c:v>
                </c:pt>
                <c:pt idx="14">
                  <c:v>52018.073089334051</c:v>
                </c:pt>
                <c:pt idx="15">
                  <c:v>52722.132292558774</c:v>
                </c:pt>
                <c:pt idx="16">
                  <c:v>53426.191495783503</c:v>
                </c:pt>
                <c:pt idx="17">
                  <c:v>53828.703353841222</c:v>
                </c:pt>
                <c:pt idx="18">
                  <c:v>53828.703353841222</c:v>
                </c:pt>
                <c:pt idx="19">
                  <c:v>53828.703353841222</c:v>
                </c:pt>
                <c:pt idx="20">
                  <c:v>54238.055900033862</c:v>
                </c:pt>
                <c:pt idx="21">
                  <c:v>54238.055900033862</c:v>
                </c:pt>
                <c:pt idx="22">
                  <c:v>54238.055900033862</c:v>
                </c:pt>
                <c:pt idx="23">
                  <c:v>54238.055900033862</c:v>
                </c:pt>
                <c:pt idx="24">
                  <c:v>54238.055900033862</c:v>
                </c:pt>
                <c:pt idx="25">
                  <c:v>55718.868755764634</c:v>
                </c:pt>
                <c:pt idx="26">
                  <c:v>55718.868755764634</c:v>
                </c:pt>
                <c:pt idx="27">
                  <c:v>55718.868755764634</c:v>
                </c:pt>
                <c:pt idx="28">
                  <c:v>55718.868755764634</c:v>
                </c:pt>
                <c:pt idx="29">
                  <c:v>58061.245454829652</c:v>
                </c:pt>
                <c:pt idx="30">
                  <c:v>58061.245454829652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284720"/>
        <c:axId val="294285280"/>
      </c:areaChart>
      <c:catAx>
        <c:axId val="29428472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94285280"/>
        <c:crosses val="autoZero"/>
        <c:auto val="1"/>
        <c:lblAlgn val="ctr"/>
        <c:lblOffset val="100"/>
        <c:noMultiLvlLbl val="1"/>
      </c:catAx>
      <c:valAx>
        <c:axId val="294285280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_(&quot;$&quot;* #,##0_);_(&quot;$&quot;* \(#,##0\);_(&quot;$&quot;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94284720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areaChart>
        <c:grouping val="stacked"/>
        <c:varyColors val="1"/>
        <c:ser>
          <c:idx val="0"/>
          <c:order val="0"/>
          <c:tx>
            <c:strRef>
              <c:f>'BAU Data'!$E$49</c:f>
              <c:strCache>
                <c:ptCount val="1"/>
                <c:pt idx="0">
                  <c:v>CER</c:v>
                </c:pt>
              </c:strCache>
            </c:strRef>
          </c:tx>
          <c:spPr>
            <a:solidFill>
              <a:srgbClr val="666699">
                <a:alpha val="80000"/>
              </a:srgbClr>
            </a:solidFill>
            <a:ln w="25400" cmpd="sng">
              <a:solidFill>
                <a:srgbClr val="666699"/>
              </a:solidFill>
            </a:ln>
          </c:spPr>
          <c:cat>
            <c:numRef>
              <c:f>'BAU Data'!$L$5:$AP$5</c:f>
              <c:numCache>
                <c:formatCode>General</c:formatCode>
                <c:ptCount val="3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</c:numCache>
            </c:numRef>
          </c:cat>
          <c:val>
            <c:numRef>
              <c:f>'BAU Data'!$F$49:$AJ$49</c:f>
              <c:numCache>
                <c:formatCode>_("$"* #,##0_);_("$"* \(#,##0\);_("$"* "-"??_);_(@_)</c:formatCode>
                <c:ptCount val="31"/>
                <c:pt idx="0">
                  <c:v>157292.80000000002</c:v>
                </c:pt>
                <c:pt idx="1">
                  <c:v>157922.26274026081</c:v>
                </c:pt>
                <c:pt idx="2">
                  <c:v>157922.26274026081</c:v>
                </c:pt>
                <c:pt idx="3">
                  <c:v>157922.26274026081</c:v>
                </c:pt>
                <c:pt idx="4">
                  <c:v>163790.48240096183</c:v>
                </c:pt>
                <c:pt idx="5">
                  <c:v>163790.48240096183</c:v>
                </c:pt>
                <c:pt idx="6">
                  <c:v>163790.48240096183</c:v>
                </c:pt>
                <c:pt idx="7">
                  <c:v>160575.73703996179</c:v>
                </c:pt>
                <c:pt idx="8">
                  <c:v>169412.11542015726</c:v>
                </c:pt>
                <c:pt idx="9">
                  <c:v>169412.11542015726</c:v>
                </c:pt>
                <c:pt idx="10">
                  <c:v>170767.95302484473</c:v>
                </c:pt>
                <c:pt idx="11">
                  <c:v>172614.92183224618</c:v>
                </c:pt>
                <c:pt idx="12">
                  <c:v>193815.10914489636</c:v>
                </c:pt>
                <c:pt idx="13">
                  <c:v>193815.10914489636</c:v>
                </c:pt>
                <c:pt idx="14">
                  <c:v>188332.31727363289</c:v>
                </c:pt>
                <c:pt idx="15">
                  <c:v>190528.43811982009</c:v>
                </c:pt>
                <c:pt idx="16">
                  <c:v>192724.55896600735</c:v>
                </c:pt>
                <c:pt idx="17">
                  <c:v>193980.085032948</c:v>
                </c:pt>
                <c:pt idx="18">
                  <c:v>194784.97007416698</c:v>
                </c:pt>
                <c:pt idx="19">
                  <c:v>194784.97007416698</c:v>
                </c:pt>
                <c:pt idx="20">
                  <c:v>196061.86316593643</c:v>
                </c:pt>
                <c:pt idx="21">
                  <c:v>196061.86316593643</c:v>
                </c:pt>
                <c:pt idx="22">
                  <c:v>196061.86316593643</c:v>
                </c:pt>
                <c:pt idx="23">
                  <c:v>196061.86316593643</c:v>
                </c:pt>
                <c:pt idx="24">
                  <c:v>196061.86316593643</c:v>
                </c:pt>
                <c:pt idx="25">
                  <c:v>200680.85538545065</c:v>
                </c:pt>
                <c:pt idx="26">
                  <c:v>200680.85538545065</c:v>
                </c:pt>
                <c:pt idx="27">
                  <c:v>200680.85538545065</c:v>
                </c:pt>
                <c:pt idx="28">
                  <c:v>200680.85538545065</c:v>
                </c:pt>
                <c:pt idx="29">
                  <c:v>207987.26125995498</c:v>
                </c:pt>
                <c:pt idx="30">
                  <c:v>207987.26125995498</c:v>
                </c:pt>
              </c:numCache>
            </c:numRef>
          </c:val>
        </c:ser>
        <c:ser>
          <c:idx val="1"/>
          <c:order val="1"/>
          <c:tx>
            <c:strRef>
              <c:f>'BAU Data'!$E$50</c:f>
              <c:strCache>
                <c:ptCount val="1"/>
                <c:pt idx="0">
                  <c:v>REC</c:v>
                </c:pt>
              </c:strCache>
            </c:strRef>
          </c:tx>
          <c:spPr>
            <a:solidFill>
              <a:srgbClr val="993366">
                <a:alpha val="80000"/>
              </a:srgbClr>
            </a:solidFill>
            <a:ln w="25400" cmpd="sng">
              <a:solidFill>
                <a:srgbClr val="993366"/>
              </a:solidFill>
            </a:ln>
          </c:spPr>
          <c:cat>
            <c:numRef>
              <c:f>'BAU Data'!$L$5:$AP$5</c:f>
              <c:numCache>
                <c:formatCode>General</c:formatCode>
                <c:ptCount val="3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</c:numCache>
            </c:numRef>
          </c:cat>
          <c:val>
            <c:numRef>
              <c:f>'BAU Data'!$F$50:$AJ$50</c:f>
              <c:numCache>
                <c:formatCode>_("$"* #,##0_);_("$"* \(#,##0\);_("$"* "-"??_);_(@_)</c:formatCode>
                <c:ptCount val="31"/>
                <c:pt idx="0">
                  <c:v>82843.988269794718</c:v>
                </c:pt>
                <c:pt idx="1">
                  <c:v>83247.570362141676</c:v>
                </c:pt>
                <c:pt idx="2">
                  <c:v>83247.570362141676</c:v>
                </c:pt>
                <c:pt idx="3">
                  <c:v>83247.570362141676</c:v>
                </c:pt>
                <c:pt idx="4">
                  <c:v>87010.18120920303</c:v>
                </c:pt>
                <c:pt idx="5">
                  <c:v>87010.18120920303</c:v>
                </c:pt>
                <c:pt idx="6">
                  <c:v>87010.18120920303</c:v>
                </c:pt>
                <c:pt idx="7">
                  <c:v>84948.899102349271</c:v>
                </c:pt>
                <c:pt idx="8">
                  <c:v>90614.597331489844</c:v>
                </c:pt>
                <c:pt idx="9">
                  <c:v>90614.597331489844</c:v>
                </c:pt>
                <c:pt idx="10">
                  <c:v>91483.916383436735</c:v>
                </c:pt>
                <c:pt idx="11">
                  <c:v>92668.133177905067</c:v>
                </c:pt>
                <c:pt idx="12">
                  <c:v>107551.70728453305</c:v>
                </c:pt>
                <c:pt idx="13">
                  <c:v>107551.70728453305</c:v>
                </c:pt>
                <c:pt idx="14">
                  <c:v>104036.1461786681</c:v>
                </c:pt>
                <c:pt idx="15">
                  <c:v>105444.26458511755</c:v>
                </c:pt>
                <c:pt idx="16">
                  <c:v>106852.38299156701</c:v>
                </c:pt>
                <c:pt idx="17">
                  <c:v>107657.40670768244</c:v>
                </c:pt>
                <c:pt idx="18">
                  <c:v>107657.40670768244</c:v>
                </c:pt>
                <c:pt idx="19">
                  <c:v>107657.40670768244</c:v>
                </c:pt>
                <c:pt idx="20">
                  <c:v>108476.11180006772</c:v>
                </c:pt>
                <c:pt idx="21">
                  <c:v>108476.11180006772</c:v>
                </c:pt>
                <c:pt idx="22">
                  <c:v>108476.11180006772</c:v>
                </c:pt>
                <c:pt idx="23">
                  <c:v>108476.11180006772</c:v>
                </c:pt>
                <c:pt idx="24">
                  <c:v>108476.11180006772</c:v>
                </c:pt>
                <c:pt idx="25">
                  <c:v>111437.73751152927</c:v>
                </c:pt>
                <c:pt idx="26">
                  <c:v>111437.73751152927</c:v>
                </c:pt>
                <c:pt idx="27">
                  <c:v>111437.73751152927</c:v>
                </c:pt>
                <c:pt idx="28">
                  <c:v>111437.73751152927</c:v>
                </c:pt>
                <c:pt idx="29">
                  <c:v>116122.4909096593</c:v>
                </c:pt>
                <c:pt idx="30">
                  <c:v>116122.4909096593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288640"/>
        <c:axId val="294289200"/>
      </c:areaChart>
      <c:catAx>
        <c:axId val="29428864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94289200"/>
        <c:crosses val="autoZero"/>
        <c:auto val="1"/>
        <c:lblAlgn val="ctr"/>
        <c:lblOffset val="100"/>
        <c:noMultiLvlLbl val="1"/>
      </c:catAx>
      <c:valAx>
        <c:axId val="294289200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_(&quot;$&quot;* #,##0_);_(&quot;$&quot;* \(#,##0\);_(&quot;$&quot;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94288640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en-US"/>
              <a:t>Emissions Distribution FY2009</a:t>
            </a:r>
          </a:p>
        </c:rich>
      </c:tx>
      <c:layout/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6600"/>
              </a:solidFill>
            </c:spPr>
          </c:dPt>
          <c:dPt>
            <c:idx val="1"/>
            <c:bubble3D val="0"/>
            <c:spPr>
              <a:solidFill>
                <a:srgbClr val="666699"/>
              </a:solidFill>
            </c:spPr>
          </c:dPt>
          <c:dPt>
            <c:idx val="2"/>
            <c:bubble3D val="0"/>
            <c:spPr>
              <a:solidFill>
                <a:srgbClr val="99CCFF"/>
              </a:solidFill>
            </c:spPr>
          </c:dPt>
          <c:dPt>
            <c:idx val="3"/>
            <c:bubble3D val="0"/>
            <c:spPr>
              <a:solidFill>
                <a:srgbClr val="993366"/>
              </a:solidFill>
            </c:spPr>
          </c:dPt>
          <c:dPt>
            <c:idx val="4"/>
            <c:bubble3D val="0"/>
            <c:spPr>
              <a:solidFill>
                <a:srgbClr val="33CCCC"/>
              </a:solidFill>
            </c:spPr>
          </c:dPt>
          <c:dPt>
            <c:idx val="5"/>
            <c:bubble3D val="0"/>
            <c:spPr>
              <a:solidFill>
                <a:srgbClr val="D2803C"/>
              </a:solidFill>
            </c:spPr>
          </c:dPt>
          <c:dPt>
            <c:idx val="6"/>
            <c:bubble3D val="0"/>
            <c:spPr>
              <a:solidFill>
                <a:srgbClr val="618EC4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'BAU Data'!$A$6:$A$12</c:f>
              <c:strCache>
                <c:ptCount val="7"/>
                <c:pt idx="0">
                  <c:v>On-Campus Stationary Sources</c:v>
                </c:pt>
                <c:pt idx="1">
                  <c:v>Campus Fleet</c:v>
                </c:pt>
                <c:pt idx="2">
                  <c:v>Fugitive Emissions</c:v>
                </c:pt>
                <c:pt idx="3">
                  <c:v>De Minimus Emissions</c:v>
                </c:pt>
                <c:pt idx="4">
                  <c:v>Purchased Electricity</c:v>
                </c:pt>
                <c:pt idx="5">
                  <c:v>Institutionally Sponsored Air Travel</c:v>
                </c:pt>
                <c:pt idx="6">
                  <c:v>Faculty &amp; Staff Commuting</c:v>
                </c:pt>
              </c:strCache>
            </c:strRef>
          </c:cat>
          <c:val>
            <c:numRef>
              <c:f>'BAU Data'!$K$6:$K$12</c:f>
              <c:numCache>
                <c:formatCode>_(* #,##0_);_(* \(#,##0\);_(* "-"??_);_(@_)</c:formatCode>
                <c:ptCount val="7"/>
                <c:pt idx="0">
                  <c:v>7502</c:v>
                </c:pt>
                <c:pt idx="1">
                  <c:v>126.6</c:v>
                </c:pt>
                <c:pt idx="2">
                  <c:v>160</c:v>
                </c:pt>
                <c:pt idx="3">
                  <c:v>294.10000000000002</c:v>
                </c:pt>
                <c:pt idx="4">
                  <c:v>9416.6</c:v>
                </c:pt>
                <c:pt idx="5">
                  <c:v>1022.5</c:v>
                </c:pt>
                <c:pt idx="6">
                  <c:v>725.6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en-US"/>
              <a:t>Net Emissions Profile Mitigation Strategies Scenario 1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1"/>
        <c:ser>
          <c:idx val="0"/>
          <c:order val="0"/>
          <c:spPr>
            <a:solidFill>
              <a:srgbClr val="C0C0C0">
                <a:alpha val="80000"/>
              </a:srgbClr>
            </a:solidFill>
            <a:ln w="25400" cmpd="sng">
              <a:solidFill>
                <a:srgbClr val="C0C0C0"/>
              </a:solidFill>
            </a:ln>
          </c:spPr>
          <c:cat>
            <c:numRef>
              <c:f>'Mit w RECs Data Scenario 1'!$K$5:$AP$5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1'!$K$19:$AP$19</c:f>
              <c:numCache>
                <c:formatCode>_(* #,##0_);_(* \(#,##0\);_(* "-"??_);_(@_)</c:formatCode>
                <c:ptCount val="32"/>
                <c:pt idx="0" formatCode="0">
                  <c:v>725.6</c:v>
                </c:pt>
                <c:pt idx="1">
                  <c:v>725.6</c:v>
                </c:pt>
                <c:pt idx="2">
                  <c:v>725.6</c:v>
                </c:pt>
                <c:pt idx="3">
                  <c:v>725.6</c:v>
                </c:pt>
                <c:pt idx="4">
                  <c:v>725.6</c:v>
                </c:pt>
                <c:pt idx="5">
                  <c:v>725.6</c:v>
                </c:pt>
                <c:pt idx="6">
                  <c:v>725.6</c:v>
                </c:pt>
                <c:pt idx="7">
                  <c:v>725.6</c:v>
                </c:pt>
                <c:pt idx="8">
                  <c:v>725.6</c:v>
                </c:pt>
                <c:pt idx="9">
                  <c:v>725.6</c:v>
                </c:pt>
                <c:pt idx="10">
                  <c:v>725.6</c:v>
                </c:pt>
                <c:pt idx="11">
                  <c:v>725.6</c:v>
                </c:pt>
                <c:pt idx="12">
                  <c:v>725.6</c:v>
                </c:pt>
                <c:pt idx="13">
                  <c:v>725.6</c:v>
                </c:pt>
                <c:pt idx="14">
                  <c:v>725.6</c:v>
                </c:pt>
                <c:pt idx="15">
                  <c:v>725.6</c:v>
                </c:pt>
                <c:pt idx="16">
                  <c:v>725.6</c:v>
                </c:pt>
                <c:pt idx="17">
                  <c:v>725.6</c:v>
                </c:pt>
                <c:pt idx="18">
                  <c:v>725.6</c:v>
                </c:pt>
                <c:pt idx="19">
                  <c:v>725.6</c:v>
                </c:pt>
                <c:pt idx="20">
                  <c:v>725.6</c:v>
                </c:pt>
                <c:pt idx="21">
                  <c:v>725.6</c:v>
                </c:pt>
                <c:pt idx="22">
                  <c:v>725.6</c:v>
                </c:pt>
                <c:pt idx="23">
                  <c:v>725.6</c:v>
                </c:pt>
                <c:pt idx="24">
                  <c:v>725.6</c:v>
                </c:pt>
                <c:pt idx="25">
                  <c:v>725.6</c:v>
                </c:pt>
                <c:pt idx="26">
                  <c:v>725.6</c:v>
                </c:pt>
                <c:pt idx="27">
                  <c:v>725.6</c:v>
                </c:pt>
                <c:pt idx="28">
                  <c:v>725.6</c:v>
                </c:pt>
                <c:pt idx="29">
                  <c:v>725.6</c:v>
                </c:pt>
                <c:pt idx="30">
                  <c:v>725.6</c:v>
                </c:pt>
                <c:pt idx="31">
                  <c:v>725.6</c:v>
                </c:pt>
              </c:numCache>
            </c:numRef>
          </c:val>
        </c:ser>
        <c:ser>
          <c:idx val="1"/>
          <c:order val="1"/>
          <c:spPr>
            <a:solidFill>
              <a:srgbClr val="C0C0C0">
                <a:alpha val="80000"/>
              </a:srgbClr>
            </a:solidFill>
            <a:ln w="25400" cmpd="sng">
              <a:solidFill>
                <a:srgbClr val="C0C0C0"/>
              </a:solidFill>
            </a:ln>
          </c:spPr>
          <c:cat>
            <c:numRef>
              <c:f>'Mit w RECs Data Scenario 1'!$K$5:$AP$5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1'!$K$20:$AP$20</c:f>
              <c:numCache>
                <c:formatCode>0</c:formatCode>
                <c:ptCount val="32"/>
                <c:pt idx="0">
                  <c:v>1022.5</c:v>
                </c:pt>
                <c:pt idx="1">
                  <c:v>1022.5</c:v>
                </c:pt>
                <c:pt idx="2">
                  <c:v>1022.5</c:v>
                </c:pt>
                <c:pt idx="3">
                  <c:v>1022.5</c:v>
                </c:pt>
                <c:pt idx="4">
                  <c:v>1022.5</c:v>
                </c:pt>
                <c:pt idx="5">
                  <c:v>1022.5</c:v>
                </c:pt>
                <c:pt idx="6">
                  <c:v>1022.5</c:v>
                </c:pt>
                <c:pt idx="7">
                  <c:v>1022.5</c:v>
                </c:pt>
                <c:pt idx="8">
                  <c:v>1022.5</c:v>
                </c:pt>
                <c:pt idx="9">
                  <c:v>1022.5</c:v>
                </c:pt>
                <c:pt idx="10">
                  <c:v>1022.5</c:v>
                </c:pt>
                <c:pt idx="11">
                  <c:v>1022.5</c:v>
                </c:pt>
                <c:pt idx="12">
                  <c:v>1022.5</c:v>
                </c:pt>
                <c:pt idx="13">
                  <c:v>1022.5</c:v>
                </c:pt>
                <c:pt idx="14">
                  <c:v>1022.5</c:v>
                </c:pt>
                <c:pt idx="15">
                  <c:v>1022.5</c:v>
                </c:pt>
                <c:pt idx="16">
                  <c:v>1022.5</c:v>
                </c:pt>
                <c:pt idx="17">
                  <c:v>1022.5</c:v>
                </c:pt>
                <c:pt idx="18">
                  <c:v>1022.5</c:v>
                </c:pt>
                <c:pt idx="19">
                  <c:v>1022.5</c:v>
                </c:pt>
                <c:pt idx="20">
                  <c:v>1022.5</c:v>
                </c:pt>
                <c:pt idx="21">
                  <c:v>1022.5</c:v>
                </c:pt>
                <c:pt idx="22">
                  <c:v>1022.5</c:v>
                </c:pt>
                <c:pt idx="23">
                  <c:v>1022.5</c:v>
                </c:pt>
                <c:pt idx="24">
                  <c:v>1022.5</c:v>
                </c:pt>
                <c:pt idx="25">
                  <c:v>1022.5</c:v>
                </c:pt>
                <c:pt idx="26">
                  <c:v>1022.5</c:v>
                </c:pt>
                <c:pt idx="27">
                  <c:v>1022.5</c:v>
                </c:pt>
                <c:pt idx="28">
                  <c:v>1022.5</c:v>
                </c:pt>
                <c:pt idx="29">
                  <c:v>1022.5</c:v>
                </c:pt>
                <c:pt idx="30">
                  <c:v>1022.5</c:v>
                </c:pt>
                <c:pt idx="31">
                  <c:v>1022.5</c:v>
                </c:pt>
              </c:numCache>
            </c:numRef>
          </c:val>
        </c:ser>
        <c:ser>
          <c:idx val="2"/>
          <c:order val="2"/>
          <c:spPr>
            <a:solidFill>
              <a:srgbClr val="C0C0C0">
                <a:alpha val="80000"/>
              </a:srgbClr>
            </a:solidFill>
            <a:ln w="25400" cmpd="sng">
              <a:solidFill>
                <a:srgbClr val="C0C0C0"/>
              </a:solidFill>
            </a:ln>
          </c:spPr>
          <c:cat>
            <c:numRef>
              <c:f>'Mit w RECs Data Scenario 1'!$K$5:$AP$5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1'!$K$21:$AP$21</c:f>
              <c:numCache>
                <c:formatCode>_(* #,##0_);_(* \(#,##0\);_(* "-"??_);_(@_)</c:formatCode>
                <c:ptCount val="32"/>
                <c:pt idx="0">
                  <c:v>294.10000000000002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  <c:pt idx="12">
                  <c:v>7.5</c:v>
                </c:pt>
                <c:pt idx="13">
                  <c:v>7.5</c:v>
                </c:pt>
                <c:pt idx="14">
                  <c:v>7.5</c:v>
                </c:pt>
                <c:pt idx="15">
                  <c:v>7.5</c:v>
                </c:pt>
                <c:pt idx="16">
                  <c:v>7.5</c:v>
                </c:pt>
                <c:pt idx="17">
                  <c:v>7.5</c:v>
                </c:pt>
                <c:pt idx="18">
                  <c:v>7.5</c:v>
                </c:pt>
                <c:pt idx="19">
                  <c:v>7.5</c:v>
                </c:pt>
                <c:pt idx="20">
                  <c:v>7.5</c:v>
                </c:pt>
                <c:pt idx="21">
                  <c:v>7.5</c:v>
                </c:pt>
                <c:pt idx="22">
                  <c:v>7.5</c:v>
                </c:pt>
                <c:pt idx="23">
                  <c:v>7.5</c:v>
                </c:pt>
                <c:pt idx="24">
                  <c:v>7.5</c:v>
                </c:pt>
                <c:pt idx="25">
                  <c:v>7.5</c:v>
                </c:pt>
                <c:pt idx="26">
                  <c:v>7.5</c:v>
                </c:pt>
                <c:pt idx="27">
                  <c:v>7.5</c:v>
                </c:pt>
                <c:pt idx="28">
                  <c:v>7.5</c:v>
                </c:pt>
                <c:pt idx="29">
                  <c:v>7.5</c:v>
                </c:pt>
                <c:pt idx="30">
                  <c:v>7.5</c:v>
                </c:pt>
                <c:pt idx="31">
                  <c:v>7.5</c:v>
                </c:pt>
              </c:numCache>
            </c:numRef>
          </c:val>
        </c:ser>
        <c:ser>
          <c:idx val="3"/>
          <c:order val="3"/>
          <c:spPr>
            <a:solidFill>
              <a:srgbClr val="C0C0C0">
                <a:alpha val="80000"/>
              </a:srgbClr>
            </a:solidFill>
            <a:ln w="25400" cmpd="sng">
              <a:solidFill>
                <a:srgbClr val="C0C0C0"/>
              </a:solidFill>
            </a:ln>
          </c:spPr>
          <c:cat>
            <c:numRef>
              <c:f>'Mit w RECs Data Scenario 1'!$K$5:$AP$5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1'!$K$22:$AP$22</c:f>
              <c:numCache>
                <c:formatCode>_(* #,##0_);_(* \(#,##0\);_(* "-"??_);_(@_)</c:formatCode>
                <c:ptCount val="32"/>
                <c:pt idx="0" formatCode="0">
                  <c:v>160</c:v>
                </c:pt>
                <c:pt idx="1">
                  <c:v>160</c:v>
                </c:pt>
                <c:pt idx="2">
                  <c:v>160.78010878617025</c:v>
                </c:pt>
                <c:pt idx="3">
                  <c:v>160.78010878617025</c:v>
                </c:pt>
                <c:pt idx="4">
                  <c:v>160.78010878617025</c:v>
                </c:pt>
                <c:pt idx="5">
                  <c:v>168.04812231065623</c:v>
                </c:pt>
                <c:pt idx="6">
                  <c:v>168.04812231065623</c:v>
                </c:pt>
                <c:pt idx="7">
                  <c:v>168.04812231065623</c:v>
                </c:pt>
                <c:pt idx="8">
                  <c:v>164.06748721109159</c:v>
                </c:pt>
                <c:pt idx="9">
                  <c:v>175.01293355358405</c:v>
                </c:pt>
                <c:pt idx="10">
                  <c:v>175.01293355358405</c:v>
                </c:pt>
                <c:pt idx="11">
                  <c:v>176.69276780647061</c:v>
                </c:pt>
                <c:pt idx="12">
                  <c:v>178.98108691256996</c:v>
                </c:pt>
                <c:pt idx="13">
                  <c:v>186.66391028228887</c:v>
                </c:pt>
                <c:pt idx="14">
                  <c:v>186.66391028228887</c:v>
                </c:pt>
                <c:pt idx="15">
                  <c:v>179.8752996105307</c:v>
                </c:pt>
                <c:pt idx="16">
                  <c:v>182.59527891164424</c:v>
                </c:pt>
                <c:pt idx="17">
                  <c:v>185.31525821275778</c:v>
                </c:pt>
                <c:pt idx="18">
                  <c:v>186.87027505985711</c:v>
                </c:pt>
                <c:pt idx="19">
                  <c:v>186.87027505985711</c:v>
                </c:pt>
                <c:pt idx="20">
                  <c:v>186.87027505985711</c:v>
                </c:pt>
                <c:pt idx="21">
                  <c:v>188.4522316637055</c:v>
                </c:pt>
                <c:pt idx="22">
                  <c:v>188.4522316637055</c:v>
                </c:pt>
                <c:pt idx="23">
                  <c:v>188.4522316637055</c:v>
                </c:pt>
                <c:pt idx="24">
                  <c:v>188.4522316637055</c:v>
                </c:pt>
                <c:pt idx="25">
                  <c:v>188.4522316637055</c:v>
                </c:pt>
                <c:pt idx="26">
                  <c:v>194.17302942895387</c:v>
                </c:pt>
                <c:pt idx="27">
                  <c:v>194.17302942895387</c:v>
                </c:pt>
                <c:pt idx="28">
                  <c:v>194.17302942895387</c:v>
                </c:pt>
                <c:pt idx="29">
                  <c:v>194.17302942895387</c:v>
                </c:pt>
                <c:pt idx="30">
                  <c:v>203.22229134852856</c:v>
                </c:pt>
                <c:pt idx="31">
                  <c:v>203.22229134852856</c:v>
                </c:pt>
              </c:numCache>
            </c:numRef>
          </c:val>
        </c:ser>
        <c:ser>
          <c:idx val="4"/>
          <c:order val="4"/>
          <c:spPr>
            <a:solidFill>
              <a:srgbClr val="C0C0C0">
                <a:alpha val="80000"/>
              </a:srgbClr>
            </a:solidFill>
            <a:ln w="25400" cmpd="sng">
              <a:solidFill>
                <a:srgbClr val="C0C0C0"/>
              </a:solidFill>
            </a:ln>
          </c:spPr>
          <c:cat>
            <c:numRef>
              <c:f>'Mit w RECs Data Scenario 1'!$K$5:$AP$5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1'!$K$23:$AP$23</c:f>
              <c:numCache>
                <c:formatCode>0</c:formatCode>
                <c:ptCount val="32"/>
                <c:pt idx="0">
                  <c:v>126.6</c:v>
                </c:pt>
                <c:pt idx="1">
                  <c:v>126.59999999999998</c:v>
                </c:pt>
                <c:pt idx="2">
                  <c:v>127.21726107705717</c:v>
                </c:pt>
                <c:pt idx="3">
                  <c:v>124.67291585551602</c:v>
                </c:pt>
                <c:pt idx="4">
                  <c:v>124.67291585551602</c:v>
                </c:pt>
                <c:pt idx="5">
                  <c:v>130.30871524274056</c:v>
                </c:pt>
                <c:pt idx="6">
                  <c:v>130.30871524274056</c:v>
                </c:pt>
                <c:pt idx="7">
                  <c:v>130.30871524274056</c:v>
                </c:pt>
                <c:pt idx="8">
                  <c:v>127.22203127066068</c:v>
                </c:pt>
                <c:pt idx="9">
                  <c:v>135.70940400078788</c:v>
                </c:pt>
                <c:pt idx="10">
                  <c:v>135.70940400078788</c:v>
                </c:pt>
                <c:pt idx="11">
                  <c:v>137.01198947633247</c:v>
                </c:pt>
                <c:pt idx="12">
                  <c:v>138.78640931917954</c:v>
                </c:pt>
                <c:pt idx="13">
                  <c:v>144.74386263064383</c:v>
                </c:pt>
                <c:pt idx="14">
                  <c:v>144.74386263064383</c:v>
                </c:pt>
                <c:pt idx="15">
                  <c:v>139.47980420049572</c:v>
                </c:pt>
                <c:pt idx="16">
                  <c:v>141.58894415006171</c:v>
                </c:pt>
                <c:pt idx="17">
                  <c:v>143.69808409962766</c:v>
                </c:pt>
                <c:pt idx="18">
                  <c:v>144.90388303828968</c:v>
                </c:pt>
                <c:pt idx="19">
                  <c:v>144.90388303828968</c:v>
                </c:pt>
                <c:pt idx="20">
                  <c:v>144.90388303828968</c:v>
                </c:pt>
                <c:pt idx="21">
                  <c:v>146.1305717378288</c:v>
                </c:pt>
                <c:pt idx="22">
                  <c:v>146.1305717378288</c:v>
                </c:pt>
                <c:pt idx="23">
                  <c:v>146.1305717378288</c:v>
                </c:pt>
                <c:pt idx="24">
                  <c:v>146.1305717378288</c:v>
                </c:pt>
                <c:pt idx="25">
                  <c:v>146.1305717378288</c:v>
                </c:pt>
                <c:pt idx="26">
                  <c:v>150.56662134494653</c:v>
                </c:pt>
                <c:pt idx="27">
                  <c:v>150.56662134494653</c:v>
                </c:pt>
                <c:pt idx="28">
                  <c:v>150.56662134494653</c:v>
                </c:pt>
                <c:pt idx="29">
                  <c:v>150.56662134494653</c:v>
                </c:pt>
                <c:pt idx="30">
                  <c:v>157.58364526893274</c:v>
                </c:pt>
                <c:pt idx="31">
                  <c:v>157.58364526893274</c:v>
                </c:pt>
              </c:numCache>
            </c:numRef>
          </c:val>
        </c:ser>
        <c:ser>
          <c:idx val="5"/>
          <c:order val="5"/>
          <c:spPr>
            <a:solidFill>
              <a:srgbClr val="993366">
                <a:alpha val="80000"/>
              </a:srgbClr>
            </a:solidFill>
            <a:ln w="25400" cmpd="sng">
              <a:solidFill>
                <a:srgbClr val="993366"/>
              </a:solidFill>
            </a:ln>
          </c:spPr>
          <c:cat>
            <c:numRef>
              <c:f>'Mit w RECs Data Scenario 1'!$K$5:$AP$5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1'!$K$24:$AP$24</c:f>
              <c:numCache>
                <c:formatCode>0</c:formatCode>
                <c:ptCount val="32"/>
                <c:pt idx="0">
                  <c:v>847.6</c:v>
                </c:pt>
                <c:pt idx="1">
                  <c:v>744.63739999999996</c:v>
                </c:pt>
                <c:pt idx="2">
                  <c:v>727.84399480093828</c:v>
                </c:pt>
                <c:pt idx="3">
                  <c:v>713.96999480093825</c:v>
                </c:pt>
                <c:pt idx="4">
                  <c:v>700.09599480093834</c:v>
                </c:pt>
                <c:pt idx="5">
                  <c:v>605.09263856042537</c:v>
                </c:pt>
                <c:pt idx="6">
                  <c:v>591.21863856042546</c:v>
                </c:pt>
                <c:pt idx="7">
                  <c:v>577.34463856042544</c:v>
                </c:pt>
                <c:pt idx="8">
                  <c:v>518.98695193622461</c:v>
                </c:pt>
                <c:pt idx="9">
                  <c:v>530.28126000658347</c:v>
                </c:pt>
                <c:pt idx="10">
                  <c:v>498.30934008776893</c:v>
                </c:pt>
                <c:pt idx="11">
                  <c:v>408.80589689141885</c:v>
                </c:pt>
                <c:pt idx="12">
                  <c:v>390.09874856284023</c:v>
                </c:pt>
                <c:pt idx="13">
                  <c:v>392.80568258129</c:v>
                </c:pt>
                <c:pt idx="14">
                  <c:v>392.80568258129</c:v>
                </c:pt>
                <c:pt idx="15">
                  <c:v>339.70824997597833</c:v>
                </c:pt>
                <c:pt idx="16">
                  <c:v>349.58598678185444</c:v>
                </c:pt>
                <c:pt idx="17">
                  <c:v>359.4637235877305</c:v>
                </c:pt>
                <c:pt idx="18">
                  <c:v>365.1108427176672</c:v>
                </c:pt>
                <c:pt idx="19">
                  <c:v>365.1108427176672</c:v>
                </c:pt>
                <c:pt idx="20">
                  <c:v>365.1108427176672</c:v>
                </c:pt>
                <c:pt idx="21">
                  <c:v>365.32790500587589</c:v>
                </c:pt>
                <c:pt idx="22">
                  <c:v>365.32790500587589</c:v>
                </c:pt>
                <c:pt idx="23">
                  <c:v>365.32790500587589</c:v>
                </c:pt>
                <c:pt idx="24">
                  <c:v>365.32790500587589</c:v>
                </c:pt>
                <c:pt idx="25">
                  <c:v>365.32790500587589</c:v>
                </c:pt>
                <c:pt idx="26">
                  <c:v>386.10325966450625</c:v>
                </c:pt>
                <c:pt idx="27">
                  <c:v>371.33735966450621</c:v>
                </c:pt>
                <c:pt idx="28">
                  <c:v>371.33735966450621</c:v>
                </c:pt>
                <c:pt idx="29">
                  <c:v>371.33735966450621</c:v>
                </c:pt>
                <c:pt idx="30">
                  <c:v>404.20019339724848</c:v>
                </c:pt>
                <c:pt idx="31">
                  <c:v>404.20019339724848</c:v>
                </c:pt>
              </c:numCache>
            </c:numRef>
          </c:val>
        </c:ser>
        <c:ser>
          <c:idx val="6"/>
          <c:order val="6"/>
          <c:spPr>
            <a:solidFill>
              <a:srgbClr val="FF6600">
                <a:alpha val="80000"/>
              </a:srgbClr>
            </a:solidFill>
            <a:ln w="25400" cmpd="sng">
              <a:solidFill>
                <a:srgbClr val="FF6600"/>
              </a:solidFill>
            </a:ln>
          </c:spPr>
          <c:cat>
            <c:numRef>
              <c:f>'Mit w RECs Data Scenario 1'!$K$5:$AP$5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1'!$K$25:$AP$25</c:f>
              <c:numCache>
                <c:formatCode>0</c:formatCode>
                <c:ptCount val="32"/>
                <c:pt idx="0">
                  <c:v>7502</c:v>
                </c:pt>
                <c:pt idx="1">
                  <c:v>6779</c:v>
                </c:pt>
                <c:pt idx="2">
                  <c:v>6753.2090321784372</c:v>
                </c:pt>
                <c:pt idx="3">
                  <c:v>6753.2090321784372</c:v>
                </c:pt>
                <c:pt idx="4">
                  <c:v>6753.2090321784372</c:v>
                </c:pt>
                <c:pt idx="5">
                  <c:v>6986.3834173571149</c:v>
                </c:pt>
                <c:pt idx="6">
                  <c:v>6986.3834173571149</c:v>
                </c:pt>
                <c:pt idx="7">
                  <c:v>6986.3834173571149</c:v>
                </c:pt>
                <c:pt idx="8">
                  <c:v>6761.242427068797</c:v>
                </c:pt>
                <c:pt idx="9">
                  <c:v>6983.5873841081448</c:v>
                </c:pt>
                <c:pt idx="10">
                  <c:v>6983.5873841081448</c:v>
                </c:pt>
                <c:pt idx="11">
                  <c:v>6978.1918815827094</c:v>
                </c:pt>
                <c:pt idx="12">
                  <c:v>6971.777989253932</c:v>
                </c:pt>
                <c:pt idx="13">
                  <c:v>7076.2362056350303</c:v>
                </c:pt>
                <c:pt idx="14">
                  <c:v>7076.2362056350303</c:v>
                </c:pt>
                <c:pt idx="15">
                  <c:v>6607.1563478025673</c:v>
                </c:pt>
                <c:pt idx="16">
                  <c:v>6694.4194629714029</c:v>
                </c:pt>
                <c:pt idx="17">
                  <c:v>6781.6825781402395</c:v>
                </c:pt>
                <c:pt idx="18">
                  <c:v>6831.5710512482356</c:v>
                </c:pt>
                <c:pt idx="19">
                  <c:v>6831.5710512482356</c:v>
                </c:pt>
                <c:pt idx="20">
                  <c:v>6831.5710512482356</c:v>
                </c:pt>
                <c:pt idx="21">
                  <c:v>6833.4886495632145</c:v>
                </c:pt>
                <c:pt idx="22">
                  <c:v>6833.4886495632145</c:v>
                </c:pt>
                <c:pt idx="23">
                  <c:v>6833.4886495632145</c:v>
                </c:pt>
                <c:pt idx="24">
                  <c:v>6833.4886495632145</c:v>
                </c:pt>
                <c:pt idx="25">
                  <c:v>6833.4886495632145</c:v>
                </c:pt>
                <c:pt idx="26">
                  <c:v>7017.0248382548398</c:v>
                </c:pt>
                <c:pt idx="27">
                  <c:v>7017.0248382548398</c:v>
                </c:pt>
                <c:pt idx="28">
                  <c:v>7017.0248382548398</c:v>
                </c:pt>
                <c:pt idx="29">
                  <c:v>7017.0248382548398</c:v>
                </c:pt>
                <c:pt idx="30">
                  <c:v>7307.3457185488642</c:v>
                </c:pt>
                <c:pt idx="31">
                  <c:v>7307.3457185488642</c:v>
                </c:pt>
              </c:numCache>
            </c:numRef>
          </c:val>
        </c:ser>
        <c:ser>
          <c:idx val="7"/>
          <c:order val="7"/>
          <c:spPr>
            <a:solidFill>
              <a:srgbClr val="99CCFF">
                <a:alpha val="80000"/>
              </a:srgbClr>
            </a:solidFill>
            <a:ln w="25400" cmpd="sng">
              <a:solidFill>
                <a:srgbClr val="99CCFF"/>
              </a:solidFill>
            </a:ln>
          </c:spPr>
          <c:cat>
            <c:numRef>
              <c:f>'Mit w RECs Data Scenario 1'!$K$5:$AP$5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1'!$K$26:$AP$26</c:f>
              <c:numCache>
                <c:formatCode>_(* #,##0_);_(* \(#,##0\);_(* "-"??_);_(@_)</c:formatCode>
                <c:ptCount val="32"/>
                <c:pt idx="0">
                  <c:v>83</c:v>
                </c:pt>
                <c:pt idx="1">
                  <c:v>83</c:v>
                </c:pt>
                <c:pt idx="2">
                  <c:v>82.540815347510943</c:v>
                </c:pt>
                <c:pt idx="3">
                  <c:v>82.540815347510943</c:v>
                </c:pt>
                <c:pt idx="4">
                  <c:v>82.540815347510943</c:v>
                </c:pt>
                <c:pt idx="5">
                  <c:v>82.879299297936086</c:v>
                </c:pt>
                <c:pt idx="6">
                  <c:v>82.879299297936086</c:v>
                </c:pt>
                <c:pt idx="7">
                  <c:v>82.879299297936086</c:v>
                </c:pt>
                <c:pt idx="8">
                  <c:v>82.716789863039594</c:v>
                </c:pt>
                <c:pt idx="9">
                  <c:v>82.685589765753321</c:v>
                </c:pt>
                <c:pt idx="10">
                  <c:v>82.685589765753321</c:v>
                </c:pt>
                <c:pt idx="11">
                  <c:v>82.522691719839713</c:v>
                </c:pt>
                <c:pt idx="12">
                  <c:v>83.196559573039849</c:v>
                </c:pt>
                <c:pt idx="13">
                  <c:v>82.511736348516934</c:v>
                </c:pt>
                <c:pt idx="14">
                  <c:v>82.511736348516934</c:v>
                </c:pt>
                <c:pt idx="15">
                  <c:v>82.715241844867705</c:v>
                </c:pt>
                <c:pt idx="16">
                  <c:v>83.389679845635328</c:v>
                </c:pt>
                <c:pt idx="17">
                  <c:v>83.064117846402951</c:v>
                </c:pt>
                <c:pt idx="18">
                  <c:v>83.048165575330131</c:v>
                </c:pt>
                <c:pt idx="19">
                  <c:v>83.048165575330131</c:v>
                </c:pt>
                <c:pt idx="20">
                  <c:v>83.048165575330131</c:v>
                </c:pt>
                <c:pt idx="21">
                  <c:v>83.238501480564082</c:v>
                </c:pt>
                <c:pt idx="22">
                  <c:v>83.238501480564082</c:v>
                </c:pt>
                <c:pt idx="23">
                  <c:v>83.238501480564082</c:v>
                </c:pt>
                <c:pt idx="24">
                  <c:v>83.238501480564082</c:v>
                </c:pt>
                <c:pt idx="25">
                  <c:v>83.238501480564082</c:v>
                </c:pt>
                <c:pt idx="26">
                  <c:v>82.878810851203525</c:v>
                </c:pt>
                <c:pt idx="27">
                  <c:v>82.878810851203525</c:v>
                </c:pt>
                <c:pt idx="28">
                  <c:v>82.878810851203525</c:v>
                </c:pt>
                <c:pt idx="29">
                  <c:v>82.878810851203525</c:v>
                </c:pt>
                <c:pt idx="30">
                  <c:v>83.491663855666047</c:v>
                </c:pt>
                <c:pt idx="31">
                  <c:v>83.491663855666047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495584"/>
        <c:axId val="294496144"/>
      </c:areaChart>
      <c:catAx>
        <c:axId val="29449558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94496144"/>
        <c:crosses val="autoZero"/>
        <c:auto val="1"/>
        <c:lblAlgn val="ctr"/>
        <c:lblOffset val="100"/>
        <c:noMultiLvlLbl val="1"/>
      </c:catAx>
      <c:valAx>
        <c:axId val="294496144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MTCDE</a:t>
                </a:r>
              </a:p>
            </c:rich>
          </c:tx>
          <c:layout/>
          <c:overlay val="0"/>
        </c:title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94495584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en-US"/>
              <a:t>Mitigation Strategies (Option 1)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000000"/>
              </a:solidFill>
            </a:ln>
          </c:spPr>
          <c:marker>
            <c:symbol val="none"/>
          </c:marker>
          <c:cat>
            <c:numRef>
              <c:f>'Mit w RECs Data Scenario 1'!$L$5:$AK$5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1'!$L$16:$AK$16</c:f>
              <c:numCache>
                <c:formatCode>_(* #,##0_);_(* \(#,##0\);_(* "-"??_);_(@_)</c:formatCode>
                <c:ptCount val="26"/>
                <c:pt idx="0">
                  <c:v>19247.400000000001</c:v>
                </c:pt>
                <c:pt idx="1">
                  <c:v>19332.615252429736</c:v>
                </c:pt>
                <c:pt idx="2">
                  <c:v>19332.615252429736</c:v>
                </c:pt>
                <c:pt idx="3">
                  <c:v>19332.615252429736</c:v>
                </c:pt>
                <c:pt idx="4">
                  <c:v>20127.062414172859</c:v>
                </c:pt>
                <c:pt idx="5">
                  <c:v>20127.062414172859</c:v>
                </c:pt>
                <c:pt idx="6">
                  <c:v>20127.062414172859</c:v>
                </c:pt>
                <c:pt idx="7">
                  <c:v>19691.841762964643</c:v>
                </c:pt>
                <c:pt idx="8">
                  <c:v>20888.116443772509</c:v>
                </c:pt>
                <c:pt idx="9">
                  <c:v>20888.116443772509</c:v>
                </c:pt>
                <c:pt idx="10">
                  <c:v>21071.668892970105</c:v>
                </c:pt>
                <c:pt idx="11">
                  <c:v>21321.710419070594</c:v>
                </c:pt>
                <c:pt idx="12">
                  <c:v>24338.488382897944</c:v>
                </c:pt>
                <c:pt idx="13">
                  <c:v>24338.488382897944</c:v>
                </c:pt>
                <c:pt idx="14">
                  <c:v>23596.21177857733</c:v>
                </c:pt>
                <c:pt idx="15">
                  <c:v>23893.525456997115</c:v>
                </c:pt>
                <c:pt idx="16">
                  <c:v>24190.839135416907</c:v>
                </c:pt>
                <c:pt idx="17">
                  <c:v>24360.813876999153</c:v>
                </c:pt>
                <c:pt idx="18">
                  <c:v>24411.119192075341</c:v>
                </c:pt>
                <c:pt idx="19">
                  <c:v>24411.119192075341</c:v>
                </c:pt>
                <c:pt idx="20">
                  <c:v>24583.98448914539</c:v>
                </c:pt>
                <c:pt idx="21">
                  <c:v>24583.98448914539</c:v>
                </c:pt>
                <c:pt idx="22">
                  <c:v>24583.98448914539</c:v>
                </c:pt>
                <c:pt idx="23">
                  <c:v>24583.98448914539</c:v>
                </c:pt>
                <c:pt idx="24">
                  <c:v>24583.98448914539</c:v>
                </c:pt>
                <c:pt idx="25">
                  <c:v>25209.309625401154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666699"/>
              </a:solidFill>
            </a:ln>
          </c:spPr>
          <c:marker>
            <c:symbol val="none"/>
          </c:marker>
          <c:cat>
            <c:numRef>
              <c:f>'Mit w RECs Data Scenario 1'!$L$5:$AK$5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1'!$L$7:$AK$7</c:f>
              <c:numCache>
                <c:formatCode>_(* #,##0_);_(* \(#,##0\);_(* "-"??_);_(@_)</c:formatCode>
                <c:ptCount val="26"/>
                <c:pt idx="0">
                  <c:v>19247.400000000001</c:v>
                </c:pt>
                <c:pt idx="1">
                  <c:v>19332.615252429736</c:v>
                </c:pt>
                <c:pt idx="2">
                  <c:v>19332.615252429736</c:v>
                </c:pt>
                <c:pt idx="3">
                  <c:v>19332.615252429736</c:v>
                </c:pt>
                <c:pt idx="4">
                  <c:v>20127.062414172859</c:v>
                </c:pt>
                <c:pt idx="5">
                  <c:v>20127.062414172859</c:v>
                </c:pt>
                <c:pt idx="6">
                  <c:v>20127.062414172859</c:v>
                </c:pt>
                <c:pt idx="7">
                  <c:v>19691.841762964643</c:v>
                </c:pt>
                <c:pt idx="8">
                  <c:v>20888.116443772509</c:v>
                </c:pt>
                <c:pt idx="9">
                  <c:v>20888.116443772509</c:v>
                </c:pt>
                <c:pt idx="10">
                  <c:v>21071.668892970105</c:v>
                </c:pt>
                <c:pt idx="11">
                  <c:v>21321.710419070594</c:v>
                </c:pt>
                <c:pt idx="12">
                  <c:v>24338.488382897944</c:v>
                </c:pt>
                <c:pt idx="13">
                  <c:v>24338.488382897944</c:v>
                </c:pt>
                <c:pt idx="14">
                  <c:v>23596.21177857733</c:v>
                </c:pt>
                <c:pt idx="15">
                  <c:v>23893.525456997115</c:v>
                </c:pt>
                <c:pt idx="16">
                  <c:v>24190.839135416907</c:v>
                </c:pt>
                <c:pt idx="17">
                  <c:v>24360.813876999153</c:v>
                </c:pt>
                <c:pt idx="18">
                  <c:v>24411.119192075341</c:v>
                </c:pt>
                <c:pt idx="19">
                  <c:v>24411.119192075341</c:v>
                </c:pt>
                <c:pt idx="20">
                  <c:v>24583.98448914539</c:v>
                </c:pt>
                <c:pt idx="21">
                  <c:v>24583.98448914539</c:v>
                </c:pt>
                <c:pt idx="22">
                  <c:v>24583.98448914539</c:v>
                </c:pt>
                <c:pt idx="23">
                  <c:v>24583.98448914539</c:v>
                </c:pt>
                <c:pt idx="24">
                  <c:v>24583.98448914539</c:v>
                </c:pt>
                <c:pt idx="25">
                  <c:v>25209.309625401154</c:v>
                </c:pt>
              </c:numCache>
            </c:numRef>
          </c:val>
          <c:smooth val="0"/>
        </c:ser>
        <c:ser>
          <c:idx val="2"/>
          <c:order val="2"/>
          <c:spPr>
            <a:ln w="25400" cmpd="sng">
              <a:solidFill>
                <a:srgbClr val="993366"/>
              </a:solidFill>
            </a:ln>
          </c:spPr>
          <c:marker>
            <c:symbol val="none"/>
          </c:marker>
          <c:cat>
            <c:numRef>
              <c:f>'Mit w RECs Data Scenario 1'!$L$5:$AK$5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1'!$L$8:$AK$8</c:f>
              <c:numCache>
                <c:formatCode>_(* #,##0_);_(* \(#,##0\);_(* "-"??_);_(@_)</c:formatCode>
                <c:ptCount val="26"/>
                <c:pt idx="0">
                  <c:v>19093.2</c:v>
                </c:pt>
                <c:pt idx="1">
                  <c:v>19024.215252429734</c:v>
                </c:pt>
                <c:pt idx="2">
                  <c:v>18870.015252429737</c:v>
                </c:pt>
                <c:pt idx="3">
                  <c:v>18715.815252429737</c:v>
                </c:pt>
                <c:pt idx="4">
                  <c:v>19356.062414172859</c:v>
                </c:pt>
                <c:pt idx="5">
                  <c:v>19201.862414172858</c:v>
                </c:pt>
                <c:pt idx="6">
                  <c:v>19047.662414172857</c:v>
                </c:pt>
                <c:pt idx="7">
                  <c:v>18458.241762964644</c:v>
                </c:pt>
                <c:pt idx="8">
                  <c:v>19500.31644377251</c:v>
                </c:pt>
                <c:pt idx="9">
                  <c:v>19346.116443772509</c:v>
                </c:pt>
                <c:pt idx="10">
                  <c:v>19529.668892970105</c:v>
                </c:pt>
                <c:pt idx="11">
                  <c:v>19471.310419070593</c:v>
                </c:pt>
                <c:pt idx="12">
                  <c:v>22333.888382897945</c:v>
                </c:pt>
                <c:pt idx="13">
                  <c:v>22179.688382897944</c:v>
                </c:pt>
                <c:pt idx="14">
                  <c:v>21283.21177857733</c:v>
                </c:pt>
                <c:pt idx="15">
                  <c:v>21426.325456997114</c:v>
                </c:pt>
                <c:pt idx="16">
                  <c:v>21569.439135416906</c:v>
                </c:pt>
                <c:pt idx="17">
                  <c:v>21585.213876999154</c:v>
                </c:pt>
                <c:pt idx="18">
                  <c:v>21481.319192075342</c:v>
                </c:pt>
                <c:pt idx="19">
                  <c:v>21327.119192075341</c:v>
                </c:pt>
                <c:pt idx="20">
                  <c:v>21345.78448914539</c:v>
                </c:pt>
                <c:pt idx="21">
                  <c:v>21191.584489145389</c:v>
                </c:pt>
                <c:pt idx="22">
                  <c:v>21037.384489145392</c:v>
                </c:pt>
                <c:pt idx="23">
                  <c:v>20883.184489145391</c:v>
                </c:pt>
                <c:pt idx="24">
                  <c:v>20728.98448914539</c:v>
                </c:pt>
                <c:pt idx="25">
                  <c:v>21200.109625401154</c:v>
                </c:pt>
              </c:numCache>
            </c:numRef>
          </c:val>
          <c:smooth val="0"/>
        </c:ser>
        <c:ser>
          <c:idx val="3"/>
          <c:order val="3"/>
          <c:spPr>
            <a:ln w="25400" cmpd="sng">
              <a:solidFill>
                <a:srgbClr val="808080"/>
              </a:solidFill>
            </a:ln>
          </c:spPr>
          <c:marker>
            <c:symbol val="none"/>
          </c:marker>
          <c:cat>
            <c:numRef>
              <c:f>'Mit w RECs Data Scenario 1'!$L$5:$AK$5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1'!$L$9:$AK$9</c:f>
              <c:numCache>
                <c:formatCode>_(* #,##0_);_(* \(#,##0\);_(* "-"??_);_(@_)</c:formatCode>
                <c:ptCount val="26"/>
                <c:pt idx="0">
                  <c:v>18932.400000000001</c:v>
                </c:pt>
                <c:pt idx="1">
                  <c:v>18702.615252429736</c:v>
                </c:pt>
                <c:pt idx="2">
                  <c:v>18387.615252429736</c:v>
                </c:pt>
                <c:pt idx="3">
                  <c:v>18072.615252429736</c:v>
                </c:pt>
                <c:pt idx="4">
                  <c:v>18552.062414172859</c:v>
                </c:pt>
                <c:pt idx="5">
                  <c:v>18237.062414172859</c:v>
                </c:pt>
                <c:pt idx="6">
                  <c:v>17922.062414172859</c:v>
                </c:pt>
                <c:pt idx="7">
                  <c:v>17171.841762964643</c:v>
                </c:pt>
                <c:pt idx="8">
                  <c:v>18053.116443772509</c:v>
                </c:pt>
                <c:pt idx="9">
                  <c:v>17738.116443772509</c:v>
                </c:pt>
                <c:pt idx="10">
                  <c:v>17760.868892970106</c:v>
                </c:pt>
                <c:pt idx="11">
                  <c:v>17863.310419070593</c:v>
                </c:pt>
                <c:pt idx="12">
                  <c:v>20725.888382897945</c:v>
                </c:pt>
                <c:pt idx="13">
                  <c:v>20571.688382897944</c:v>
                </c:pt>
                <c:pt idx="14">
                  <c:v>19675.21177857733</c:v>
                </c:pt>
                <c:pt idx="15">
                  <c:v>19818.325456997114</c:v>
                </c:pt>
                <c:pt idx="16">
                  <c:v>19961.439135416906</c:v>
                </c:pt>
                <c:pt idx="17">
                  <c:v>19977.213876999154</c:v>
                </c:pt>
                <c:pt idx="18">
                  <c:v>19873.319192075342</c:v>
                </c:pt>
                <c:pt idx="19">
                  <c:v>19719.119192075341</c:v>
                </c:pt>
                <c:pt idx="20">
                  <c:v>19737.78448914539</c:v>
                </c:pt>
                <c:pt idx="21">
                  <c:v>19583.584489145389</c:v>
                </c:pt>
                <c:pt idx="22">
                  <c:v>19429.384489145392</c:v>
                </c:pt>
                <c:pt idx="23">
                  <c:v>19275.184489145391</c:v>
                </c:pt>
                <c:pt idx="24">
                  <c:v>19120.98448914539</c:v>
                </c:pt>
                <c:pt idx="25">
                  <c:v>19592.109625401154</c:v>
                </c:pt>
              </c:numCache>
            </c:numRef>
          </c:val>
          <c:smooth val="0"/>
        </c:ser>
        <c:ser>
          <c:idx val="4"/>
          <c:order val="4"/>
          <c:spPr>
            <a:ln w="25400" cmpd="sng">
              <a:solidFill>
                <a:srgbClr val="666699"/>
              </a:solidFill>
            </a:ln>
          </c:spPr>
          <c:marker>
            <c:symbol val="none"/>
          </c:marker>
          <c:cat>
            <c:numRef>
              <c:f>'Mit w RECs Data Scenario 1'!$L$5:$AK$5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1'!$L$10:$AK$10</c:f>
              <c:numCache>
                <c:formatCode>_(* #,##0_);_(* \(#,##0\);_(* "-"??_);_(@_)</c:formatCode>
                <c:ptCount val="26"/>
                <c:pt idx="0">
                  <c:v>18820.400000000001</c:v>
                </c:pt>
                <c:pt idx="1">
                  <c:v>18478.615252429736</c:v>
                </c:pt>
                <c:pt idx="2">
                  <c:v>18051.615252429736</c:v>
                </c:pt>
                <c:pt idx="3">
                  <c:v>17624.615252429736</c:v>
                </c:pt>
                <c:pt idx="4">
                  <c:v>17992.062414172859</c:v>
                </c:pt>
                <c:pt idx="5">
                  <c:v>17565.062414172859</c:v>
                </c:pt>
                <c:pt idx="6">
                  <c:v>17138.062414172859</c:v>
                </c:pt>
                <c:pt idx="7">
                  <c:v>16275.841762964643</c:v>
                </c:pt>
                <c:pt idx="8">
                  <c:v>17045.116443772509</c:v>
                </c:pt>
                <c:pt idx="9">
                  <c:v>16618.116443772509</c:v>
                </c:pt>
                <c:pt idx="10">
                  <c:v>16640.868892970106</c:v>
                </c:pt>
                <c:pt idx="11">
                  <c:v>16743.310419070593</c:v>
                </c:pt>
                <c:pt idx="12">
                  <c:v>19605.888382897945</c:v>
                </c:pt>
                <c:pt idx="13">
                  <c:v>19451.688382897944</c:v>
                </c:pt>
                <c:pt idx="14">
                  <c:v>18555.21177857733</c:v>
                </c:pt>
                <c:pt idx="15">
                  <c:v>18698.325456997114</c:v>
                </c:pt>
                <c:pt idx="16">
                  <c:v>18841.439135416906</c:v>
                </c:pt>
                <c:pt idx="17">
                  <c:v>18857.213876999154</c:v>
                </c:pt>
                <c:pt idx="18">
                  <c:v>18753.319192075342</c:v>
                </c:pt>
                <c:pt idx="19">
                  <c:v>18599.119192075341</c:v>
                </c:pt>
                <c:pt idx="20">
                  <c:v>18617.78448914539</c:v>
                </c:pt>
                <c:pt idx="21">
                  <c:v>18463.584489145389</c:v>
                </c:pt>
                <c:pt idx="22">
                  <c:v>18309.384489145392</c:v>
                </c:pt>
                <c:pt idx="23">
                  <c:v>18155.184489145391</c:v>
                </c:pt>
                <c:pt idx="24">
                  <c:v>18000.98448914539</c:v>
                </c:pt>
                <c:pt idx="25">
                  <c:v>18472.109625401154</c:v>
                </c:pt>
              </c:numCache>
            </c:numRef>
          </c:val>
          <c:smooth val="0"/>
        </c:ser>
        <c:ser>
          <c:idx val="5"/>
          <c:order val="5"/>
          <c:spPr>
            <a:ln w="25400" cmpd="sng">
              <a:solidFill>
                <a:srgbClr val="339966"/>
              </a:solidFill>
            </a:ln>
          </c:spPr>
          <c:marker>
            <c:symbol val="none"/>
          </c:marker>
          <c:cat>
            <c:numRef>
              <c:f>'Mit w RECs Data Scenario 1'!$L$5:$AK$5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1'!$L$11:$AK$11</c:f>
              <c:numCache>
                <c:formatCode>_(* #,##0_);_(* \(#,##0\);_(*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 w="25400" cmpd="sng">
              <a:solidFill>
                <a:srgbClr val="FF8080"/>
              </a:solidFill>
            </a:ln>
          </c:spPr>
          <c:marker>
            <c:symbol val="none"/>
          </c:marker>
          <c:cat>
            <c:numRef>
              <c:f>'Mit w RECs Data Scenario 1'!$L$5:$AK$5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1'!$L$12:$AK$12</c:f>
              <c:numCache>
                <c:formatCode>_(* #,##0_);_(* \(#,##0\);_(*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numRef>
              <c:f>'Mit w RECs Data Scenario 1'!$L$5:$AK$5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1'!$L$13:$AK$13</c:f>
              <c:numCache>
                <c:formatCode>_(* #,##0_);_(* \(#,##0\);_(*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9400</c:v>
                </c:pt>
                <c:pt idx="7">
                  <c:v>9400</c:v>
                </c:pt>
                <c:pt idx="8">
                  <c:v>9400</c:v>
                </c:pt>
                <c:pt idx="9">
                  <c:v>9400</c:v>
                </c:pt>
                <c:pt idx="10">
                  <c:v>9400</c:v>
                </c:pt>
                <c:pt idx="11">
                  <c:v>9400</c:v>
                </c:pt>
                <c:pt idx="12">
                  <c:v>11610</c:v>
                </c:pt>
                <c:pt idx="13">
                  <c:v>11619.688382897944</c:v>
                </c:pt>
                <c:pt idx="14">
                  <c:v>10723.21177857733</c:v>
                </c:pt>
                <c:pt idx="15">
                  <c:v>10866.325456997114</c:v>
                </c:pt>
                <c:pt idx="16">
                  <c:v>11009.439135416906</c:v>
                </c:pt>
                <c:pt idx="17">
                  <c:v>11025.213876999154</c:v>
                </c:pt>
                <c:pt idx="18">
                  <c:v>10921.319192075342</c:v>
                </c:pt>
                <c:pt idx="19">
                  <c:v>10767.119192075341</c:v>
                </c:pt>
                <c:pt idx="20">
                  <c:v>10785.78448914539</c:v>
                </c:pt>
                <c:pt idx="21">
                  <c:v>10631.584489145389</c:v>
                </c:pt>
                <c:pt idx="22">
                  <c:v>10477.384489145392</c:v>
                </c:pt>
                <c:pt idx="23">
                  <c:v>10323.184489145391</c:v>
                </c:pt>
                <c:pt idx="24">
                  <c:v>10168.98448914539</c:v>
                </c:pt>
                <c:pt idx="25">
                  <c:v>10640.109625401154</c:v>
                </c:pt>
              </c:numCache>
            </c:numRef>
          </c:val>
          <c:smooth val="0"/>
        </c:ser>
        <c:ser>
          <c:idx val="8"/>
          <c:order val="8"/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numRef>
              <c:f>'Mit w RECs Data Scenario 1'!$L$5:$AK$5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1'!$L$14:$AK$14</c:f>
              <c:numCache>
                <c:formatCode>_(* #,##0_);_(* \(#,##0\);_(*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2870</c:v>
                </c:pt>
                <c:pt idx="10">
                  <c:v>2784</c:v>
                </c:pt>
                <c:pt idx="11">
                  <c:v>2769</c:v>
                </c:pt>
                <c:pt idx="12">
                  <c:v>2786</c:v>
                </c:pt>
                <c:pt idx="13">
                  <c:v>2786</c:v>
                </c:pt>
                <c:pt idx="14">
                  <c:v>2721</c:v>
                </c:pt>
                <c:pt idx="15">
                  <c:v>2736</c:v>
                </c:pt>
                <c:pt idx="16">
                  <c:v>2750</c:v>
                </c:pt>
                <c:pt idx="17">
                  <c:v>2758</c:v>
                </c:pt>
                <c:pt idx="18">
                  <c:v>2758</c:v>
                </c:pt>
                <c:pt idx="19">
                  <c:v>2758</c:v>
                </c:pt>
                <c:pt idx="20">
                  <c:v>2762</c:v>
                </c:pt>
                <c:pt idx="21">
                  <c:v>2762</c:v>
                </c:pt>
                <c:pt idx="22">
                  <c:v>2762</c:v>
                </c:pt>
                <c:pt idx="23">
                  <c:v>2762</c:v>
                </c:pt>
                <c:pt idx="24">
                  <c:v>2762</c:v>
                </c:pt>
                <c:pt idx="25">
                  <c:v>2792</c:v>
                </c:pt>
              </c:numCache>
            </c:numRef>
          </c:val>
          <c:smooth val="0"/>
        </c:ser>
        <c:ser>
          <c:idx val="9"/>
          <c:order val="9"/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numRef>
              <c:f>'Mit w RECs Data Scenario 1'!$L$5:$AK$5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1'!$L$15:$AK$15</c:f>
              <c:numCache>
                <c:formatCode>_(* #,##0_);_(* \(#,##0\);_(* "-"??_);_(@_)</c:formatCode>
                <c:ptCount val="26"/>
                <c:pt idx="0">
                  <c:v>9648.8374000000003</c:v>
                </c:pt>
                <c:pt idx="1">
                  <c:v>9607.1912121901132</c:v>
                </c:pt>
                <c:pt idx="2">
                  <c:v>9590.772866968573</c:v>
                </c:pt>
                <c:pt idx="3">
                  <c:v>9576.8988669685732</c:v>
                </c:pt>
                <c:pt idx="4">
                  <c:v>9728.3121927688735</c:v>
                </c:pt>
                <c:pt idx="5">
                  <c:v>9714.4381927688737</c:v>
                </c:pt>
                <c:pt idx="6">
                  <c:v>9700.5641927688739</c:v>
                </c:pt>
                <c:pt idx="7">
                  <c:v>9409.8356873498124</c:v>
                </c:pt>
                <c:pt idx="8">
                  <c:v>9662.8765714348538</c:v>
                </c:pt>
                <c:pt idx="9">
                  <c:v>9630.9046515160389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667456"/>
        <c:axId val="295668016"/>
      </c:lineChart>
      <c:catAx>
        <c:axId val="2956674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95668016"/>
        <c:crosses val="autoZero"/>
        <c:auto val="1"/>
        <c:lblAlgn val="ctr"/>
        <c:lblOffset val="100"/>
        <c:noMultiLvlLbl val="1"/>
      </c:catAx>
      <c:valAx>
        <c:axId val="295668016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MTCDE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9566745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en-US"/>
              <a:t>Emissions to be Mitigated Via RECs and Offsets (Option 1)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FFCC99"/>
              </a:solidFill>
            </a:ln>
          </c:spPr>
          <c:marker>
            <c:symbol val="none"/>
          </c:marker>
          <c:cat>
            <c:numRef>
              <c:f>'Mitigation Data Scenario 1'!$K$5:$AP$5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1'!$K$15:$AP$15</c:f>
              <c:numCache>
                <c:formatCode>_(* #,##0_);_(* \(#,##0\);_(* "-"??_);_(@_)</c:formatCode>
                <c:ptCount val="32"/>
                <c:pt idx="0">
                  <c:v>19247.400000000001</c:v>
                </c:pt>
                <c:pt idx="1">
                  <c:v>19247.400000000001</c:v>
                </c:pt>
                <c:pt idx="2">
                  <c:v>19332.615252429736</c:v>
                </c:pt>
                <c:pt idx="3">
                  <c:v>19332.615252429736</c:v>
                </c:pt>
                <c:pt idx="4">
                  <c:v>19332.615252429736</c:v>
                </c:pt>
                <c:pt idx="5">
                  <c:v>20127.062414172859</c:v>
                </c:pt>
                <c:pt idx="6">
                  <c:v>20127.062414172859</c:v>
                </c:pt>
                <c:pt idx="7">
                  <c:v>20127.062414172859</c:v>
                </c:pt>
                <c:pt idx="8">
                  <c:v>19691.841762964643</c:v>
                </c:pt>
                <c:pt idx="9">
                  <c:v>20888.116443772509</c:v>
                </c:pt>
                <c:pt idx="10">
                  <c:v>20888.116443772509</c:v>
                </c:pt>
                <c:pt idx="11">
                  <c:v>21071.668892970105</c:v>
                </c:pt>
                <c:pt idx="12">
                  <c:v>21321.710419070594</c:v>
                </c:pt>
                <c:pt idx="13">
                  <c:v>24338.488382897944</c:v>
                </c:pt>
                <c:pt idx="14">
                  <c:v>24338.488382897944</c:v>
                </c:pt>
                <c:pt idx="15">
                  <c:v>23596.21177857733</c:v>
                </c:pt>
                <c:pt idx="16">
                  <c:v>23893.525456997115</c:v>
                </c:pt>
                <c:pt idx="17">
                  <c:v>24190.839135416907</c:v>
                </c:pt>
                <c:pt idx="18">
                  <c:v>24360.813876999153</c:v>
                </c:pt>
                <c:pt idx="19">
                  <c:v>24411.119192075341</c:v>
                </c:pt>
                <c:pt idx="20">
                  <c:v>24411.119192075341</c:v>
                </c:pt>
                <c:pt idx="21">
                  <c:v>24583.98448914539</c:v>
                </c:pt>
                <c:pt idx="22">
                  <c:v>24583.98448914539</c:v>
                </c:pt>
                <c:pt idx="23">
                  <c:v>24583.98448914539</c:v>
                </c:pt>
                <c:pt idx="24">
                  <c:v>24583.98448914539</c:v>
                </c:pt>
                <c:pt idx="25">
                  <c:v>24583.98448914539</c:v>
                </c:pt>
                <c:pt idx="26">
                  <c:v>25209.309625401154</c:v>
                </c:pt>
                <c:pt idx="27">
                  <c:v>25209.309625401154</c:v>
                </c:pt>
                <c:pt idx="28">
                  <c:v>25209.309625401154</c:v>
                </c:pt>
                <c:pt idx="29">
                  <c:v>25209.309625401154</c:v>
                </c:pt>
                <c:pt idx="30">
                  <c:v>26198.46029547846</c:v>
                </c:pt>
                <c:pt idx="31">
                  <c:v>26198.46029547846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666699"/>
              </a:solidFill>
            </a:ln>
          </c:spPr>
          <c:marker>
            <c:symbol val="none"/>
          </c:marker>
          <c:cat>
            <c:numRef>
              <c:f>'Mitigation Data Scenario 1'!$K$5:$AP$5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1'!$K$7:$AP$7</c:f>
              <c:numCache>
                <c:formatCode>_(* #,##0_);_(* \(#,##0\);_(* "-"??_);_(@_)</c:formatCode>
                <c:ptCount val="32"/>
                <c:pt idx="0" formatCode="0">
                  <c:v>725.6</c:v>
                </c:pt>
                <c:pt idx="1">
                  <c:v>725.6</c:v>
                </c:pt>
                <c:pt idx="2">
                  <c:v>725.6</c:v>
                </c:pt>
                <c:pt idx="3">
                  <c:v>725.6</c:v>
                </c:pt>
                <c:pt idx="4">
                  <c:v>725.6</c:v>
                </c:pt>
                <c:pt idx="5">
                  <c:v>725.6</c:v>
                </c:pt>
                <c:pt idx="6">
                  <c:v>725.6</c:v>
                </c:pt>
                <c:pt idx="7">
                  <c:v>725.6</c:v>
                </c:pt>
                <c:pt idx="8">
                  <c:v>725.6</c:v>
                </c:pt>
                <c:pt idx="9">
                  <c:v>725.6</c:v>
                </c:pt>
                <c:pt idx="10">
                  <c:v>725.6</c:v>
                </c:pt>
                <c:pt idx="11">
                  <c:v>725.6</c:v>
                </c:pt>
                <c:pt idx="12">
                  <c:v>725.6</c:v>
                </c:pt>
                <c:pt idx="13">
                  <c:v>725.6</c:v>
                </c:pt>
                <c:pt idx="14">
                  <c:v>725.6</c:v>
                </c:pt>
                <c:pt idx="15">
                  <c:v>725.6</c:v>
                </c:pt>
                <c:pt idx="16">
                  <c:v>725.6</c:v>
                </c:pt>
                <c:pt idx="17">
                  <c:v>725.6</c:v>
                </c:pt>
                <c:pt idx="18">
                  <c:v>725.6</c:v>
                </c:pt>
                <c:pt idx="19">
                  <c:v>725.6</c:v>
                </c:pt>
                <c:pt idx="20">
                  <c:v>725.6</c:v>
                </c:pt>
                <c:pt idx="21">
                  <c:v>725.6</c:v>
                </c:pt>
                <c:pt idx="22">
                  <c:v>725.6</c:v>
                </c:pt>
                <c:pt idx="23">
                  <c:v>725.6</c:v>
                </c:pt>
                <c:pt idx="24">
                  <c:v>725.6</c:v>
                </c:pt>
                <c:pt idx="25">
                  <c:v>725.6</c:v>
                </c:pt>
                <c:pt idx="26">
                  <c:v>725.6</c:v>
                </c:pt>
                <c:pt idx="27">
                  <c:v>725.6</c:v>
                </c:pt>
                <c:pt idx="28">
                  <c:v>725.6</c:v>
                </c:pt>
                <c:pt idx="29">
                  <c:v>725.6</c:v>
                </c:pt>
                <c:pt idx="30">
                  <c:v>725.6</c:v>
                </c:pt>
                <c:pt idx="31">
                  <c:v>725.6</c:v>
                </c:pt>
              </c:numCache>
            </c:numRef>
          </c:val>
          <c:smooth val="0"/>
        </c:ser>
        <c:ser>
          <c:idx val="2"/>
          <c:order val="2"/>
          <c:spPr>
            <a:ln w="25400" cmpd="sng">
              <a:solidFill>
                <a:srgbClr val="993366"/>
              </a:solidFill>
            </a:ln>
          </c:spPr>
          <c:marker>
            <c:symbol val="none"/>
          </c:marker>
          <c:cat>
            <c:numRef>
              <c:f>'Mitigation Data Scenario 1'!$K$5:$AP$5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1'!$K$8:$AP$8</c:f>
              <c:numCache>
                <c:formatCode>0</c:formatCode>
                <c:ptCount val="32"/>
                <c:pt idx="0">
                  <c:v>1022.5</c:v>
                </c:pt>
                <c:pt idx="1">
                  <c:v>1022.5</c:v>
                </c:pt>
                <c:pt idx="2">
                  <c:v>1022.5</c:v>
                </c:pt>
                <c:pt idx="3">
                  <c:v>1022.5</c:v>
                </c:pt>
                <c:pt idx="4">
                  <c:v>1022.5</c:v>
                </c:pt>
                <c:pt idx="5">
                  <c:v>1022.5</c:v>
                </c:pt>
                <c:pt idx="6">
                  <c:v>1022.5</c:v>
                </c:pt>
                <c:pt idx="7">
                  <c:v>1022.5</c:v>
                </c:pt>
                <c:pt idx="8">
                  <c:v>1022.5</c:v>
                </c:pt>
                <c:pt idx="9">
                  <c:v>1022.5</c:v>
                </c:pt>
                <c:pt idx="10">
                  <c:v>1022.5</c:v>
                </c:pt>
                <c:pt idx="11">
                  <c:v>1022.5</c:v>
                </c:pt>
                <c:pt idx="12">
                  <c:v>1022.5</c:v>
                </c:pt>
                <c:pt idx="13">
                  <c:v>1022.5</c:v>
                </c:pt>
                <c:pt idx="14">
                  <c:v>1022.5</c:v>
                </c:pt>
                <c:pt idx="15">
                  <c:v>1022.5</c:v>
                </c:pt>
                <c:pt idx="16">
                  <c:v>1022.5</c:v>
                </c:pt>
                <c:pt idx="17">
                  <c:v>1022.5</c:v>
                </c:pt>
                <c:pt idx="18">
                  <c:v>1022.5</c:v>
                </c:pt>
                <c:pt idx="19">
                  <c:v>1022.5</c:v>
                </c:pt>
                <c:pt idx="20">
                  <c:v>1022.5</c:v>
                </c:pt>
                <c:pt idx="21">
                  <c:v>1022.5</c:v>
                </c:pt>
                <c:pt idx="22">
                  <c:v>1022.5</c:v>
                </c:pt>
                <c:pt idx="23">
                  <c:v>1022.5</c:v>
                </c:pt>
                <c:pt idx="24">
                  <c:v>1022.5</c:v>
                </c:pt>
                <c:pt idx="25">
                  <c:v>1022.5</c:v>
                </c:pt>
                <c:pt idx="26">
                  <c:v>1022.5</c:v>
                </c:pt>
                <c:pt idx="27">
                  <c:v>1022.5</c:v>
                </c:pt>
                <c:pt idx="28">
                  <c:v>1022.5</c:v>
                </c:pt>
                <c:pt idx="29">
                  <c:v>1022.5</c:v>
                </c:pt>
                <c:pt idx="30">
                  <c:v>1022.5</c:v>
                </c:pt>
                <c:pt idx="31">
                  <c:v>1022.5</c:v>
                </c:pt>
              </c:numCache>
            </c:numRef>
          </c:val>
          <c:smooth val="0"/>
        </c:ser>
        <c:ser>
          <c:idx val="3"/>
          <c:order val="3"/>
          <c:spPr>
            <a:ln w="25400" cmpd="sng">
              <a:solidFill>
                <a:srgbClr val="666699"/>
              </a:solidFill>
            </a:ln>
          </c:spPr>
          <c:marker>
            <c:symbol val="none"/>
          </c:marker>
          <c:cat>
            <c:numRef>
              <c:f>'Mitigation Data Scenario 1'!$K$5:$AP$5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1'!$K$9:$AP$9</c:f>
              <c:numCache>
                <c:formatCode>_(* #,##0_);_(* \(#,##0\);_(* "-"??_);_(@_)</c:formatCode>
                <c:ptCount val="32"/>
                <c:pt idx="0">
                  <c:v>580.70000000000005</c:v>
                </c:pt>
                <c:pt idx="1">
                  <c:v>294.09999999999997</c:v>
                </c:pt>
                <c:pt idx="2">
                  <c:v>295.49736986322739</c:v>
                </c:pt>
                <c:pt idx="3">
                  <c:v>292.95302464168628</c:v>
                </c:pt>
                <c:pt idx="4">
                  <c:v>292.95302464168628</c:v>
                </c:pt>
                <c:pt idx="5">
                  <c:v>305.85683755339676</c:v>
                </c:pt>
                <c:pt idx="6">
                  <c:v>305.85683755339676</c:v>
                </c:pt>
                <c:pt idx="7">
                  <c:v>305.85683755339676</c:v>
                </c:pt>
                <c:pt idx="8">
                  <c:v>298.78951848175228</c:v>
                </c:pt>
                <c:pt idx="9">
                  <c:v>318.22233755437196</c:v>
                </c:pt>
                <c:pt idx="10">
                  <c:v>318.22233755437196</c:v>
                </c:pt>
                <c:pt idx="11">
                  <c:v>321.20475728280309</c:v>
                </c:pt>
                <c:pt idx="12">
                  <c:v>325.26749623174953</c:v>
                </c:pt>
                <c:pt idx="13">
                  <c:v>338.90777291293273</c:v>
                </c:pt>
                <c:pt idx="14">
                  <c:v>338.90777291293273</c:v>
                </c:pt>
                <c:pt idx="15">
                  <c:v>326.85510381102642</c:v>
                </c:pt>
                <c:pt idx="16">
                  <c:v>331.68422306170595</c:v>
                </c:pt>
                <c:pt idx="17">
                  <c:v>336.51334231238548</c:v>
                </c:pt>
                <c:pt idx="18">
                  <c:v>339.27415809814681</c:v>
                </c:pt>
                <c:pt idx="19">
                  <c:v>339.27415809814681</c:v>
                </c:pt>
                <c:pt idx="20">
                  <c:v>339.27415809814681</c:v>
                </c:pt>
                <c:pt idx="21">
                  <c:v>342.08280340153431</c:v>
                </c:pt>
                <c:pt idx="22">
                  <c:v>342.08280340153431</c:v>
                </c:pt>
                <c:pt idx="23">
                  <c:v>342.08280340153431</c:v>
                </c:pt>
                <c:pt idx="24">
                  <c:v>342.08280340153431</c:v>
                </c:pt>
                <c:pt idx="25">
                  <c:v>342.08280340153431</c:v>
                </c:pt>
                <c:pt idx="26">
                  <c:v>352.23965077390039</c:v>
                </c:pt>
                <c:pt idx="27">
                  <c:v>352.23965077390039</c:v>
                </c:pt>
                <c:pt idx="28">
                  <c:v>352.23965077390039</c:v>
                </c:pt>
                <c:pt idx="29">
                  <c:v>352.23965077390039</c:v>
                </c:pt>
                <c:pt idx="30">
                  <c:v>368.30593661746127</c:v>
                </c:pt>
                <c:pt idx="31">
                  <c:v>368.30593661746127</c:v>
                </c:pt>
              </c:numCache>
            </c:numRef>
          </c:val>
          <c:smooth val="0"/>
        </c:ser>
        <c:ser>
          <c:idx val="4"/>
          <c:order val="4"/>
          <c:spPr>
            <a:ln w="25400" cmpd="sng">
              <a:solidFill>
                <a:srgbClr val="666699"/>
              </a:solidFill>
            </a:ln>
          </c:spPr>
          <c:marker>
            <c:symbol val="none"/>
          </c:marker>
          <c:cat>
            <c:numRef>
              <c:f>'Mitigation Data Scenario 1'!$K$5:$AP$5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1'!$K$12:$AP$12</c:f>
              <c:numCache>
                <c:formatCode>0</c:formatCode>
                <c:ptCount val="32"/>
                <c:pt idx="0">
                  <c:v>847.6</c:v>
                </c:pt>
                <c:pt idx="1">
                  <c:v>744.63739999999996</c:v>
                </c:pt>
                <c:pt idx="2">
                  <c:v>727.84399480093828</c:v>
                </c:pt>
                <c:pt idx="3">
                  <c:v>713.96999480093825</c:v>
                </c:pt>
                <c:pt idx="4">
                  <c:v>700.09599480093834</c:v>
                </c:pt>
                <c:pt idx="5">
                  <c:v>712.61613856042538</c:v>
                </c:pt>
                <c:pt idx="6">
                  <c:v>698.74213856042547</c:v>
                </c:pt>
                <c:pt idx="7">
                  <c:v>684.86813856042545</c:v>
                </c:pt>
                <c:pt idx="8">
                  <c:v>645.50933387542716</c:v>
                </c:pt>
                <c:pt idx="9">
                  <c:v>656.80364194578613</c:v>
                </c:pt>
                <c:pt idx="10">
                  <c:v>642.9296419457861</c:v>
                </c:pt>
                <c:pt idx="11">
                  <c:v>642.31889874943613</c:v>
                </c:pt>
                <c:pt idx="12">
                  <c:v>641.59287905368819</c:v>
                </c:pt>
                <c:pt idx="13">
                  <c:v>653.41701307213793</c:v>
                </c:pt>
                <c:pt idx="14">
                  <c:v>653.41701307213793</c:v>
                </c:pt>
                <c:pt idx="15">
                  <c:v>600.31958046682632</c:v>
                </c:pt>
                <c:pt idx="16">
                  <c:v>610.19731727270243</c:v>
                </c:pt>
                <c:pt idx="17">
                  <c:v>620.07505407857855</c:v>
                </c:pt>
                <c:pt idx="18">
                  <c:v>625.72217320851519</c:v>
                </c:pt>
                <c:pt idx="19">
                  <c:v>625.72217320851519</c:v>
                </c:pt>
                <c:pt idx="20">
                  <c:v>625.72217320851519</c:v>
                </c:pt>
                <c:pt idx="21">
                  <c:v>625.93923549672388</c:v>
                </c:pt>
                <c:pt idx="22">
                  <c:v>625.93923549672388</c:v>
                </c:pt>
                <c:pt idx="23">
                  <c:v>625.93923549672388</c:v>
                </c:pt>
                <c:pt idx="24">
                  <c:v>625.93923549672388</c:v>
                </c:pt>
                <c:pt idx="25">
                  <c:v>625.93923549672388</c:v>
                </c:pt>
                <c:pt idx="26">
                  <c:v>646.71459015535424</c:v>
                </c:pt>
                <c:pt idx="27">
                  <c:v>646.71459015535424</c:v>
                </c:pt>
                <c:pt idx="28">
                  <c:v>646.71459015535424</c:v>
                </c:pt>
                <c:pt idx="29">
                  <c:v>646.71459015535424</c:v>
                </c:pt>
                <c:pt idx="30">
                  <c:v>679.57742388809652</c:v>
                </c:pt>
                <c:pt idx="31">
                  <c:v>679.57742388809652</c:v>
                </c:pt>
              </c:numCache>
            </c:numRef>
          </c:val>
          <c:smooth val="0"/>
        </c:ser>
        <c:ser>
          <c:idx val="5"/>
          <c:order val="5"/>
          <c:spPr>
            <a:ln w="25400" cmpd="sng">
              <a:solidFill>
                <a:srgbClr val="339966"/>
              </a:solidFill>
            </a:ln>
          </c:spPr>
          <c:marker>
            <c:symbol val="none"/>
          </c:marker>
          <c:cat>
            <c:numRef>
              <c:f>'Mitigation Data Scenario 1'!$K$5:$AP$5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1'!$K$13:$AP$13</c:f>
              <c:numCache>
                <c:formatCode>0</c:formatCode>
                <c:ptCount val="32"/>
                <c:pt idx="0">
                  <c:v>7502</c:v>
                </c:pt>
                <c:pt idx="1">
                  <c:v>6779</c:v>
                </c:pt>
                <c:pt idx="2">
                  <c:v>6753.2090321784372</c:v>
                </c:pt>
                <c:pt idx="3">
                  <c:v>6753.2090321784372</c:v>
                </c:pt>
                <c:pt idx="4">
                  <c:v>6753.2090321784372</c:v>
                </c:pt>
                <c:pt idx="5">
                  <c:v>6986.3834173571149</c:v>
                </c:pt>
                <c:pt idx="6">
                  <c:v>6986.3834173571149</c:v>
                </c:pt>
                <c:pt idx="7">
                  <c:v>6986.3834173571149</c:v>
                </c:pt>
                <c:pt idx="8">
                  <c:v>6761.242427068797</c:v>
                </c:pt>
                <c:pt idx="9">
                  <c:v>6983.5873841081448</c:v>
                </c:pt>
                <c:pt idx="10">
                  <c:v>6983.5873841081448</c:v>
                </c:pt>
                <c:pt idx="11">
                  <c:v>6978.1918815827094</c:v>
                </c:pt>
                <c:pt idx="12">
                  <c:v>6971.777989253932</c:v>
                </c:pt>
                <c:pt idx="13">
                  <c:v>7076.2362056350303</c:v>
                </c:pt>
                <c:pt idx="14">
                  <c:v>7076.2362056350303</c:v>
                </c:pt>
                <c:pt idx="15">
                  <c:v>6607.1563478025673</c:v>
                </c:pt>
                <c:pt idx="16">
                  <c:v>6694.4194629714029</c:v>
                </c:pt>
                <c:pt idx="17">
                  <c:v>6781.6825781402395</c:v>
                </c:pt>
                <c:pt idx="18">
                  <c:v>6831.5710512482356</c:v>
                </c:pt>
                <c:pt idx="19">
                  <c:v>6831.5710512482356</c:v>
                </c:pt>
                <c:pt idx="20">
                  <c:v>6831.5710512482356</c:v>
                </c:pt>
                <c:pt idx="21">
                  <c:v>6833.4886495632145</c:v>
                </c:pt>
                <c:pt idx="22">
                  <c:v>6833.4886495632145</c:v>
                </c:pt>
                <c:pt idx="23">
                  <c:v>6833.4886495632145</c:v>
                </c:pt>
                <c:pt idx="24">
                  <c:v>6833.4886495632145</c:v>
                </c:pt>
                <c:pt idx="25">
                  <c:v>6833.4886495632145</c:v>
                </c:pt>
                <c:pt idx="26">
                  <c:v>7017.0248382548398</c:v>
                </c:pt>
                <c:pt idx="27">
                  <c:v>7017.0248382548398</c:v>
                </c:pt>
                <c:pt idx="28">
                  <c:v>7017.0248382548398</c:v>
                </c:pt>
                <c:pt idx="29">
                  <c:v>7017.0248382548398</c:v>
                </c:pt>
                <c:pt idx="30">
                  <c:v>7307.3457185488642</c:v>
                </c:pt>
                <c:pt idx="31">
                  <c:v>7307.3457185488642</c:v>
                </c:pt>
              </c:numCache>
            </c:numRef>
          </c:val>
          <c:smooth val="0"/>
        </c:ser>
        <c:ser>
          <c:idx val="6"/>
          <c:order val="6"/>
          <c:spPr>
            <a:ln w="25400" cmpd="sng">
              <a:solidFill>
                <a:srgbClr val="808000"/>
              </a:solidFill>
            </a:ln>
          </c:spPr>
          <c:marker>
            <c:symbol val="none"/>
          </c:marker>
          <c:cat>
            <c:numRef>
              <c:f>'Mitigation Data Scenario 1'!$K$5:$AP$5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1'!$K$14:$AP$14</c:f>
              <c:numCache>
                <c:formatCode>_(* #,##0_);_(* \(#,##0\);_(* "-"??_);_(@_)</c:formatCode>
                <c:ptCount val="32"/>
                <c:pt idx="0">
                  <c:v>8569</c:v>
                </c:pt>
                <c:pt idx="1">
                  <c:v>7514</c:v>
                </c:pt>
                <c:pt idx="2">
                  <c:v>7344.5408153475109</c:v>
                </c:pt>
                <c:pt idx="3">
                  <c:v>7204.5408153475109</c:v>
                </c:pt>
                <c:pt idx="4">
                  <c:v>7064.5408153475109</c:v>
                </c:pt>
                <c:pt idx="5">
                  <c:v>7190.8792992979361</c:v>
                </c:pt>
                <c:pt idx="6">
                  <c:v>7050.8792992979361</c:v>
                </c:pt>
                <c:pt idx="7">
                  <c:v>6910.8792992979361</c:v>
                </c:pt>
                <c:pt idx="8">
                  <c:v>6513.7167898630396</c:v>
                </c:pt>
                <c:pt idx="9">
                  <c:v>6627.6855897657533</c:v>
                </c:pt>
                <c:pt idx="10">
                  <c:v>6487.6855897657533</c:v>
                </c:pt>
                <c:pt idx="11">
                  <c:v>6481.5226917198397</c:v>
                </c:pt>
                <c:pt idx="12">
                  <c:v>6474.1965595730398</c:v>
                </c:pt>
                <c:pt idx="13">
                  <c:v>6593.5117363485169</c:v>
                </c:pt>
                <c:pt idx="14">
                  <c:v>6593.5117363485169</c:v>
                </c:pt>
                <c:pt idx="15">
                  <c:v>6057.7152418448677</c:v>
                </c:pt>
                <c:pt idx="16">
                  <c:v>6157.3896798456353</c:v>
                </c:pt>
                <c:pt idx="17">
                  <c:v>6257.064117846403</c:v>
                </c:pt>
                <c:pt idx="18">
                  <c:v>6314.0481655753301</c:v>
                </c:pt>
                <c:pt idx="19">
                  <c:v>6314.0481655753301</c:v>
                </c:pt>
                <c:pt idx="20">
                  <c:v>6314.0481655753301</c:v>
                </c:pt>
                <c:pt idx="21">
                  <c:v>6316.2385014805641</c:v>
                </c:pt>
                <c:pt idx="22">
                  <c:v>6316.2385014805641</c:v>
                </c:pt>
                <c:pt idx="23">
                  <c:v>6316.2385014805641</c:v>
                </c:pt>
                <c:pt idx="24">
                  <c:v>6316.2385014805641</c:v>
                </c:pt>
                <c:pt idx="25">
                  <c:v>6316.2385014805641</c:v>
                </c:pt>
                <c:pt idx="26">
                  <c:v>6525.8788108512035</c:v>
                </c:pt>
                <c:pt idx="27">
                  <c:v>6525.8788108512035</c:v>
                </c:pt>
                <c:pt idx="28">
                  <c:v>6525.8788108512035</c:v>
                </c:pt>
                <c:pt idx="29">
                  <c:v>6525.8788108512035</c:v>
                </c:pt>
                <c:pt idx="30">
                  <c:v>6857.491663855666</c:v>
                </c:pt>
                <c:pt idx="31">
                  <c:v>6857.491663855666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862976"/>
        <c:axId val="295863536"/>
      </c:lineChart>
      <c:catAx>
        <c:axId val="29586297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95863536"/>
        <c:crosses val="autoZero"/>
        <c:auto val="1"/>
        <c:lblAlgn val="ctr"/>
        <c:lblOffset val="100"/>
        <c:noMultiLvlLbl val="1"/>
      </c:catAx>
      <c:valAx>
        <c:axId val="295863536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MTCDE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9586297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en-US"/>
              <a:t>Net Emissions Profile Mitigation Strategies Scenario 2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1"/>
        <c:ser>
          <c:idx val="0"/>
          <c:order val="0"/>
          <c:spPr>
            <a:solidFill>
              <a:srgbClr val="C0C0C0">
                <a:alpha val="80000"/>
              </a:srgbClr>
            </a:solidFill>
            <a:ln w="25400" cmpd="sng">
              <a:solidFill>
                <a:srgbClr val="C0C0C0"/>
              </a:solidFill>
            </a:ln>
          </c:spPr>
          <c:cat>
            <c:numRef>
              <c:f>'Mit w RECs Data Scenario 2'!$K$5:$AP$5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2'!$K$19:$AP$19</c:f>
              <c:numCache>
                <c:formatCode>_(* #,##0_);_(* \(#,##0\);_(* "-"??_);_(@_)</c:formatCode>
                <c:ptCount val="32"/>
                <c:pt idx="0" formatCode="0">
                  <c:v>725.6</c:v>
                </c:pt>
                <c:pt idx="1">
                  <c:v>725.6</c:v>
                </c:pt>
                <c:pt idx="2">
                  <c:v>725.6</c:v>
                </c:pt>
                <c:pt idx="3">
                  <c:v>725.6</c:v>
                </c:pt>
                <c:pt idx="4">
                  <c:v>725.6</c:v>
                </c:pt>
                <c:pt idx="5">
                  <c:v>725.6</c:v>
                </c:pt>
                <c:pt idx="6">
                  <c:v>725.6</c:v>
                </c:pt>
                <c:pt idx="7">
                  <c:v>725.6</c:v>
                </c:pt>
                <c:pt idx="8">
                  <c:v>725.6</c:v>
                </c:pt>
                <c:pt idx="9">
                  <c:v>725.6</c:v>
                </c:pt>
                <c:pt idx="10">
                  <c:v>725.6</c:v>
                </c:pt>
                <c:pt idx="11">
                  <c:v>725.6</c:v>
                </c:pt>
                <c:pt idx="12">
                  <c:v>725.6</c:v>
                </c:pt>
                <c:pt idx="13">
                  <c:v>725.6</c:v>
                </c:pt>
                <c:pt idx="14">
                  <c:v>725.6</c:v>
                </c:pt>
                <c:pt idx="15">
                  <c:v>725.6</c:v>
                </c:pt>
                <c:pt idx="16">
                  <c:v>725.6</c:v>
                </c:pt>
                <c:pt idx="17">
                  <c:v>725.6</c:v>
                </c:pt>
                <c:pt idx="18">
                  <c:v>725.6</c:v>
                </c:pt>
                <c:pt idx="19">
                  <c:v>725.6</c:v>
                </c:pt>
                <c:pt idx="20">
                  <c:v>725.6</c:v>
                </c:pt>
                <c:pt idx="21">
                  <c:v>725.6</c:v>
                </c:pt>
                <c:pt idx="22">
                  <c:v>725.6</c:v>
                </c:pt>
                <c:pt idx="23">
                  <c:v>725.6</c:v>
                </c:pt>
                <c:pt idx="24">
                  <c:v>725.6</c:v>
                </c:pt>
                <c:pt idx="25">
                  <c:v>725.6</c:v>
                </c:pt>
                <c:pt idx="26">
                  <c:v>725.6</c:v>
                </c:pt>
                <c:pt idx="27">
                  <c:v>725.6</c:v>
                </c:pt>
                <c:pt idx="28">
                  <c:v>725.6</c:v>
                </c:pt>
                <c:pt idx="29">
                  <c:v>725.6</c:v>
                </c:pt>
                <c:pt idx="30">
                  <c:v>725.6</c:v>
                </c:pt>
                <c:pt idx="31">
                  <c:v>725.6</c:v>
                </c:pt>
              </c:numCache>
            </c:numRef>
          </c:val>
        </c:ser>
        <c:ser>
          <c:idx val="1"/>
          <c:order val="1"/>
          <c:spPr>
            <a:solidFill>
              <a:srgbClr val="C0C0C0">
                <a:alpha val="80000"/>
              </a:srgbClr>
            </a:solidFill>
            <a:ln w="25400" cmpd="sng">
              <a:solidFill>
                <a:srgbClr val="C0C0C0"/>
              </a:solidFill>
            </a:ln>
          </c:spPr>
          <c:cat>
            <c:numRef>
              <c:f>'Mit w RECs Data Scenario 2'!$K$5:$AP$5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2'!$K$20:$AP$20</c:f>
              <c:numCache>
                <c:formatCode>0</c:formatCode>
                <c:ptCount val="32"/>
                <c:pt idx="0">
                  <c:v>1022.5</c:v>
                </c:pt>
                <c:pt idx="1">
                  <c:v>1022.5</c:v>
                </c:pt>
                <c:pt idx="2">
                  <c:v>1022.5</c:v>
                </c:pt>
                <c:pt idx="3">
                  <c:v>1022.5</c:v>
                </c:pt>
                <c:pt idx="4">
                  <c:v>1022.5</c:v>
                </c:pt>
                <c:pt idx="5">
                  <c:v>1022.5</c:v>
                </c:pt>
                <c:pt idx="6">
                  <c:v>1022.5</c:v>
                </c:pt>
                <c:pt idx="7">
                  <c:v>1022.5</c:v>
                </c:pt>
                <c:pt idx="8">
                  <c:v>1022.5</c:v>
                </c:pt>
                <c:pt idx="9">
                  <c:v>1022.5</c:v>
                </c:pt>
                <c:pt idx="10">
                  <c:v>1022.5</c:v>
                </c:pt>
                <c:pt idx="11">
                  <c:v>1022.5</c:v>
                </c:pt>
                <c:pt idx="12">
                  <c:v>1022.5</c:v>
                </c:pt>
                <c:pt idx="13">
                  <c:v>1022.5</c:v>
                </c:pt>
                <c:pt idx="14">
                  <c:v>1022.5</c:v>
                </c:pt>
                <c:pt idx="15">
                  <c:v>1022.5</c:v>
                </c:pt>
                <c:pt idx="16">
                  <c:v>1022.5</c:v>
                </c:pt>
                <c:pt idx="17">
                  <c:v>1022.5</c:v>
                </c:pt>
                <c:pt idx="18">
                  <c:v>1022.5</c:v>
                </c:pt>
                <c:pt idx="19">
                  <c:v>1022.5</c:v>
                </c:pt>
                <c:pt idx="20">
                  <c:v>1022.5</c:v>
                </c:pt>
                <c:pt idx="21">
                  <c:v>1022.5</c:v>
                </c:pt>
                <c:pt idx="22">
                  <c:v>1022.5</c:v>
                </c:pt>
                <c:pt idx="23">
                  <c:v>1022.5</c:v>
                </c:pt>
                <c:pt idx="24">
                  <c:v>1022.5</c:v>
                </c:pt>
                <c:pt idx="25">
                  <c:v>1022.5</c:v>
                </c:pt>
                <c:pt idx="26">
                  <c:v>1022.5</c:v>
                </c:pt>
                <c:pt idx="27">
                  <c:v>1022.5</c:v>
                </c:pt>
                <c:pt idx="28">
                  <c:v>1022.5</c:v>
                </c:pt>
                <c:pt idx="29">
                  <c:v>1022.5</c:v>
                </c:pt>
                <c:pt idx="30">
                  <c:v>1022.5</c:v>
                </c:pt>
                <c:pt idx="31">
                  <c:v>1022.5</c:v>
                </c:pt>
              </c:numCache>
            </c:numRef>
          </c:val>
        </c:ser>
        <c:ser>
          <c:idx val="2"/>
          <c:order val="2"/>
          <c:spPr>
            <a:solidFill>
              <a:srgbClr val="C0C0C0">
                <a:alpha val="80000"/>
              </a:srgbClr>
            </a:solidFill>
            <a:ln w="25400" cmpd="sng">
              <a:solidFill>
                <a:srgbClr val="C0C0C0"/>
              </a:solidFill>
            </a:ln>
          </c:spPr>
          <c:cat>
            <c:numRef>
              <c:f>'Mit w RECs Data Scenario 2'!$K$5:$AP$5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2'!$K$21:$AP$21</c:f>
              <c:numCache>
                <c:formatCode>_(* #,##0_);_(* \(#,##0\);_(* "-"??_);_(@_)</c:formatCode>
                <c:ptCount val="32"/>
                <c:pt idx="0">
                  <c:v>294.10000000000002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  <c:pt idx="12">
                  <c:v>7.5</c:v>
                </c:pt>
                <c:pt idx="13">
                  <c:v>7.5</c:v>
                </c:pt>
                <c:pt idx="14">
                  <c:v>7.5</c:v>
                </c:pt>
                <c:pt idx="15">
                  <c:v>7.5</c:v>
                </c:pt>
                <c:pt idx="16">
                  <c:v>7.5</c:v>
                </c:pt>
                <c:pt idx="17">
                  <c:v>7.5</c:v>
                </c:pt>
                <c:pt idx="18">
                  <c:v>7.5</c:v>
                </c:pt>
                <c:pt idx="19">
                  <c:v>7.5</c:v>
                </c:pt>
                <c:pt idx="20">
                  <c:v>7.5</c:v>
                </c:pt>
                <c:pt idx="21">
                  <c:v>7.5</c:v>
                </c:pt>
                <c:pt idx="22">
                  <c:v>7.5</c:v>
                </c:pt>
                <c:pt idx="23">
                  <c:v>7.5</c:v>
                </c:pt>
                <c:pt idx="24">
                  <c:v>7.5</c:v>
                </c:pt>
                <c:pt idx="25">
                  <c:v>7.5</c:v>
                </c:pt>
                <c:pt idx="26">
                  <c:v>7.5</c:v>
                </c:pt>
                <c:pt idx="27">
                  <c:v>7.5</c:v>
                </c:pt>
                <c:pt idx="28">
                  <c:v>7.5</c:v>
                </c:pt>
                <c:pt idx="29">
                  <c:v>7.5</c:v>
                </c:pt>
                <c:pt idx="30">
                  <c:v>7.5</c:v>
                </c:pt>
                <c:pt idx="31">
                  <c:v>7.5</c:v>
                </c:pt>
              </c:numCache>
            </c:numRef>
          </c:val>
        </c:ser>
        <c:ser>
          <c:idx val="3"/>
          <c:order val="3"/>
          <c:spPr>
            <a:solidFill>
              <a:srgbClr val="C0C0C0">
                <a:alpha val="80000"/>
              </a:srgbClr>
            </a:solidFill>
            <a:ln w="25400" cmpd="sng">
              <a:solidFill>
                <a:srgbClr val="C0C0C0"/>
              </a:solidFill>
            </a:ln>
          </c:spPr>
          <c:cat>
            <c:numRef>
              <c:f>'Mit w RECs Data Scenario 2'!$K$5:$AP$5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2'!$K$22:$AP$22</c:f>
              <c:numCache>
                <c:formatCode>_(* #,##0_);_(* \(#,##0\);_(* "-"??_);_(@_)</c:formatCode>
                <c:ptCount val="32"/>
                <c:pt idx="0" formatCode="0">
                  <c:v>160</c:v>
                </c:pt>
                <c:pt idx="1">
                  <c:v>160</c:v>
                </c:pt>
                <c:pt idx="2">
                  <c:v>160.78010878617025</c:v>
                </c:pt>
                <c:pt idx="3">
                  <c:v>160.78010878617025</c:v>
                </c:pt>
                <c:pt idx="4">
                  <c:v>160.78010878617025</c:v>
                </c:pt>
                <c:pt idx="5">
                  <c:v>168.04812231065623</c:v>
                </c:pt>
                <c:pt idx="6">
                  <c:v>168.04812231065623</c:v>
                </c:pt>
                <c:pt idx="7">
                  <c:v>168.04812231065623</c:v>
                </c:pt>
                <c:pt idx="8">
                  <c:v>164.06748721109159</c:v>
                </c:pt>
                <c:pt idx="9">
                  <c:v>175.01293355358405</c:v>
                </c:pt>
                <c:pt idx="10">
                  <c:v>175.01293355358405</c:v>
                </c:pt>
                <c:pt idx="11">
                  <c:v>176.69276780647061</c:v>
                </c:pt>
                <c:pt idx="12">
                  <c:v>178.98108691256996</c:v>
                </c:pt>
                <c:pt idx="13">
                  <c:v>186.66391028228887</c:v>
                </c:pt>
                <c:pt idx="14">
                  <c:v>186.66391028228887</c:v>
                </c:pt>
                <c:pt idx="15">
                  <c:v>179.8752996105307</c:v>
                </c:pt>
                <c:pt idx="16">
                  <c:v>182.59527891164424</c:v>
                </c:pt>
                <c:pt idx="17">
                  <c:v>185.31525821275778</c:v>
                </c:pt>
                <c:pt idx="18">
                  <c:v>186.87027505985711</c:v>
                </c:pt>
                <c:pt idx="19">
                  <c:v>186.87027505985711</c:v>
                </c:pt>
                <c:pt idx="20">
                  <c:v>186.87027505985711</c:v>
                </c:pt>
                <c:pt idx="21">
                  <c:v>188.4522316637055</c:v>
                </c:pt>
                <c:pt idx="22">
                  <c:v>188.4522316637055</c:v>
                </c:pt>
                <c:pt idx="23">
                  <c:v>188.4522316637055</c:v>
                </c:pt>
                <c:pt idx="24">
                  <c:v>188.4522316637055</c:v>
                </c:pt>
                <c:pt idx="25">
                  <c:v>188.4522316637055</c:v>
                </c:pt>
                <c:pt idx="26">
                  <c:v>194.17302942895387</c:v>
                </c:pt>
                <c:pt idx="27">
                  <c:v>194.17302942895387</c:v>
                </c:pt>
                <c:pt idx="28">
                  <c:v>194.17302942895387</c:v>
                </c:pt>
                <c:pt idx="29">
                  <c:v>194.17302942895387</c:v>
                </c:pt>
                <c:pt idx="30">
                  <c:v>203.22229134852856</c:v>
                </c:pt>
                <c:pt idx="31">
                  <c:v>203.22229134852856</c:v>
                </c:pt>
              </c:numCache>
            </c:numRef>
          </c:val>
        </c:ser>
        <c:ser>
          <c:idx val="4"/>
          <c:order val="4"/>
          <c:spPr>
            <a:solidFill>
              <a:srgbClr val="C0C0C0">
                <a:alpha val="80000"/>
              </a:srgbClr>
            </a:solidFill>
            <a:ln w="25400" cmpd="sng">
              <a:solidFill>
                <a:srgbClr val="C0C0C0"/>
              </a:solidFill>
            </a:ln>
          </c:spPr>
          <c:cat>
            <c:numRef>
              <c:f>'Mit w RECs Data Scenario 2'!$K$5:$AP$5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2'!$K$23:$AP$23</c:f>
              <c:numCache>
                <c:formatCode>0</c:formatCode>
                <c:ptCount val="32"/>
                <c:pt idx="0">
                  <c:v>126.6</c:v>
                </c:pt>
                <c:pt idx="1">
                  <c:v>126.59999999999998</c:v>
                </c:pt>
                <c:pt idx="2">
                  <c:v>127.21726107705717</c:v>
                </c:pt>
                <c:pt idx="3">
                  <c:v>124.67291585551602</c:v>
                </c:pt>
                <c:pt idx="4">
                  <c:v>124.67291585551602</c:v>
                </c:pt>
                <c:pt idx="5">
                  <c:v>130.30871524274056</c:v>
                </c:pt>
                <c:pt idx="6">
                  <c:v>130.30871524274056</c:v>
                </c:pt>
                <c:pt idx="7">
                  <c:v>130.30871524274056</c:v>
                </c:pt>
                <c:pt idx="8">
                  <c:v>127.22203127066068</c:v>
                </c:pt>
                <c:pt idx="9">
                  <c:v>135.70940400078788</c:v>
                </c:pt>
                <c:pt idx="10">
                  <c:v>135.70940400078788</c:v>
                </c:pt>
                <c:pt idx="11">
                  <c:v>137.01198947633247</c:v>
                </c:pt>
                <c:pt idx="12">
                  <c:v>138.78640931917954</c:v>
                </c:pt>
                <c:pt idx="13">
                  <c:v>144.74386263064383</c:v>
                </c:pt>
                <c:pt idx="14">
                  <c:v>144.74386263064383</c:v>
                </c:pt>
                <c:pt idx="15">
                  <c:v>139.47980420049572</c:v>
                </c:pt>
                <c:pt idx="16">
                  <c:v>141.58894415006171</c:v>
                </c:pt>
                <c:pt idx="17">
                  <c:v>143.69808409962766</c:v>
                </c:pt>
                <c:pt idx="18">
                  <c:v>144.90388303828968</c:v>
                </c:pt>
                <c:pt idx="19">
                  <c:v>144.90388303828968</c:v>
                </c:pt>
                <c:pt idx="20">
                  <c:v>144.90388303828968</c:v>
                </c:pt>
                <c:pt idx="21">
                  <c:v>146.1305717378288</c:v>
                </c:pt>
                <c:pt idx="22">
                  <c:v>146.1305717378288</c:v>
                </c:pt>
                <c:pt idx="23">
                  <c:v>146.1305717378288</c:v>
                </c:pt>
                <c:pt idx="24">
                  <c:v>146.1305717378288</c:v>
                </c:pt>
                <c:pt idx="25">
                  <c:v>146.1305717378288</c:v>
                </c:pt>
                <c:pt idx="26">
                  <c:v>150.56662134494653</c:v>
                </c:pt>
                <c:pt idx="27">
                  <c:v>150.56662134494653</c:v>
                </c:pt>
                <c:pt idx="28">
                  <c:v>150.56662134494653</c:v>
                </c:pt>
                <c:pt idx="29">
                  <c:v>150.56662134494653</c:v>
                </c:pt>
                <c:pt idx="30">
                  <c:v>157.58364526893274</c:v>
                </c:pt>
                <c:pt idx="31">
                  <c:v>157.58364526893274</c:v>
                </c:pt>
              </c:numCache>
            </c:numRef>
          </c:val>
        </c:ser>
        <c:ser>
          <c:idx val="5"/>
          <c:order val="5"/>
          <c:spPr>
            <a:solidFill>
              <a:srgbClr val="993366">
                <a:alpha val="80000"/>
              </a:srgbClr>
            </a:solidFill>
            <a:ln w="25400" cmpd="sng">
              <a:solidFill>
                <a:srgbClr val="993366"/>
              </a:solidFill>
            </a:ln>
          </c:spPr>
          <c:cat>
            <c:numRef>
              <c:f>'Mit w RECs Data Scenario 2'!$K$5:$AP$5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2'!$K$24:$AP$24</c:f>
              <c:numCache>
                <c:formatCode>0</c:formatCode>
                <c:ptCount val="32"/>
                <c:pt idx="0">
                  <c:v>847.6</c:v>
                </c:pt>
                <c:pt idx="1">
                  <c:v>744.63739999999996</c:v>
                </c:pt>
                <c:pt idx="2">
                  <c:v>727.84399480093828</c:v>
                </c:pt>
                <c:pt idx="3">
                  <c:v>713.96999480093825</c:v>
                </c:pt>
                <c:pt idx="4">
                  <c:v>700.09599480093834</c:v>
                </c:pt>
                <c:pt idx="5">
                  <c:v>605.09263856042537</c:v>
                </c:pt>
                <c:pt idx="6">
                  <c:v>591.21863856042546</c:v>
                </c:pt>
                <c:pt idx="7">
                  <c:v>577.34463856042544</c:v>
                </c:pt>
                <c:pt idx="8">
                  <c:v>518.98695193622461</c:v>
                </c:pt>
                <c:pt idx="9">
                  <c:v>530.28126000658347</c:v>
                </c:pt>
                <c:pt idx="10">
                  <c:v>498.30934008776893</c:v>
                </c:pt>
                <c:pt idx="11">
                  <c:v>408.80589689141885</c:v>
                </c:pt>
                <c:pt idx="12">
                  <c:v>390.09874856284023</c:v>
                </c:pt>
                <c:pt idx="13">
                  <c:v>392.80568258129</c:v>
                </c:pt>
                <c:pt idx="14">
                  <c:v>392.80568258129</c:v>
                </c:pt>
                <c:pt idx="15">
                  <c:v>339.70824997597833</c:v>
                </c:pt>
                <c:pt idx="16">
                  <c:v>349.58598678185444</c:v>
                </c:pt>
                <c:pt idx="17">
                  <c:v>359.4637235877305</c:v>
                </c:pt>
                <c:pt idx="18">
                  <c:v>365.1108427176672</c:v>
                </c:pt>
                <c:pt idx="19">
                  <c:v>365.1108427176672</c:v>
                </c:pt>
                <c:pt idx="20">
                  <c:v>365.1108427176672</c:v>
                </c:pt>
                <c:pt idx="21">
                  <c:v>365.32790500587589</c:v>
                </c:pt>
                <c:pt idx="22">
                  <c:v>365.32790500587589</c:v>
                </c:pt>
                <c:pt idx="23">
                  <c:v>365.32790500587589</c:v>
                </c:pt>
                <c:pt idx="24">
                  <c:v>365.32790500587589</c:v>
                </c:pt>
                <c:pt idx="25">
                  <c:v>365.32790500587589</c:v>
                </c:pt>
                <c:pt idx="26">
                  <c:v>386.10325966450625</c:v>
                </c:pt>
                <c:pt idx="27">
                  <c:v>371.33735966450621</c:v>
                </c:pt>
                <c:pt idx="28">
                  <c:v>371.33735966450621</c:v>
                </c:pt>
                <c:pt idx="29">
                  <c:v>371.33735966450621</c:v>
                </c:pt>
                <c:pt idx="30">
                  <c:v>404.20019339724848</c:v>
                </c:pt>
                <c:pt idx="31">
                  <c:v>404.20019339724848</c:v>
                </c:pt>
              </c:numCache>
            </c:numRef>
          </c:val>
        </c:ser>
        <c:ser>
          <c:idx val="6"/>
          <c:order val="6"/>
          <c:spPr>
            <a:solidFill>
              <a:srgbClr val="FF6600">
                <a:alpha val="80000"/>
              </a:srgbClr>
            </a:solidFill>
            <a:ln w="25400" cmpd="sng">
              <a:solidFill>
                <a:srgbClr val="FF6600"/>
              </a:solidFill>
            </a:ln>
          </c:spPr>
          <c:cat>
            <c:numRef>
              <c:f>'Mit w RECs Data Scenario 2'!$K$5:$AP$5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2'!$K$25:$AP$25</c:f>
              <c:numCache>
                <c:formatCode>0</c:formatCode>
                <c:ptCount val="32"/>
                <c:pt idx="0">
                  <c:v>7502</c:v>
                </c:pt>
                <c:pt idx="1">
                  <c:v>6779</c:v>
                </c:pt>
                <c:pt idx="2">
                  <c:v>6753.2090321784372</c:v>
                </c:pt>
                <c:pt idx="3">
                  <c:v>6753.2090321784372</c:v>
                </c:pt>
                <c:pt idx="4">
                  <c:v>6753.2090321784372</c:v>
                </c:pt>
                <c:pt idx="5">
                  <c:v>6986.3834173571149</c:v>
                </c:pt>
                <c:pt idx="6">
                  <c:v>6986.3834173571149</c:v>
                </c:pt>
                <c:pt idx="7">
                  <c:v>6986.3834173571149</c:v>
                </c:pt>
                <c:pt idx="8">
                  <c:v>6761.242427068797</c:v>
                </c:pt>
                <c:pt idx="9">
                  <c:v>222.58738410814476</c:v>
                </c:pt>
                <c:pt idx="10">
                  <c:v>222.58738410814476</c:v>
                </c:pt>
                <c:pt idx="11">
                  <c:v>223.19188158270936</c:v>
                </c:pt>
                <c:pt idx="12">
                  <c:v>222.77798925393199</c:v>
                </c:pt>
                <c:pt idx="13">
                  <c:v>223.23620563503027</c:v>
                </c:pt>
                <c:pt idx="14">
                  <c:v>223.23620563503027</c:v>
                </c:pt>
                <c:pt idx="15">
                  <c:v>223.15634780256732</c:v>
                </c:pt>
                <c:pt idx="16">
                  <c:v>223.41946297140294</c:v>
                </c:pt>
                <c:pt idx="17">
                  <c:v>222.68257814023946</c:v>
                </c:pt>
                <c:pt idx="18">
                  <c:v>222.57105124823556</c:v>
                </c:pt>
                <c:pt idx="19">
                  <c:v>222.57105124823556</c:v>
                </c:pt>
                <c:pt idx="20">
                  <c:v>222.57105124823556</c:v>
                </c:pt>
                <c:pt idx="21">
                  <c:v>223.48864956321449</c:v>
                </c:pt>
                <c:pt idx="22">
                  <c:v>223.48864956321449</c:v>
                </c:pt>
                <c:pt idx="23">
                  <c:v>223.48864956321449</c:v>
                </c:pt>
                <c:pt idx="24">
                  <c:v>223.48864956321449</c:v>
                </c:pt>
                <c:pt idx="25">
                  <c:v>223.48864956321449</c:v>
                </c:pt>
                <c:pt idx="26">
                  <c:v>223.02483825483978</c:v>
                </c:pt>
                <c:pt idx="27">
                  <c:v>223.02483825483978</c:v>
                </c:pt>
                <c:pt idx="28">
                  <c:v>223.02483825483978</c:v>
                </c:pt>
                <c:pt idx="29">
                  <c:v>223.02483825483978</c:v>
                </c:pt>
                <c:pt idx="30">
                  <c:v>223.34571854886417</c:v>
                </c:pt>
                <c:pt idx="31">
                  <c:v>223.34571854886417</c:v>
                </c:pt>
              </c:numCache>
            </c:numRef>
          </c:val>
        </c:ser>
        <c:ser>
          <c:idx val="7"/>
          <c:order val="7"/>
          <c:spPr>
            <a:solidFill>
              <a:srgbClr val="99CCFF">
                <a:alpha val="80000"/>
              </a:srgbClr>
            </a:solidFill>
            <a:ln w="25400" cmpd="sng">
              <a:solidFill>
                <a:srgbClr val="99CCFF"/>
              </a:solidFill>
            </a:ln>
          </c:spPr>
          <c:cat>
            <c:numRef>
              <c:f>'Mit w RECs Data Scenario 2'!$K$5:$AP$5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2'!$K$26:$AP$26</c:f>
              <c:numCache>
                <c:formatCode>_(* #,##0_);_(* \(#,##0\);_(* "-"??_);_(@_)</c:formatCode>
                <c:ptCount val="32"/>
                <c:pt idx="0">
                  <c:v>83</c:v>
                </c:pt>
                <c:pt idx="1">
                  <c:v>83</c:v>
                </c:pt>
                <c:pt idx="2">
                  <c:v>82.540815347510943</c:v>
                </c:pt>
                <c:pt idx="3">
                  <c:v>82.540815347510943</c:v>
                </c:pt>
                <c:pt idx="4">
                  <c:v>82.540815347510943</c:v>
                </c:pt>
                <c:pt idx="5">
                  <c:v>82.879299297936086</c:v>
                </c:pt>
                <c:pt idx="6">
                  <c:v>82.879299297936086</c:v>
                </c:pt>
                <c:pt idx="7">
                  <c:v>82.879299297936086</c:v>
                </c:pt>
                <c:pt idx="8">
                  <c:v>82.716789863039594</c:v>
                </c:pt>
                <c:pt idx="9">
                  <c:v>82.685589765753321</c:v>
                </c:pt>
                <c:pt idx="10">
                  <c:v>82.685589765753321</c:v>
                </c:pt>
                <c:pt idx="11">
                  <c:v>82.522691719839713</c:v>
                </c:pt>
                <c:pt idx="12">
                  <c:v>83.196559573039849</c:v>
                </c:pt>
                <c:pt idx="13">
                  <c:v>82.511736348516934</c:v>
                </c:pt>
                <c:pt idx="14">
                  <c:v>82.511736348516934</c:v>
                </c:pt>
                <c:pt idx="15">
                  <c:v>82.715241844867705</c:v>
                </c:pt>
                <c:pt idx="16">
                  <c:v>83.389679845635328</c:v>
                </c:pt>
                <c:pt idx="17">
                  <c:v>83.064117846402951</c:v>
                </c:pt>
                <c:pt idx="18">
                  <c:v>83.048165575330131</c:v>
                </c:pt>
                <c:pt idx="19">
                  <c:v>83.048165575330131</c:v>
                </c:pt>
                <c:pt idx="20">
                  <c:v>83.048165575330131</c:v>
                </c:pt>
                <c:pt idx="21">
                  <c:v>83.238501480564082</c:v>
                </c:pt>
                <c:pt idx="22">
                  <c:v>83.238501480564082</c:v>
                </c:pt>
                <c:pt idx="23">
                  <c:v>83.238501480564082</c:v>
                </c:pt>
                <c:pt idx="24">
                  <c:v>83.238501480564082</c:v>
                </c:pt>
                <c:pt idx="25">
                  <c:v>83.238501480564082</c:v>
                </c:pt>
                <c:pt idx="26">
                  <c:v>82.878810851203525</c:v>
                </c:pt>
                <c:pt idx="27">
                  <c:v>82.878810851203525</c:v>
                </c:pt>
                <c:pt idx="28">
                  <c:v>82.878810851203525</c:v>
                </c:pt>
                <c:pt idx="29">
                  <c:v>82.878810851203525</c:v>
                </c:pt>
                <c:pt idx="30">
                  <c:v>83.491663855666047</c:v>
                </c:pt>
                <c:pt idx="31">
                  <c:v>83.491663855666047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543184"/>
        <c:axId val="344543744"/>
      </c:areaChart>
      <c:catAx>
        <c:axId val="34454318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44543744"/>
        <c:crosses val="autoZero"/>
        <c:auto val="1"/>
        <c:lblAlgn val="ctr"/>
        <c:lblOffset val="100"/>
        <c:noMultiLvlLbl val="1"/>
      </c:catAx>
      <c:valAx>
        <c:axId val="344543744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MTCDE</a:t>
                </a:r>
              </a:p>
            </c:rich>
          </c:tx>
          <c:layout/>
          <c:overlay val="0"/>
        </c:title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44543184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en-US"/>
              <a:t>Mitigation Strategies (Option 2)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000000"/>
              </a:solidFill>
            </a:ln>
          </c:spPr>
          <c:marker>
            <c:symbol val="none"/>
          </c:marker>
          <c:cat>
            <c:numRef>
              <c:f>'Mit w RECs Data Scenario 2'!$L$5:$AK$5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2'!$L$16:$AK$16</c:f>
              <c:numCache>
                <c:formatCode>_(* #,##0_);_(* \(#,##0\);_(* "-"??_);_(@_)</c:formatCode>
                <c:ptCount val="26"/>
                <c:pt idx="0">
                  <c:v>19247.400000000001</c:v>
                </c:pt>
                <c:pt idx="1">
                  <c:v>19332.615252429736</c:v>
                </c:pt>
                <c:pt idx="2">
                  <c:v>19332.615252429736</c:v>
                </c:pt>
                <c:pt idx="3">
                  <c:v>19332.615252429736</c:v>
                </c:pt>
                <c:pt idx="4">
                  <c:v>20127.062414172859</c:v>
                </c:pt>
                <c:pt idx="5">
                  <c:v>20127.062414172859</c:v>
                </c:pt>
                <c:pt idx="6">
                  <c:v>20127.062414172859</c:v>
                </c:pt>
                <c:pt idx="7">
                  <c:v>19691.841762964643</c:v>
                </c:pt>
                <c:pt idx="8">
                  <c:v>20888.116443772509</c:v>
                </c:pt>
                <c:pt idx="9">
                  <c:v>20888.116443772509</c:v>
                </c:pt>
                <c:pt idx="10">
                  <c:v>21071.668892970105</c:v>
                </c:pt>
                <c:pt idx="11">
                  <c:v>21321.710419070594</c:v>
                </c:pt>
                <c:pt idx="12">
                  <c:v>24338.488382897944</c:v>
                </c:pt>
                <c:pt idx="13">
                  <c:v>24338.488382897944</c:v>
                </c:pt>
                <c:pt idx="14">
                  <c:v>23596.21177857733</c:v>
                </c:pt>
                <c:pt idx="15">
                  <c:v>23893.525456997115</c:v>
                </c:pt>
                <c:pt idx="16">
                  <c:v>24190.839135416907</c:v>
                </c:pt>
                <c:pt idx="17">
                  <c:v>24360.813876999153</c:v>
                </c:pt>
                <c:pt idx="18">
                  <c:v>24411.119192075341</c:v>
                </c:pt>
                <c:pt idx="19">
                  <c:v>24411.119192075341</c:v>
                </c:pt>
                <c:pt idx="20">
                  <c:v>24583.98448914539</c:v>
                </c:pt>
                <c:pt idx="21">
                  <c:v>24583.98448914539</c:v>
                </c:pt>
                <c:pt idx="22">
                  <c:v>24583.98448914539</c:v>
                </c:pt>
                <c:pt idx="23">
                  <c:v>24583.98448914539</c:v>
                </c:pt>
                <c:pt idx="24">
                  <c:v>24583.98448914539</c:v>
                </c:pt>
                <c:pt idx="25">
                  <c:v>25209.309625401154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666699"/>
              </a:solidFill>
            </a:ln>
          </c:spPr>
          <c:marker>
            <c:symbol val="none"/>
          </c:marker>
          <c:cat>
            <c:numRef>
              <c:f>'Mit w RECs Data Scenario 2'!$L$5:$AK$5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2'!$L$7:$AK$7</c:f>
              <c:numCache>
                <c:formatCode>_(* #,##0_);_(* \(#,##0\);_(* "-"??_);_(@_)</c:formatCode>
                <c:ptCount val="26"/>
                <c:pt idx="0">
                  <c:v>19247.400000000001</c:v>
                </c:pt>
                <c:pt idx="1">
                  <c:v>19332.615252429736</c:v>
                </c:pt>
                <c:pt idx="2">
                  <c:v>19332.615252429736</c:v>
                </c:pt>
                <c:pt idx="3">
                  <c:v>19332.615252429736</c:v>
                </c:pt>
                <c:pt idx="4">
                  <c:v>20127.062414172859</c:v>
                </c:pt>
                <c:pt idx="5">
                  <c:v>20127.062414172859</c:v>
                </c:pt>
                <c:pt idx="6">
                  <c:v>20127.062414172859</c:v>
                </c:pt>
                <c:pt idx="7">
                  <c:v>19691.841762964643</c:v>
                </c:pt>
                <c:pt idx="8">
                  <c:v>20888.116443772509</c:v>
                </c:pt>
                <c:pt idx="9">
                  <c:v>20888.116443772509</c:v>
                </c:pt>
                <c:pt idx="10">
                  <c:v>21071.668892970105</c:v>
                </c:pt>
                <c:pt idx="11">
                  <c:v>21321.710419070594</c:v>
                </c:pt>
                <c:pt idx="12">
                  <c:v>24338.488382897944</c:v>
                </c:pt>
                <c:pt idx="13">
                  <c:v>24338.488382897944</c:v>
                </c:pt>
                <c:pt idx="14">
                  <c:v>23596.21177857733</c:v>
                </c:pt>
                <c:pt idx="15">
                  <c:v>23893.525456997115</c:v>
                </c:pt>
                <c:pt idx="16">
                  <c:v>24190.839135416907</c:v>
                </c:pt>
                <c:pt idx="17">
                  <c:v>24360.813876999153</c:v>
                </c:pt>
                <c:pt idx="18">
                  <c:v>24411.119192075341</c:v>
                </c:pt>
                <c:pt idx="19">
                  <c:v>24411.119192075341</c:v>
                </c:pt>
                <c:pt idx="20">
                  <c:v>24583.98448914539</c:v>
                </c:pt>
                <c:pt idx="21">
                  <c:v>24583.98448914539</c:v>
                </c:pt>
                <c:pt idx="22">
                  <c:v>24583.98448914539</c:v>
                </c:pt>
                <c:pt idx="23">
                  <c:v>24583.98448914539</c:v>
                </c:pt>
                <c:pt idx="24">
                  <c:v>24583.98448914539</c:v>
                </c:pt>
                <c:pt idx="25">
                  <c:v>25209.309625401154</c:v>
                </c:pt>
              </c:numCache>
            </c:numRef>
          </c:val>
          <c:smooth val="0"/>
        </c:ser>
        <c:ser>
          <c:idx val="2"/>
          <c:order val="2"/>
          <c:spPr>
            <a:ln w="25400" cmpd="sng">
              <a:solidFill>
                <a:srgbClr val="993366"/>
              </a:solidFill>
            </a:ln>
          </c:spPr>
          <c:marker>
            <c:symbol val="none"/>
          </c:marker>
          <c:cat>
            <c:numRef>
              <c:f>'Mit w RECs Data Scenario 2'!$L$5:$AK$5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2'!$L$8:$AK$8</c:f>
              <c:numCache>
                <c:formatCode>_(* #,##0_);_(* \(#,##0\);_(* "-"??_);_(@_)</c:formatCode>
                <c:ptCount val="26"/>
                <c:pt idx="0">
                  <c:v>19093.2</c:v>
                </c:pt>
                <c:pt idx="1">
                  <c:v>19024.215252429734</c:v>
                </c:pt>
                <c:pt idx="2">
                  <c:v>18870.015252429737</c:v>
                </c:pt>
                <c:pt idx="3">
                  <c:v>18715.815252429737</c:v>
                </c:pt>
                <c:pt idx="4">
                  <c:v>19356.062414172859</c:v>
                </c:pt>
                <c:pt idx="5">
                  <c:v>19201.862414172858</c:v>
                </c:pt>
                <c:pt idx="6">
                  <c:v>19047.662414172857</c:v>
                </c:pt>
                <c:pt idx="7">
                  <c:v>18458.241762964644</c:v>
                </c:pt>
                <c:pt idx="8">
                  <c:v>19500.31644377251</c:v>
                </c:pt>
                <c:pt idx="9">
                  <c:v>19346.116443772509</c:v>
                </c:pt>
                <c:pt idx="10">
                  <c:v>19529.668892970105</c:v>
                </c:pt>
                <c:pt idx="11">
                  <c:v>19471.310419070593</c:v>
                </c:pt>
                <c:pt idx="12">
                  <c:v>22333.888382897945</c:v>
                </c:pt>
                <c:pt idx="13">
                  <c:v>22179.688382897944</c:v>
                </c:pt>
                <c:pt idx="14">
                  <c:v>21283.21177857733</c:v>
                </c:pt>
                <c:pt idx="15">
                  <c:v>21426.325456997114</c:v>
                </c:pt>
                <c:pt idx="16">
                  <c:v>21569.439135416906</c:v>
                </c:pt>
                <c:pt idx="17">
                  <c:v>21585.213876999154</c:v>
                </c:pt>
                <c:pt idx="18">
                  <c:v>21481.319192075342</c:v>
                </c:pt>
                <c:pt idx="19">
                  <c:v>21327.119192075341</c:v>
                </c:pt>
                <c:pt idx="20">
                  <c:v>21345.78448914539</c:v>
                </c:pt>
                <c:pt idx="21">
                  <c:v>21191.584489145389</c:v>
                </c:pt>
                <c:pt idx="22">
                  <c:v>21037.384489145392</c:v>
                </c:pt>
                <c:pt idx="23">
                  <c:v>20883.184489145391</c:v>
                </c:pt>
                <c:pt idx="24">
                  <c:v>20728.98448914539</c:v>
                </c:pt>
                <c:pt idx="25">
                  <c:v>21200.109625401154</c:v>
                </c:pt>
              </c:numCache>
            </c:numRef>
          </c:val>
          <c:smooth val="0"/>
        </c:ser>
        <c:ser>
          <c:idx val="3"/>
          <c:order val="3"/>
          <c:spPr>
            <a:ln w="25400" cmpd="sng">
              <a:solidFill>
                <a:srgbClr val="808080"/>
              </a:solidFill>
            </a:ln>
          </c:spPr>
          <c:marker>
            <c:symbol val="none"/>
          </c:marker>
          <c:cat>
            <c:numRef>
              <c:f>'Mit w RECs Data Scenario 2'!$L$5:$AK$5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2'!$L$9:$AK$9</c:f>
              <c:numCache>
                <c:formatCode>_(* #,##0_);_(* \(#,##0\);_(* "-"??_);_(@_)</c:formatCode>
                <c:ptCount val="26"/>
                <c:pt idx="0">
                  <c:v>18932.400000000001</c:v>
                </c:pt>
                <c:pt idx="1">
                  <c:v>18702.615252429736</c:v>
                </c:pt>
                <c:pt idx="2">
                  <c:v>18387.615252429736</c:v>
                </c:pt>
                <c:pt idx="3">
                  <c:v>18072.615252429736</c:v>
                </c:pt>
                <c:pt idx="4">
                  <c:v>18552.062414172859</c:v>
                </c:pt>
                <c:pt idx="5">
                  <c:v>18237.062414172859</c:v>
                </c:pt>
                <c:pt idx="6">
                  <c:v>17922.062414172859</c:v>
                </c:pt>
                <c:pt idx="7">
                  <c:v>17171.841762964643</c:v>
                </c:pt>
                <c:pt idx="8">
                  <c:v>18053.116443772509</c:v>
                </c:pt>
                <c:pt idx="9">
                  <c:v>17738.116443772509</c:v>
                </c:pt>
                <c:pt idx="10">
                  <c:v>17760.868892970106</c:v>
                </c:pt>
                <c:pt idx="11">
                  <c:v>17863.310419070593</c:v>
                </c:pt>
                <c:pt idx="12">
                  <c:v>20725.888382897945</c:v>
                </c:pt>
                <c:pt idx="13">
                  <c:v>20571.688382897944</c:v>
                </c:pt>
                <c:pt idx="14">
                  <c:v>19675.21177857733</c:v>
                </c:pt>
                <c:pt idx="15">
                  <c:v>19818.325456997114</c:v>
                </c:pt>
                <c:pt idx="16">
                  <c:v>19961.439135416906</c:v>
                </c:pt>
                <c:pt idx="17">
                  <c:v>19977.213876999154</c:v>
                </c:pt>
                <c:pt idx="18">
                  <c:v>19873.319192075342</c:v>
                </c:pt>
                <c:pt idx="19">
                  <c:v>19719.119192075341</c:v>
                </c:pt>
                <c:pt idx="20">
                  <c:v>19737.78448914539</c:v>
                </c:pt>
                <c:pt idx="21">
                  <c:v>19583.584489145389</c:v>
                </c:pt>
                <c:pt idx="22">
                  <c:v>19429.384489145392</c:v>
                </c:pt>
                <c:pt idx="23">
                  <c:v>19275.184489145391</c:v>
                </c:pt>
                <c:pt idx="24">
                  <c:v>19120.98448914539</c:v>
                </c:pt>
                <c:pt idx="25">
                  <c:v>19592.109625401154</c:v>
                </c:pt>
              </c:numCache>
            </c:numRef>
          </c:val>
          <c:smooth val="0"/>
        </c:ser>
        <c:ser>
          <c:idx val="4"/>
          <c:order val="4"/>
          <c:spPr>
            <a:ln w="25400" cmpd="sng">
              <a:solidFill>
                <a:srgbClr val="666699"/>
              </a:solidFill>
            </a:ln>
          </c:spPr>
          <c:marker>
            <c:symbol val="none"/>
          </c:marker>
          <c:cat>
            <c:numRef>
              <c:f>'Mit w RECs Data Scenario 2'!$L$5:$AK$5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2'!$L$10:$AK$10</c:f>
              <c:numCache>
                <c:formatCode>_(* #,##0_);_(* \(#,##0\);_(* "-"??_);_(@_)</c:formatCode>
                <c:ptCount val="26"/>
                <c:pt idx="0">
                  <c:v>18820.400000000001</c:v>
                </c:pt>
                <c:pt idx="1">
                  <c:v>18478.615252429736</c:v>
                </c:pt>
                <c:pt idx="2">
                  <c:v>18051.615252429736</c:v>
                </c:pt>
                <c:pt idx="3">
                  <c:v>17624.615252429736</c:v>
                </c:pt>
                <c:pt idx="4">
                  <c:v>17992.062414172859</c:v>
                </c:pt>
                <c:pt idx="5">
                  <c:v>17565.062414172859</c:v>
                </c:pt>
                <c:pt idx="6">
                  <c:v>17138.062414172859</c:v>
                </c:pt>
                <c:pt idx="7">
                  <c:v>16275.841762964643</c:v>
                </c:pt>
                <c:pt idx="8">
                  <c:v>17045.116443772509</c:v>
                </c:pt>
                <c:pt idx="9">
                  <c:v>16618.116443772509</c:v>
                </c:pt>
                <c:pt idx="10">
                  <c:v>16640.868892970106</c:v>
                </c:pt>
                <c:pt idx="11">
                  <c:v>16743.310419070593</c:v>
                </c:pt>
                <c:pt idx="12">
                  <c:v>19605.888382897945</c:v>
                </c:pt>
                <c:pt idx="13">
                  <c:v>19451.688382897944</c:v>
                </c:pt>
                <c:pt idx="14">
                  <c:v>18555.21177857733</c:v>
                </c:pt>
                <c:pt idx="15">
                  <c:v>18698.325456997114</c:v>
                </c:pt>
                <c:pt idx="16">
                  <c:v>18841.439135416906</c:v>
                </c:pt>
                <c:pt idx="17">
                  <c:v>18857.213876999154</c:v>
                </c:pt>
                <c:pt idx="18">
                  <c:v>18753.319192075342</c:v>
                </c:pt>
                <c:pt idx="19">
                  <c:v>18599.119192075341</c:v>
                </c:pt>
                <c:pt idx="20">
                  <c:v>18617.78448914539</c:v>
                </c:pt>
                <c:pt idx="21">
                  <c:v>18463.584489145389</c:v>
                </c:pt>
                <c:pt idx="22">
                  <c:v>18309.384489145392</c:v>
                </c:pt>
                <c:pt idx="23">
                  <c:v>18155.184489145391</c:v>
                </c:pt>
                <c:pt idx="24">
                  <c:v>18000.98448914539</c:v>
                </c:pt>
                <c:pt idx="25">
                  <c:v>18472.109625401154</c:v>
                </c:pt>
              </c:numCache>
            </c:numRef>
          </c:val>
          <c:smooth val="0"/>
        </c:ser>
        <c:ser>
          <c:idx val="5"/>
          <c:order val="5"/>
          <c:spPr>
            <a:ln w="25400" cmpd="sng">
              <a:solidFill>
                <a:srgbClr val="339966"/>
              </a:solidFill>
            </a:ln>
          </c:spPr>
          <c:marker>
            <c:symbol val="none"/>
          </c:marker>
          <c:cat>
            <c:numRef>
              <c:f>'Mit w RECs Data Scenario 2'!$L$5:$AK$5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2'!$L$11:$AK$11</c:f>
              <c:numCache>
                <c:formatCode>_(* #,##0_);_(* \(#,##0\);_(*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 w="25400" cmpd="sng">
              <a:solidFill>
                <a:srgbClr val="FFCC99"/>
              </a:solidFill>
            </a:ln>
          </c:spPr>
          <c:marker>
            <c:symbol val="none"/>
          </c:marker>
          <c:cat>
            <c:numRef>
              <c:f>'Mit w RECs Data Scenario 2'!$L$5:$AK$5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2'!$L$12:$AK$12</c:f>
              <c:numCache>
                <c:formatCode>_(* #,##0_);_(* \(#,##0\);_(*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10216</c:v>
                </c:pt>
                <c:pt idx="11">
                  <c:v>10216</c:v>
                </c:pt>
                <c:pt idx="12">
                  <c:v>12426</c:v>
                </c:pt>
                <c:pt idx="13">
                  <c:v>12435.688382897944</c:v>
                </c:pt>
                <c:pt idx="14">
                  <c:v>11539.21177857733</c:v>
                </c:pt>
                <c:pt idx="15">
                  <c:v>11682.325456997114</c:v>
                </c:pt>
                <c:pt idx="16">
                  <c:v>11825.439135416906</c:v>
                </c:pt>
                <c:pt idx="17">
                  <c:v>11841.213876999154</c:v>
                </c:pt>
                <c:pt idx="18">
                  <c:v>11737.319192075342</c:v>
                </c:pt>
                <c:pt idx="19">
                  <c:v>11583.119192075341</c:v>
                </c:pt>
                <c:pt idx="20">
                  <c:v>11601.78448914539</c:v>
                </c:pt>
                <c:pt idx="21">
                  <c:v>11447.584489145389</c:v>
                </c:pt>
                <c:pt idx="22">
                  <c:v>11293.384489145392</c:v>
                </c:pt>
                <c:pt idx="23">
                  <c:v>11139.184489145391</c:v>
                </c:pt>
                <c:pt idx="24">
                  <c:v>10984.98448914539</c:v>
                </c:pt>
                <c:pt idx="25">
                  <c:v>11456.109625401154</c:v>
                </c:pt>
              </c:numCache>
            </c:numRef>
          </c:val>
          <c:smooth val="0"/>
        </c:ser>
        <c:ser>
          <c:idx val="7"/>
          <c:order val="7"/>
          <c:spPr>
            <a:ln w="25400" cmpd="sng">
              <a:solidFill>
                <a:srgbClr val="FF6600"/>
              </a:solidFill>
            </a:ln>
          </c:spPr>
          <c:marker>
            <c:symbol val="none"/>
          </c:marker>
          <c:cat>
            <c:numRef>
              <c:f>'Mit w RECs Data Scenario 2'!$L$5:$AK$5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2'!$L$13:$AK$13</c:f>
              <c:numCache>
                <c:formatCode>_(* #,##0_);_(* \(#,##0\);_(*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9410</c:v>
                </c:pt>
                <c:pt idx="10">
                  <c:v>9400</c:v>
                </c:pt>
                <c:pt idx="11">
                  <c:v>9400</c:v>
                </c:pt>
                <c:pt idx="12">
                  <c:v>11610</c:v>
                </c:pt>
                <c:pt idx="13">
                  <c:v>11619.688382897944</c:v>
                </c:pt>
                <c:pt idx="14">
                  <c:v>10723.21177857733</c:v>
                </c:pt>
                <c:pt idx="15">
                  <c:v>10866.325456997114</c:v>
                </c:pt>
                <c:pt idx="16">
                  <c:v>11009.439135416906</c:v>
                </c:pt>
                <c:pt idx="17">
                  <c:v>11025.213876999154</c:v>
                </c:pt>
                <c:pt idx="18">
                  <c:v>10921.319192075342</c:v>
                </c:pt>
                <c:pt idx="19">
                  <c:v>10767.119192075341</c:v>
                </c:pt>
                <c:pt idx="20">
                  <c:v>10785.78448914539</c:v>
                </c:pt>
                <c:pt idx="21">
                  <c:v>10631.584489145389</c:v>
                </c:pt>
                <c:pt idx="22">
                  <c:v>10477.384489145392</c:v>
                </c:pt>
                <c:pt idx="23">
                  <c:v>10323.184489145391</c:v>
                </c:pt>
                <c:pt idx="24">
                  <c:v>10168.98448914539</c:v>
                </c:pt>
                <c:pt idx="25">
                  <c:v>10640.109625401154</c:v>
                </c:pt>
              </c:numCache>
            </c:numRef>
          </c:val>
          <c:smooth val="0"/>
        </c:ser>
        <c:ser>
          <c:idx val="8"/>
          <c:order val="8"/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numRef>
              <c:f>'Mit w RECs Data Scenario 2'!$L$5:$AK$5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2'!$L$14:$AK$14</c:f>
              <c:numCache>
                <c:formatCode>_(* #,##0_);_(* \(#,##0\);_(*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2870</c:v>
                </c:pt>
                <c:pt idx="10">
                  <c:v>2784</c:v>
                </c:pt>
                <c:pt idx="11">
                  <c:v>2769</c:v>
                </c:pt>
                <c:pt idx="12">
                  <c:v>2786</c:v>
                </c:pt>
                <c:pt idx="13">
                  <c:v>2786</c:v>
                </c:pt>
                <c:pt idx="14">
                  <c:v>2721</c:v>
                </c:pt>
                <c:pt idx="15">
                  <c:v>2736</c:v>
                </c:pt>
                <c:pt idx="16">
                  <c:v>2750</c:v>
                </c:pt>
                <c:pt idx="17">
                  <c:v>2758</c:v>
                </c:pt>
                <c:pt idx="18">
                  <c:v>2758</c:v>
                </c:pt>
                <c:pt idx="19">
                  <c:v>2758</c:v>
                </c:pt>
                <c:pt idx="20">
                  <c:v>2762</c:v>
                </c:pt>
                <c:pt idx="21">
                  <c:v>2762</c:v>
                </c:pt>
                <c:pt idx="22">
                  <c:v>2762</c:v>
                </c:pt>
                <c:pt idx="23">
                  <c:v>2762</c:v>
                </c:pt>
                <c:pt idx="24">
                  <c:v>2762</c:v>
                </c:pt>
                <c:pt idx="25">
                  <c:v>2792</c:v>
                </c:pt>
              </c:numCache>
            </c:numRef>
          </c:val>
          <c:smooth val="0"/>
        </c:ser>
        <c:ser>
          <c:idx val="9"/>
          <c:order val="9"/>
          <c:spPr>
            <a:ln w="25400" cmpd="sng">
              <a:solidFill>
                <a:srgbClr val="808000"/>
              </a:solidFill>
            </a:ln>
          </c:spPr>
          <c:marker>
            <c:symbol val="none"/>
          </c:marker>
          <c:cat>
            <c:numRef>
              <c:f>'Mit w RECs Data Scenario 2'!$L$5:$AK$5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2'!$L$15:$AK$15</c:f>
              <c:numCache>
                <c:formatCode>_(* #,##0_);_(* \(#,##0\);_(* "-"??_);_(@_)</c:formatCode>
                <c:ptCount val="26"/>
                <c:pt idx="0">
                  <c:v>9648.8374000000003</c:v>
                </c:pt>
                <c:pt idx="1">
                  <c:v>9607.1912121901132</c:v>
                </c:pt>
                <c:pt idx="2">
                  <c:v>9590.772866968573</c:v>
                </c:pt>
                <c:pt idx="3">
                  <c:v>9576.8988669685732</c:v>
                </c:pt>
                <c:pt idx="4">
                  <c:v>9728.3121927688735</c:v>
                </c:pt>
                <c:pt idx="5">
                  <c:v>9714.4381927688737</c:v>
                </c:pt>
                <c:pt idx="6">
                  <c:v>9700.5641927688739</c:v>
                </c:pt>
                <c:pt idx="7">
                  <c:v>9409.8356873498124</c:v>
                </c:pt>
                <c:pt idx="8">
                  <c:v>9410</c:v>
                </c:pt>
                <c:pt idx="9">
                  <c:v>9410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484848"/>
        <c:axId val="345485408"/>
      </c:lineChart>
      <c:catAx>
        <c:axId val="34548484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45485408"/>
        <c:crosses val="autoZero"/>
        <c:auto val="1"/>
        <c:lblAlgn val="ctr"/>
        <c:lblOffset val="100"/>
        <c:noMultiLvlLbl val="1"/>
      </c:catAx>
      <c:valAx>
        <c:axId val="345485408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MTCDE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4548484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en-US"/>
              <a:t>Emissions to be Mitigated Via RECs and Offsets (Option 2)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FFCC99"/>
              </a:solidFill>
            </a:ln>
          </c:spPr>
          <c:marker>
            <c:symbol val="none"/>
          </c:marker>
          <c:cat>
            <c:numRef>
              <c:f>'Mitigation Data Scenario 2'!$K$5:$AP$5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2'!$K$15:$AP$15</c:f>
              <c:numCache>
                <c:formatCode>_(* #,##0_);_(* \(#,##0\);_(* "-"??_);_(@_)</c:formatCode>
                <c:ptCount val="32"/>
                <c:pt idx="0">
                  <c:v>19247.400000000001</c:v>
                </c:pt>
                <c:pt idx="1">
                  <c:v>19247.400000000001</c:v>
                </c:pt>
                <c:pt idx="2">
                  <c:v>19332.615252429736</c:v>
                </c:pt>
                <c:pt idx="3">
                  <c:v>19332.615252429736</c:v>
                </c:pt>
                <c:pt idx="4">
                  <c:v>19332.615252429736</c:v>
                </c:pt>
                <c:pt idx="5">
                  <c:v>20127.062414172859</c:v>
                </c:pt>
                <c:pt idx="6">
                  <c:v>20127.062414172859</c:v>
                </c:pt>
                <c:pt idx="7">
                  <c:v>20127.062414172859</c:v>
                </c:pt>
                <c:pt idx="8">
                  <c:v>19691.841762964643</c:v>
                </c:pt>
                <c:pt idx="9">
                  <c:v>20888.116443772509</c:v>
                </c:pt>
                <c:pt idx="10">
                  <c:v>20888.116443772509</c:v>
                </c:pt>
                <c:pt idx="11">
                  <c:v>21071.668892970105</c:v>
                </c:pt>
                <c:pt idx="12">
                  <c:v>21321.710419070594</c:v>
                </c:pt>
                <c:pt idx="13">
                  <c:v>24338.488382897944</c:v>
                </c:pt>
                <c:pt idx="14">
                  <c:v>24338.488382897944</c:v>
                </c:pt>
                <c:pt idx="15">
                  <c:v>23596.21177857733</c:v>
                </c:pt>
                <c:pt idx="16">
                  <c:v>23893.525456997115</c:v>
                </c:pt>
                <c:pt idx="17">
                  <c:v>24190.839135416907</c:v>
                </c:pt>
                <c:pt idx="18">
                  <c:v>24360.813876999153</c:v>
                </c:pt>
                <c:pt idx="19">
                  <c:v>24411.119192075341</c:v>
                </c:pt>
                <c:pt idx="20">
                  <c:v>24411.119192075341</c:v>
                </c:pt>
                <c:pt idx="21">
                  <c:v>24583.98448914539</c:v>
                </c:pt>
                <c:pt idx="22">
                  <c:v>24583.98448914539</c:v>
                </c:pt>
                <c:pt idx="23">
                  <c:v>24583.98448914539</c:v>
                </c:pt>
                <c:pt idx="24">
                  <c:v>24583.98448914539</c:v>
                </c:pt>
                <c:pt idx="25">
                  <c:v>24583.98448914539</c:v>
                </c:pt>
                <c:pt idx="26">
                  <c:v>25209.309625401154</c:v>
                </c:pt>
                <c:pt idx="27">
                  <c:v>25209.309625401154</c:v>
                </c:pt>
                <c:pt idx="28">
                  <c:v>25209.309625401154</c:v>
                </c:pt>
                <c:pt idx="29">
                  <c:v>25209.309625401154</c:v>
                </c:pt>
                <c:pt idx="30">
                  <c:v>26198.46029547846</c:v>
                </c:pt>
                <c:pt idx="31">
                  <c:v>26198.46029547846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666699"/>
              </a:solidFill>
            </a:ln>
          </c:spPr>
          <c:marker>
            <c:symbol val="none"/>
          </c:marker>
          <c:cat>
            <c:numRef>
              <c:f>'Mitigation Data Scenario 2'!$K$5:$AP$5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2'!$K$7:$AP$7</c:f>
              <c:numCache>
                <c:formatCode>_(* #,##0_);_(* \(#,##0\);_(* "-"??_);_(@_)</c:formatCode>
                <c:ptCount val="32"/>
                <c:pt idx="0" formatCode="0">
                  <c:v>725.6</c:v>
                </c:pt>
                <c:pt idx="1">
                  <c:v>725.6</c:v>
                </c:pt>
                <c:pt idx="2">
                  <c:v>725.6</c:v>
                </c:pt>
                <c:pt idx="3">
                  <c:v>725.6</c:v>
                </c:pt>
                <c:pt idx="4">
                  <c:v>725.6</c:v>
                </c:pt>
                <c:pt idx="5">
                  <c:v>725.6</c:v>
                </c:pt>
                <c:pt idx="6">
                  <c:v>725.6</c:v>
                </c:pt>
                <c:pt idx="7">
                  <c:v>725.6</c:v>
                </c:pt>
                <c:pt idx="8">
                  <c:v>725.6</c:v>
                </c:pt>
                <c:pt idx="9">
                  <c:v>725.6</c:v>
                </c:pt>
                <c:pt idx="10">
                  <c:v>725.6</c:v>
                </c:pt>
                <c:pt idx="11">
                  <c:v>725.6</c:v>
                </c:pt>
                <c:pt idx="12">
                  <c:v>725.6</c:v>
                </c:pt>
                <c:pt idx="13">
                  <c:v>725.6</c:v>
                </c:pt>
                <c:pt idx="14">
                  <c:v>725.6</c:v>
                </c:pt>
                <c:pt idx="15">
                  <c:v>725.6</c:v>
                </c:pt>
                <c:pt idx="16">
                  <c:v>725.6</c:v>
                </c:pt>
                <c:pt idx="17">
                  <c:v>725.6</c:v>
                </c:pt>
                <c:pt idx="18">
                  <c:v>725.6</c:v>
                </c:pt>
                <c:pt idx="19">
                  <c:v>725.6</c:v>
                </c:pt>
                <c:pt idx="20">
                  <c:v>725.6</c:v>
                </c:pt>
                <c:pt idx="21">
                  <c:v>725.6</c:v>
                </c:pt>
                <c:pt idx="22">
                  <c:v>725.6</c:v>
                </c:pt>
                <c:pt idx="23">
                  <c:v>725.6</c:v>
                </c:pt>
                <c:pt idx="24">
                  <c:v>725.6</c:v>
                </c:pt>
                <c:pt idx="25">
                  <c:v>725.6</c:v>
                </c:pt>
                <c:pt idx="26">
                  <c:v>725.6</c:v>
                </c:pt>
                <c:pt idx="27">
                  <c:v>725.6</c:v>
                </c:pt>
                <c:pt idx="28">
                  <c:v>725.6</c:v>
                </c:pt>
                <c:pt idx="29">
                  <c:v>725.6</c:v>
                </c:pt>
                <c:pt idx="30">
                  <c:v>725.6</c:v>
                </c:pt>
                <c:pt idx="31">
                  <c:v>725.6</c:v>
                </c:pt>
              </c:numCache>
            </c:numRef>
          </c:val>
          <c:smooth val="0"/>
        </c:ser>
        <c:ser>
          <c:idx val="2"/>
          <c:order val="2"/>
          <c:spPr>
            <a:ln w="25400" cmpd="sng">
              <a:solidFill>
                <a:srgbClr val="993366"/>
              </a:solidFill>
            </a:ln>
          </c:spPr>
          <c:marker>
            <c:symbol val="none"/>
          </c:marker>
          <c:cat>
            <c:numRef>
              <c:f>'Mitigation Data Scenario 2'!$K$5:$AP$5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2'!$K$8:$AP$8</c:f>
              <c:numCache>
                <c:formatCode>0</c:formatCode>
                <c:ptCount val="32"/>
                <c:pt idx="0">
                  <c:v>1022.5</c:v>
                </c:pt>
                <c:pt idx="1">
                  <c:v>1022.5</c:v>
                </c:pt>
                <c:pt idx="2">
                  <c:v>1022.5</c:v>
                </c:pt>
                <c:pt idx="3">
                  <c:v>1022.5</c:v>
                </c:pt>
                <c:pt idx="4">
                  <c:v>1022.5</c:v>
                </c:pt>
                <c:pt idx="5">
                  <c:v>1022.5</c:v>
                </c:pt>
                <c:pt idx="6">
                  <c:v>1022.5</c:v>
                </c:pt>
                <c:pt idx="7">
                  <c:v>1022.5</c:v>
                </c:pt>
                <c:pt idx="8">
                  <c:v>1022.5</c:v>
                </c:pt>
                <c:pt idx="9">
                  <c:v>1022.5</c:v>
                </c:pt>
                <c:pt idx="10">
                  <c:v>1022.5</c:v>
                </c:pt>
                <c:pt idx="11">
                  <c:v>1022.5</c:v>
                </c:pt>
                <c:pt idx="12">
                  <c:v>1022.5</c:v>
                </c:pt>
                <c:pt idx="13">
                  <c:v>1022.5</c:v>
                </c:pt>
                <c:pt idx="14">
                  <c:v>1022.5</c:v>
                </c:pt>
                <c:pt idx="15">
                  <c:v>1022.5</c:v>
                </c:pt>
                <c:pt idx="16">
                  <c:v>1022.5</c:v>
                </c:pt>
                <c:pt idx="17">
                  <c:v>1022.5</c:v>
                </c:pt>
                <c:pt idx="18">
                  <c:v>1022.5</c:v>
                </c:pt>
                <c:pt idx="19">
                  <c:v>1022.5</c:v>
                </c:pt>
                <c:pt idx="20">
                  <c:v>1022.5</c:v>
                </c:pt>
                <c:pt idx="21">
                  <c:v>1022.5</c:v>
                </c:pt>
                <c:pt idx="22">
                  <c:v>1022.5</c:v>
                </c:pt>
                <c:pt idx="23">
                  <c:v>1022.5</c:v>
                </c:pt>
                <c:pt idx="24">
                  <c:v>1022.5</c:v>
                </c:pt>
                <c:pt idx="25">
                  <c:v>1022.5</c:v>
                </c:pt>
                <c:pt idx="26">
                  <c:v>1022.5</c:v>
                </c:pt>
                <c:pt idx="27">
                  <c:v>1022.5</c:v>
                </c:pt>
                <c:pt idx="28">
                  <c:v>1022.5</c:v>
                </c:pt>
                <c:pt idx="29">
                  <c:v>1022.5</c:v>
                </c:pt>
                <c:pt idx="30">
                  <c:v>1022.5</c:v>
                </c:pt>
                <c:pt idx="31">
                  <c:v>1022.5</c:v>
                </c:pt>
              </c:numCache>
            </c:numRef>
          </c:val>
          <c:smooth val="0"/>
        </c:ser>
        <c:ser>
          <c:idx val="3"/>
          <c:order val="3"/>
          <c:spPr>
            <a:ln w="25400" cmpd="sng">
              <a:solidFill>
                <a:srgbClr val="666699"/>
              </a:solidFill>
            </a:ln>
          </c:spPr>
          <c:marker>
            <c:symbol val="none"/>
          </c:marker>
          <c:cat>
            <c:numRef>
              <c:f>'Mitigation Data Scenario 2'!$K$5:$AP$5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2'!$K$9:$AP$9</c:f>
              <c:numCache>
                <c:formatCode>_(* #,##0_);_(* \(#,##0\);_(* "-"??_);_(@_)</c:formatCode>
                <c:ptCount val="32"/>
                <c:pt idx="0">
                  <c:v>580.70000000000005</c:v>
                </c:pt>
                <c:pt idx="1">
                  <c:v>294.09999999999997</c:v>
                </c:pt>
                <c:pt idx="2">
                  <c:v>295.49736986322739</c:v>
                </c:pt>
                <c:pt idx="3">
                  <c:v>292.95302464168628</c:v>
                </c:pt>
                <c:pt idx="4">
                  <c:v>292.95302464168628</c:v>
                </c:pt>
                <c:pt idx="5">
                  <c:v>305.85683755339676</c:v>
                </c:pt>
                <c:pt idx="6">
                  <c:v>305.85683755339676</c:v>
                </c:pt>
                <c:pt idx="7">
                  <c:v>305.85683755339676</c:v>
                </c:pt>
                <c:pt idx="8">
                  <c:v>298.78951848175228</c:v>
                </c:pt>
                <c:pt idx="9">
                  <c:v>318.22233755437196</c:v>
                </c:pt>
                <c:pt idx="10">
                  <c:v>318.22233755437196</c:v>
                </c:pt>
                <c:pt idx="11">
                  <c:v>321.20475728280309</c:v>
                </c:pt>
                <c:pt idx="12">
                  <c:v>325.26749623174953</c:v>
                </c:pt>
                <c:pt idx="13">
                  <c:v>338.90777291293273</c:v>
                </c:pt>
                <c:pt idx="14">
                  <c:v>338.90777291293273</c:v>
                </c:pt>
                <c:pt idx="15">
                  <c:v>326.85510381102642</c:v>
                </c:pt>
                <c:pt idx="16">
                  <c:v>331.68422306170595</c:v>
                </c:pt>
                <c:pt idx="17">
                  <c:v>336.51334231238548</c:v>
                </c:pt>
                <c:pt idx="18">
                  <c:v>339.27415809814681</c:v>
                </c:pt>
                <c:pt idx="19">
                  <c:v>339.27415809814681</c:v>
                </c:pt>
                <c:pt idx="20">
                  <c:v>339.27415809814681</c:v>
                </c:pt>
                <c:pt idx="21">
                  <c:v>342.08280340153431</c:v>
                </c:pt>
                <c:pt idx="22">
                  <c:v>342.08280340153431</c:v>
                </c:pt>
                <c:pt idx="23">
                  <c:v>342.08280340153431</c:v>
                </c:pt>
                <c:pt idx="24">
                  <c:v>342.08280340153431</c:v>
                </c:pt>
                <c:pt idx="25">
                  <c:v>342.08280340153431</c:v>
                </c:pt>
                <c:pt idx="26">
                  <c:v>352.23965077390039</c:v>
                </c:pt>
                <c:pt idx="27">
                  <c:v>352.23965077390039</c:v>
                </c:pt>
                <c:pt idx="28">
                  <c:v>352.23965077390039</c:v>
                </c:pt>
                <c:pt idx="29">
                  <c:v>352.23965077390039</c:v>
                </c:pt>
                <c:pt idx="30">
                  <c:v>368.30593661746127</c:v>
                </c:pt>
                <c:pt idx="31">
                  <c:v>368.30593661746127</c:v>
                </c:pt>
              </c:numCache>
            </c:numRef>
          </c:val>
          <c:smooth val="0"/>
        </c:ser>
        <c:ser>
          <c:idx val="4"/>
          <c:order val="4"/>
          <c:spPr>
            <a:ln w="25400" cmpd="sng">
              <a:solidFill>
                <a:srgbClr val="666699"/>
              </a:solidFill>
            </a:ln>
          </c:spPr>
          <c:marker>
            <c:symbol val="none"/>
          </c:marker>
          <c:cat>
            <c:numRef>
              <c:f>'Mitigation Data Scenario 2'!$K$5:$AP$5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2'!$K$12:$AP$12</c:f>
              <c:numCache>
                <c:formatCode>0</c:formatCode>
                <c:ptCount val="32"/>
                <c:pt idx="0">
                  <c:v>847.6</c:v>
                </c:pt>
                <c:pt idx="1">
                  <c:v>744.63739999999996</c:v>
                </c:pt>
                <c:pt idx="2">
                  <c:v>727.84399480093828</c:v>
                </c:pt>
                <c:pt idx="3">
                  <c:v>713.96999480093825</c:v>
                </c:pt>
                <c:pt idx="4">
                  <c:v>700.09599480093834</c:v>
                </c:pt>
                <c:pt idx="5">
                  <c:v>712.61613856042538</c:v>
                </c:pt>
                <c:pt idx="6">
                  <c:v>698.74213856042547</c:v>
                </c:pt>
                <c:pt idx="7">
                  <c:v>684.86813856042545</c:v>
                </c:pt>
                <c:pt idx="8">
                  <c:v>645.50933387542716</c:v>
                </c:pt>
                <c:pt idx="9">
                  <c:v>656.80364194578613</c:v>
                </c:pt>
                <c:pt idx="10">
                  <c:v>642.9296419457861</c:v>
                </c:pt>
                <c:pt idx="11">
                  <c:v>553.42619874943603</c:v>
                </c:pt>
                <c:pt idx="12">
                  <c:v>552.7001790536882</c:v>
                </c:pt>
                <c:pt idx="13">
                  <c:v>564.52431307213794</c:v>
                </c:pt>
                <c:pt idx="14">
                  <c:v>564.52431307213794</c:v>
                </c:pt>
                <c:pt idx="15">
                  <c:v>511.42688046682633</c:v>
                </c:pt>
                <c:pt idx="16">
                  <c:v>521.30461727270244</c:v>
                </c:pt>
                <c:pt idx="17">
                  <c:v>531.18235407857844</c:v>
                </c:pt>
                <c:pt idx="18">
                  <c:v>536.8294732085152</c:v>
                </c:pt>
                <c:pt idx="19">
                  <c:v>536.8294732085152</c:v>
                </c:pt>
                <c:pt idx="20">
                  <c:v>536.8294732085152</c:v>
                </c:pt>
                <c:pt idx="21">
                  <c:v>537.04653549672389</c:v>
                </c:pt>
                <c:pt idx="22">
                  <c:v>537.04653549672389</c:v>
                </c:pt>
                <c:pt idx="23">
                  <c:v>537.04653549672389</c:v>
                </c:pt>
                <c:pt idx="24">
                  <c:v>537.04653549672389</c:v>
                </c:pt>
                <c:pt idx="25">
                  <c:v>537.04653549672389</c:v>
                </c:pt>
                <c:pt idx="26">
                  <c:v>557.82189015535425</c:v>
                </c:pt>
                <c:pt idx="27">
                  <c:v>557.82189015535425</c:v>
                </c:pt>
                <c:pt idx="28">
                  <c:v>557.82189015535425</c:v>
                </c:pt>
                <c:pt idx="29">
                  <c:v>557.82189015535425</c:v>
                </c:pt>
                <c:pt idx="30">
                  <c:v>590.68472388809641</c:v>
                </c:pt>
                <c:pt idx="31">
                  <c:v>590.68472388809641</c:v>
                </c:pt>
              </c:numCache>
            </c:numRef>
          </c:val>
          <c:smooth val="0"/>
        </c:ser>
        <c:ser>
          <c:idx val="5"/>
          <c:order val="5"/>
          <c:spPr>
            <a:ln w="25400" cmpd="sng">
              <a:solidFill>
                <a:srgbClr val="339966"/>
              </a:solidFill>
            </a:ln>
          </c:spPr>
          <c:marker>
            <c:symbol val="none"/>
          </c:marker>
          <c:cat>
            <c:numRef>
              <c:f>'Mitigation Data Scenario 2'!$K$5:$AP$5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2'!$K$13:$AP$13</c:f>
              <c:numCache>
                <c:formatCode>0</c:formatCode>
                <c:ptCount val="32"/>
                <c:pt idx="0">
                  <c:v>7502</c:v>
                </c:pt>
                <c:pt idx="1">
                  <c:v>6779</c:v>
                </c:pt>
                <c:pt idx="2">
                  <c:v>6753.2090321784372</c:v>
                </c:pt>
                <c:pt idx="3">
                  <c:v>6753.2090321784372</c:v>
                </c:pt>
                <c:pt idx="4">
                  <c:v>6753.2090321784372</c:v>
                </c:pt>
                <c:pt idx="5">
                  <c:v>6986.3834173571149</c:v>
                </c:pt>
                <c:pt idx="6">
                  <c:v>6986.3834173571149</c:v>
                </c:pt>
                <c:pt idx="7">
                  <c:v>6986.3834173571149</c:v>
                </c:pt>
                <c:pt idx="8">
                  <c:v>6761.242427068797</c:v>
                </c:pt>
                <c:pt idx="9">
                  <c:v>222.58738410814476</c:v>
                </c:pt>
                <c:pt idx="10">
                  <c:v>222.58738410814476</c:v>
                </c:pt>
                <c:pt idx="11">
                  <c:v>223.19188158270936</c:v>
                </c:pt>
                <c:pt idx="12">
                  <c:v>222.77798925393199</c:v>
                </c:pt>
                <c:pt idx="13">
                  <c:v>223.23620563503027</c:v>
                </c:pt>
                <c:pt idx="14">
                  <c:v>223.23620563503027</c:v>
                </c:pt>
                <c:pt idx="15">
                  <c:v>223.15634780256732</c:v>
                </c:pt>
                <c:pt idx="16">
                  <c:v>223.41946297140294</c:v>
                </c:pt>
                <c:pt idx="17">
                  <c:v>222.68257814023946</c:v>
                </c:pt>
                <c:pt idx="18">
                  <c:v>222.57105124823556</c:v>
                </c:pt>
                <c:pt idx="19">
                  <c:v>222.57105124823556</c:v>
                </c:pt>
                <c:pt idx="20">
                  <c:v>222.57105124823556</c:v>
                </c:pt>
                <c:pt idx="21">
                  <c:v>223.48864956321449</c:v>
                </c:pt>
                <c:pt idx="22">
                  <c:v>223.48864956321449</c:v>
                </c:pt>
                <c:pt idx="23">
                  <c:v>223.48864956321449</c:v>
                </c:pt>
                <c:pt idx="24">
                  <c:v>223.48864956321449</c:v>
                </c:pt>
                <c:pt idx="25">
                  <c:v>223.48864956321449</c:v>
                </c:pt>
                <c:pt idx="26">
                  <c:v>223.02483825483978</c:v>
                </c:pt>
                <c:pt idx="27">
                  <c:v>223.02483825483978</c:v>
                </c:pt>
                <c:pt idx="28">
                  <c:v>223.02483825483978</c:v>
                </c:pt>
                <c:pt idx="29">
                  <c:v>223.02483825483978</c:v>
                </c:pt>
                <c:pt idx="30">
                  <c:v>223.34571854886417</c:v>
                </c:pt>
                <c:pt idx="31">
                  <c:v>223.34571854886417</c:v>
                </c:pt>
              </c:numCache>
            </c:numRef>
          </c:val>
          <c:smooth val="0"/>
        </c:ser>
        <c:ser>
          <c:idx val="6"/>
          <c:order val="6"/>
          <c:spPr>
            <a:ln w="25400" cmpd="sng">
              <a:solidFill>
                <a:srgbClr val="808000"/>
              </a:solidFill>
            </a:ln>
          </c:spPr>
          <c:marker>
            <c:symbol val="none"/>
          </c:marker>
          <c:cat>
            <c:numRef>
              <c:f>'Mitigation Data Scenario 2'!$K$5:$AP$5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2'!$K$14:$AP$14</c:f>
              <c:numCache>
                <c:formatCode>_(* #,##0_);_(* \(#,##0\);_(* "-"??_);_(@_)</c:formatCode>
                <c:ptCount val="32"/>
                <c:pt idx="0">
                  <c:v>8569</c:v>
                </c:pt>
                <c:pt idx="1">
                  <c:v>7514</c:v>
                </c:pt>
                <c:pt idx="2">
                  <c:v>7344.5408153475109</c:v>
                </c:pt>
                <c:pt idx="3">
                  <c:v>7204.5408153475109</c:v>
                </c:pt>
                <c:pt idx="4">
                  <c:v>7064.5408153475109</c:v>
                </c:pt>
                <c:pt idx="5">
                  <c:v>7190.8792992979361</c:v>
                </c:pt>
                <c:pt idx="6">
                  <c:v>7050.8792992979361</c:v>
                </c:pt>
                <c:pt idx="7">
                  <c:v>6910.8792992979361</c:v>
                </c:pt>
                <c:pt idx="8">
                  <c:v>6513.7167898630396</c:v>
                </c:pt>
                <c:pt idx="9">
                  <c:v>6627.6855897657533</c:v>
                </c:pt>
                <c:pt idx="10">
                  <c:v>6487.6855897657533</c:v>
                </c:pt>
                <c:pt idx="11">
                  <c:v>5584.5226917198397</c:v>
                </c:pt>
                <c:pt idx="12">
                  <c:v>5577.1965595730398</c:v>
                </c:pt>
                <c:pt idx="13">
                  <c:v>5696.5117363485169</c:v>
                </c:pt>
                <c:pt idx="14">
                  <c:v>5696.5117363485169</c:v>
                </c:pt>
                <c:pt idx="15">
                  <c:v>5160.7152418448677</c:v>
                </c:pt>
                <c:pt idx="16">
                  <c:v>5260.3896798456353</c:v>
                </c:pt>
                <c:pt idx="17">
                  <c:v>5360.064117846403</c:v>
                </c:pt>
                <c:pt idx="18">
                  <c:v>5417.0481655753301</c:v>
                </c:pt>
                <c:pt idx="19">
                  <c:v>5417.0481655753301</c:v>
                </c:pt>
                <c:pt idx="20">
                  <c:v>5417.0481655753301</c:v>
                </c:pt>
                <c:pt idx="21">
                  <c:v>5419.2385014805641</c:v>
                </c:pt>
                <c:pt idx="22">
                  <c:v>5419.2385014805641</c:v>
                </c:pt>
                <c:pt idx="23">
                  <c:v>5419.2385014805641</c:v>
                </c:pt>
                <c:pt idx="24">
                  <c:v>5419.2385014805641</c:v>
                </c:pt>
                <c:pt idx="25">
                  <c:v>5419.2385014805641</c:v>
                </c:pt>
                <c:pt idx="26">
                  <c:v>5628.8788108512035</c:v>
                </c:pt>
                <c:pt idx="27">
                  <c:v>5628.8788108512035</c:v>
                </c:pt>
                <c:pt idx="28">
                  <c:v>5628.8788108512035</c:v>
                </c:pt>
                <c:pt idx="29">
                  <c:v>5628.8788108512035</c:v>
                </c:pt>
                <c:pt idx="30">
                  <c:v>5960.491663855666</c:v>
                </c:pt>
                <c:pt idx="31">
                  <c:v>5960.491663855666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491568"/>
        <c:axId val="345492128"/>
      </c:lineChart>
      <c:catAx>
        <c:axId val="34549156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45492128"/>
        <c:crosses val="autoZero"/>
        <c:auto val="1"/>
        <c:lblAlgn val="ctr"/>
        <c:lblOffset val="100"/>
        <c:noMultiLvlLbl val="1"/>
      </c:catAx>
      <c:valAx>
        <c:axId val="345492128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MTCDE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4549156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en-US"/>
              <a:t>Net Emissions Profile Mitigation Strategies Scenario 3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1"/>
        <c:ser>
          <c:idx val="0"/>
          <c:order val="0"/>
          <c:spPr>
            <a:solidFill>
              <a:srgbClr val="C0C0C0">
                <a:alpha val="80000"/>
              </a:srgbClr>
            </a:solidFill>
            <a:ln w="25400" cmpd="sng">
              <a:solidFill>
                <a:srgbClr val="C0C0C0"/>
              </a:solidFill>
            </a:ln>
          </c:spPr>
          <c:cat>
            <c:numRef>
              <c:f>'Mit w RECs Data Scenario 3'!$K$5:$AP$5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3'!$K$19:$AP$19</c:f>
              <c:numCache>
                <c:formatCode>_(* #,##0_);_(* \(#,##0\);_(* "-"??_);_(@_)</c:formatCode>
                <c:ptCount val="32"/>
                <c:pt idx="0" formatCode="0">
                  <c:v>725.6</c:v>
                </c:pt>
                <c:pt idx="1">
                  <c:v>725.6</c:v>
                </c:pt>
                <c:pt idx="2">
                  <c:v>725.6</c:v>
                </c:pt>
                <c:pt idx="3">
                  <c:v>725.6</c:v>
                </c:pt>
                <c:pt idx="4">
                  <c:v>725.6</c:v>
                </c:pt>
                <c:pt idx="5">
                  <c:v>725.6</c:v>
                </c:pt>
                <c:pt idx="6">
                  <c:v>725.6</c:v>
                </c:pt>
                <c:pt idx="7">
                  <c:v>725.6</c:v>
                </c:pt>
                <c:pt idx="8">
                  <c:v>725.6</c:v>
                </c:pt>
                <c:pt idx="9">
                  <c:v>725.6</c:v>
                </c:pt>
                <c:pt idx="10">
                  <c:v>725.6</c:v>
                </c:pt>
                <c:pt idx="11">
                  <c:v>725.6</c:v>
                </c:pt>
                <c:pt idx="12">
                  <c:v>725.6</c:v>
                </c:pt>
                <c:pt idx="13">
                  <c:v>725.6</c:v>
                </c:pt>
                <c:pt idx="14">
                  <c:v>725.6</c:v>
                </c:pt>
                <c:pt idx="15">
                  <c:v>725.6</c:v>
                </c:pt>
                <c:pt idx="16">
                  <c:v>725.6</c:v>
                </c:pt>
                <c:pt idx="17">
                  <c:v>725.6</c:v>
                </c:pt>
                <c:pt idx="18">
                  <c:v>725.6</c:v>
                </c:pt>
                <c:pt idx="19">
                  <c:v>725.6</c:v>
                </c:pt>
                <c:pt idx="20">
                  <c:v>725.6</c:v>
                </c:pt>
                <c:pt idx="21">
                  <c:v>725.6</c:v>
                </c:pt>
                <c:pt idx="22">
                  <c:v>725.6</c:v>
                </c:pt>
                <c:pt idx="23">
                  <c:v>725.6</c:v>
                </c:pt>
                <c:pt idx="24">
                  <c:v>725.6</c:v>
                </c:pt>
                <c:pt idx="25">
                  <c:v>725.6</c:v>
                </c:pt>
                <c:pt idx="26">
                  <c:v>725.6</c:v>
                </c:pt>
                <c:pt idx="27">
                  <c:v>725.6</c:v>
                </c:pt>
                <c:pt idx="28">
                  <c:v>725.6</c:v>
                </c:pt>
                <c:pt idx="29">
                  <c:v>725.6</c:v>
                </c:pt>
                <c:pt idx="30">
                  <c:v>725.6</c:v>
                </c:pt>
                <c:pt idx="31">
                  <c:v>725.6</c:v>
                </c:pt>
              </c:numCache>
            </c:numRef>
          </c:val>
        </c:ser>
        <c:ser>
          <c:idx val="1"/>
          <c:order val="1"/>
          <c:spPr>
            <a:solidFill>
              <a:srgbClr val="C0C0C0">
                <a:alpha val="80000"/>
              </a:srgbClr>
            </a:solidFill>
            <a:ln w="25400" cmpd="sng">
              <a:solidFill>
                <a:srgbClr val="C0C0C0"/>
              </a:solidFill>
            </a:ln>
          </c:spPr>
          <c:cat>
            <c:numRef>
              <c:f>'Mit w RECs Data Scenario 3'!$K$5:$AP$5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3'!$K$20:$AP$20</c:f>
              <c:numCache>
                <c:formatCode>0</c:formatCode>
                <c:ptCount val="32"/>
                <c:pt idx="0">
                  <c:v>1022.5</c:v>
                </c:pt>
                <c:pt idx="1">
                  <c:v>1022.5</c:v>
                </c:pt>
                <c:pt idx="2">
                  <c:v>1022.5</c:v>
                </c:pt>
                <c:pt idx="3">
                  <c:v>1022.5</c:v>
                </c:pt>
                <c:pt idx="4">
                  <c:v>1022.5</c:v>
                </c:pt>
                <c:pt idx="5">
                  <c:v>1022.5</c:v>
                </c:pt>
                <c:pt idx="6">
                  <c:v>1022.5</c:v>
                </c:pt>
                <c:pt idx="7">
                  <c:v>1022.5</c:v>
                </c:pt>
                <c:pt idx="8">
                  <c:v>1022.5</c:v>
                </c:pt>
                <c:pt idx="9">
                  <c:v>1022.5</c:v>
                </c:pt>
                <c:pt idx="10">
                  <c:v>1022.5</c:v>
                </c:pt>
                <c:pt idx="11">
                  <c:v>1022.5</c:v>
                </c:pt>
                <c:pt idx="12">
                  <c:v>1022.5</c:v>
                </c:pt>
                <c:pt idx="13">
                  <c:v>1022.5</c:v>
                </c:pt>
                <c:pt idx="14">
                  <c:v>1022.5</c:v>
                </c:pt>
                <c:pt idx="15">
                  <c:v>1022.5</c:v>
                </c:pt>
                <c:pt idx="16">
                  <c:v>1022.5</c:v>
                </c:pt>
                <c:pt idx="17">
                  <c:v>1022.5</c:v>
                </c:pt>
                <c:pt idx="18">
                  <c:v>1022.5</c:v>
                </c:pt>
                <c:pt idx="19">
                  <c:v>1022.5</c:v>
                </c:pt>
                <c:pt idx="20">
                  <c:v>1022.5</c:v>
                </c:pt>
                <c:pt idx="21">
                  <c:v>1022.5</c:v>
                </c:pt>
                <c:pt idx="22">
                  <c:v>1022.5</c:v>
                </c:pt>
                <c:pt idx="23">
                  <c:v>1022.5</c:v>
                </c:pt>
                <c:pt idx="24">
                  <c:v>1022.5</c:v>
                </c:pt>
                <c:pt idx="25">
                  <c:v>1022.5</c:v>
                </c:pt>
                <c:pt idx="26">
                  <c:v>1022.5</c:v>
                </c:pt>
                <c:pt idx="27">
                  <c:v>1022.5</c:v>
                </c:pt>
                <c:pt idx="28">
                  <c:v>1022.5</c:v>
                </c:pt>
                <c:pt idx="29">
                  <c:v>1022.5</c:v>
                </c:pt>
                <c:pt idx="30">
                  <c:v>1022.5</c:v>
                </c:pt>
                <c:pt idx="31">
                  <c:v>1022.5</c:v>
                </c:pt>
              </c:numCache>
            </c:numRef>
          </c:val>
        </c:ser>
        <c:ser>
          <c:idx val="2"/>
          <c:order val="2"/>
          <c:spPr>
            <a:solidFill>
              <a:srgbClr val="C0C0C0">
                <a:alpha val="80000"/>
              </a:srgbClr>
            </a:solidFill>
            <a:ln w="25400" cmpd="sng">
              <a:solidFill>
                <a:srgbClr val="C0C0C0"/>
              </a:solidFill>
            </a:ln>
          </c:spPr>
          <c:cat>
            <c:numRef>
              <c:f>'Mit w RECs Data Scenario 3'!$K$5:$AP$5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3'!$K$21:$AP$21</c:f>
              <c:numCache>
                <c:formatCode>_(* #,##0_);_(* \(#,##0\);_(* "-"??_);_(@_)</c:formatCode>
                <c:ptCount val="32"/>
                <c:pt idx="0">
                  <c:v>294.10000000000002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  <c:pt idx="12">
                  <c:v>7.5</c:v>
                </c:pt>
                <c:pt idx="13">
                  <c:v>7.5</c:v>
                </c:pt>
                <c:pt idx="14">
                  <c:v>7.5</c:v>
                </c:pt>
                <c:pt idx="15">
                  <c:v>7.5</c:v>
                </c:pt>
                <c:pt idx="16">
                  <c:v>7.5</c:v>
                </c:pt>
                <c:pt idx="17">
                  <c:v>7.5</c:v>
                </c:pt>
                <c:pt idx="18">
                  <c:v>7.5</c:v>
                </c:pt>
                <c:pt idx="19">
                  <c:v>7.5</c:v>
                </c:pt>
                <c:pt idx="20">
                  <c:v>7.5</c:v>
                </c:pt>
                <c:pt idx="21">
                  <c:v>7.5</c:v>
                </c:pt>
                <c:pt idx="22">
                  <c:v>7.5</c:v>
                </c:pt>
                <c:pt idx="23">
                  <c:v>7.5</c:v>
                </c:pt>
                <c:pt idx="24">
                  <c:v>7.5</c:v>
                </c:pt>
                <c:pt idx="25">
                  <c:v>7.5</c:v>
                </c:pt>
                <c:pt idx="26">
                  <c:v>7.5</c:v>
                </c:pt>
                <c:pt idx="27">
                  <c:v>7.5</c:v>
                </c:pt>
                <c:pt idx="28">
                  <c:v>7.5</c:v>
                </c:pt>
                <c:pt idx="29">
                  <c:v>7.5</c:v>
                </c:pt>
                <c:pt idx="30">
                  <c:v>7.5</c:v>
                </c:pt>
                <c:pt idx="31">
                  <c:v>7.5</c:v>
                </c:pt>
              </c:numCache>
            </c:numRef>
          </c:val>
        </c:ser>
        <c:ser>
          <c:idx val="3"/>
          <c:order val="3"/>
          <c:spPr>
            <a:solidFill>
              <a:srgbClr val="C0C0C0">
                <a:alpha val="80000"/>
              </a:srgbClr>
            </a:solidFill>
            <a:ln w="25400" cmpd="sng">
              <a:solidFill>
                <a:srgbClr val="C0C0C0"/>
              </a:solidFill>
            </a:ln>
          </c:spPr>
          <c:cat>
            <c:numRef>
              <c:f>'Mit w RECs Data Scenario 3'!$K$5:$AP$5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3'!$K$22:$AP$22</c:f>
              <c:numCache>
                <c:formatCode>_(* #,##0_);_(* \(#,##0\);_(* "-"??_);_(@_)</c:formatCode>
                <c:ptCount val="32"/>
                <c:pt idx="0" formatCode="0">
                  <c:v>160</c:v>
                </c:pt>
                <c:pt idx="1">
                  <c:v>160</c:v>
                </c:pt>
                <c:pt idx="2">
                  <c:v>160.78010878617025</c:v>
                </c:pt>
                <c:pt idx="3">
                  <c:v>160.78010878617025</c:v>
                </c:pt>
                <c:pt idx="4">
                  <c:v>160.78010878617025</c:v>
                </c:pt>
                <c:pt idx="5">
                  <c:v>168.04812231065623</c:v>
                </c:pt>
                <c:pt idx="6">
                  <c:v>168.04812231065623</c:v>
                </c:pt>
                <c:pt idx="7">
                  <c:v>168.04812231065623</c:v>
                </c:pt>
                <c:pt idx="8">
                  <c:v>164.06748721109159</c:v>
                </c:pt>
                <c:pt idx="9">
                  <c:v>175.01293355358405</c:v>
                </c:pt>
                <c:pt idx="10">
                  <c:v>175.01293355358405</c:v>
                </c:pt>
                <c:pt idx="11">
                  <c:v>176.69276780647061</c:v>
                </c:pt>
                <c:pt idx="12">
                  <c:v>178.98108691256996</c:v>
                </c:pt>
                <c:pt idx="13">
                  <c:v>186.66391028228887</c:v>
                </c:pt>
                <c:pt idx="14">
                  <c:v>186.66391028228887</c:v>
                </c:pt>
                <c:pt idx="15">
                  <c:v>179.8752996105307</c:v>
                </c:pt>
                <c:pt idx="16">
                  <c:v>182.59527891164424</c:v>
                </c:pt>
                <c:pt idx="17">
                  <c:v>185.31525821275778</c:v>
                </c:pt>
                <c:pt idx="18">
                  <c:v>186.87027505985711</c:v>
                </c:pt>
                <c:pt idx="19">
                  <c:v>186.87027505985711</c:v>
                </c:pt>
                <c:pt idx="20">
                  <c:v>186.87027505985711</c:v>
                </c:pt>
                <c:pt idx="21">
                  <c:v>188.4522316637055</c:v>
                </c:pt>
                <c:pt idx="22">
                  <c:v>188.4522316637055</c:v>
                </c:pt>
                <c:pt idx="23">
                  <c:v>188.4522316637055</c:v>
                </c:pt>
                <c:pt idx="24">
                  <c:v>188.4522316637055</c:v>
                </c:pt>
                <c:pt idx="25">
                  <c:v>188.4522316637055</c:v>
                </c:pt>
                <c:pt idx="26">
                  <c:v>194.17302942895387</c:v>
                </c:pt>
                <c:pt idx="27">
                  <c:v>194.17302942895387</c:v>
                </c:pt>
                <c:pt idx="28">
                  <c:v>194.17302942895387</c:v>
                </c:pt>
                <c:pt idx="29">
                  <c:v>194.17302942895387</c:v>
                </c:pt>
                <c:pt idx="30">
                  <c:v>203.22229134852856</c:v>
                </c:pt>
                <c:pt idx="31">
                  <c:v>203.22229134852856</c:v>
                </c:pt>
              </c:numCache>
            </c:numRef>
          </c:val>
        </c:ser>
        <c:ser>
          <c:idx val="4"/>
          <c:order val="4"/>
          <c:spPr>
            <a:solidFill>
              <a:srgbClr val="C0C0C0">
                <a:alpha val="80000"/>
              </a:srgbClr>
            </a:solidFill>
            <a:ln w="25400" cmpd="sng">
              <a:solidFill>
                <a:srgbClr val="C0C0C0"/>
              </a:solidFill>
            </a:ln>
          </c:spPr>
          <c:cat>
            <c:numRef>
              <c:f>'Mit w RECs Data Scenario 3'!$K$5:$AP$5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3'!$K$23:$AP$23</c:f>
              <c:numCache>
                <c:formatCode>0</c:formatCode>
                <c:ptCount val="32"/>
                <c:pt idx="0">
                  <c:v>126.6</c:v>
                </c:pt>
                <c:pt idx="1">
                  <c:v>126.59999999999998</c:v>
                </c:pt>
                <c:pt idx="2">
                  <c:v>127.21726107705717</c:v>
                </c:pt>
                <c:pt idx="3">
                  <c:v>124.67291585551602</c:v>
                </c:pt>
                <c:pt idx="4">
                  <c:v>124.67291585551602</c:v>
                </c:pt>
                <c:pt idx="5">
                  <c:v>130.30871524274056</c:v>
                </c:pt>
                <c:pt idx="6">
                  <c:v>130.30871524274056</c:v>
                </c:pt>
                <c:pt idx="7">
                  <c:v>130.30871524274056</c:v>
                </c:pt>
                <c:pt idx="8">
                  <c:v>127.22203127066068</c:v>
                </c:pt>
                <c:pt idx="9">
                  <c:v>135.70940400078788</c:v>
                </c:pt>
                <c:pt idx="10">
                  <c:v>135.70940400078788</c:v>
                </c:pt>
                <c:pt idx="11">
                  <c:v>137.01198947633247</c:v>
                </c:pt>
                <c:pt idx="12">
                  <c:v>138.78640931917954</c:v>
                </c:pt>
                <c:pt idx="13">
                  <c:v>144.74386263064383</c:v>
                </c:pt>
                <c:pt idx="14">
                  <c:v>144.74386263064383</c:v>
                </c:pt>
                <c:pt idx="15">
                  <c:v>139.47980420049572</c:v>
                </c:pt>
                <c:pt idx="16">
                  <c:v>141.58894415006171</c:v>
                </c:pt>
                <c:pt idx="17">
                  <c:v>143.69808409962766</c:v>
                </c:pt>
                <c:pt idx="18">
                  <c:v>144.90388303828968</c:v>
                </c:pt>
                <c:pt idx="19">
                  <c:v>144.90388303828968</c:v>
                </c:pt>
                <c:pt idx="20">
                  <c:v>144.90388303828968</c:v>
                </c:pt>
                <c:pt idx="21">
                  <c:v>146.1305717378288</c:v>
                </c:pt>
                <c:pt idx="22">
                  <c:v>146.1305717378288</c:v>
                </c:pt>
                <c:pt idx="23">
                  <c:v>146.1305717378288</c:v>
                </c:pt>
                <c:pt idx="24">
                  <c:v>146.1305717378288</c:v>
                </c:pt>
                <c:pt idx="25">
                  <c:v>146.1305717378288</c:v>
                </c:pt>
                <c:pt idx="26">
                  <c:v>150.56662134494653</c:v>
                </c:pt>
                <c:pt idx="27">
                  <c:v>150.56662134494653</c:v>
                </c:pt>
                <c:pt idx="28">
                  <c:v>150.56662134494653</c:v>
                </c:pt>
                <c:pt idx="29">
                  <c:v>150.56662134494653</c:v>
                </c:pt>
                <c:pt idx="30">
                  <c:v>157.58364526893274</c:v>
                </c:pt>
                <c:pt idx="31">
                  <c:v>157.58364526893274</c:v>
                </c:pt>
              </c:numCache>
            </c:numRef>
          </c:val>
        </c:ser>
        <c:ser>
          <c:idx val="5"/>
          <c:order val="5"/>
          <c:spPr>
            <a:solidFill>
              <a:srgbClr val="993366">
                <a:alpha val="80000"/>
              </a:srgbClr>
            </a:solidFill>
            <a:ln w="25400" cmpd="sng">
              <a:solidFill>
                <a:srgbClr val="993366"/>
              </a:solidFill>
            </a:ln>
          </c:spPr>
          <c:cat>
            <c:numRef>
              <c:f>'Mit w RECs Data Scenario 3'!$K$5:$AP$5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3'!$K$24:$AP$24</c:f>
              <c:numCache>
                <c:formatCode>0</c:formatCode>
                <c:ptCount val="32"/>
                <c:pt idx="0">
                  <c:v>847.6</c:v>
                </c:pt>
                <c:pt idx="1">
                  <c:v>744.63739999999996</c:v>
                </c:pt>
                <c:pt idx="2">
                  <c:v>727.84399480093828</c:v>
                </c:pt>
                <c:pt idx="3">
                  <c:v>713.96999480093825</c:v>
                </c:pt>
                <c:pt idx="4">
                  <c:v>700.09599480093834</c:v>
                </c:pt>
                <c:pt idx="5">
                  <c:v>605.09263856042537</c:v>
                </c:pt>
                <c:pt idx="6">
                  <c:v>591.21863856042546</c:v>
                </c:pt>
                <c:pt idx="7">
                  <c:v>577.34463856042544</c:v>
                </c:pt>
                <c:pt idx="8">
                  <c:v>518.98695193622461</c:v>
                </c:pt>
                <c:pt idx="9">
                  <c:v>530.28126000658347</c:v>
                </c:pt>
                <c:pt idx="10">
                  <c:v>498.30934008776893</c:v>
                </c:pt>
                <c:pt idx="11">
                  <c:v>408.80589689141885</c:v>
                </c:pt>
                <c:pt idx="12">
                  <c:v>390.09874856284023</c:v>
                </c:pt>
                <c:pt idx="13">
                  <c:v>392.80568258129</c:v>
                </c:pt>
                <c:pt idx="14">
                  <c:v>392.80568258129</c:v>
                </c:pt>
                <c:pt idx="15">
                  <c:v>339.70824997597833</c:v>
                </c:pt>
                <c:pt idx="16">
                  <c:v>349.58598678185444</c:v>
                </c:pt>
                <c:pt idx="17">
                  <c:v>359.4637235877305</c:v>
                </c:pt>
                <c:pt idx="18">
                  <c:v>365.1108427176672</c:v>
                </c:pt>
                <c:pt idx="19">
                  <c:v>365.1108427176672</c:v>
                </c:pt>
                <c:pt idx="20">
                  <c:v>365.1108427176672</c:v>
                </c:pt>
                <c:pt idx="21">
                  <c:v>365.32790500587589</c:v>
                </c:pt>
                <c:pt idx="22">
                  <c:v>365.32790500587589</c:v>
                </c:pt>
                <c:pt idx="23">
                  <c:v>365.32790500587589</c:v>
                </c:pt>
                <c:pt idx="24">
                  <c:v>365.32790500587589</c:v>
                </c:pt>
                <c:pt idx="25">
                  <c:v>365.32790500587589</c:v>
                </c:pt>
                <c:pt idx="26">
                  <c:v>386.10325966450625</c:v>
                </c:pt>
                <c:pt idx="27">
                  <c:v>371.33735966450621</c:v>
                </c:pt>
                <c:pt idx="28">
                  <c:v>371.33735966450621</c:v>
                </c:pt>
                <c:pt idx="29">
                  <c:v>371.33735966450621</c:v>
                </c:pt>
                <c:pt idx="30">
                  <c:v>404.20019339724848</c:v>
                </c:pt>
                <c:pt idx="31">
                  <c:v>404.20019339724848</c:v>
                </c:pt>
              </c:numCache>
            </c:numRef>
          </c:val>
        </c:ser>
        <c:ser>
          <c:idx val="6"/>
          <c:order val="6"/>
          <c:spPr>
            <a:solidFill>
              <a:srgbClr val="FF6600">
                <a:alpha val="80000"/>
              </a:srgbClr>
            </a:solidFill>
            <a:ln w="25400" cmpd="sng">
              <a:solidFill>
                <a:srgbClr val="FF6600"/>
              </a:solidFill>
            </a:ln>
          </c:spPr>
          <c:cat>
            <c:numRef>
              <c:f>'Mit w RECs Data Scenario 3'!$K$5:$AP$5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3'!$K$25:$AP$25</c:f>
              <c:numCache>
                <c:formatCode>0</c:formatCode>
                <c:ptCount val="32"/>
                <c:pt idx="0">
                  <c:v>7502</c:v>
                </c:pt>
                <c:pt idx="1">
                  <c:v>6779</c:v>
                </c:pt>
                <c:pt idx="2">
                  <c:v>6753.2090321784372</c:v>
                </c:pt>
                <c:pt idx="3">
                  <c:v>6753.2090321784372</c:v>
                </c:pt>
                <c:pt idx="4">
                  <c:v>6753.2090321784372</c:v>
                </c:pt>
                <c:pt idx="5">
                  <c:v>6986.3834173571149</c:v>
                </c:pt>
                <c:pt idx="6">
                  <c:v>6986.3834173571149</c:v>
                </c:pt>
                <c:pt idx="7">
                  <c:v>6986.3834173571149</c:v>
                </c:pt>
                <c:pt idx="8">
                  <c:v>6761.242427068797</c:v>
                </c:pt>
                <c:pt idx="9">
                  <c:v>222.58738410814476</c:v>
                </c:pt>
                <c:pt idx="10">
                  <c:v>222.58738410814476</c:v>
                </c:pt>
                <c:pt idx="11">
                  <c:v>223.19188158270936</c:v>
                </c:pt>
                <c:pt idx="12">
                  <c:v>222.77798925393199</c:v>
                </c:pt>
                <c:pt idx="13">
                  <c:v>223.23620563503027</c:v>
                </c:pt>
                <c:pt idx="14">
                  <c:v>223.23620563503027</c:v>
                </c:pt>
                <c:pt idx="15">
                  <c:v>223.15634780256732</c:v>
                </c:pt>
                <c:pt idx="16">
                  <c:v>223.41946297140294</c:v>
                </c:pt>
                <c:pt idx="17">
                  <c:v>222.68257814023946</c:v>
                </c:pt>
                <c:pt idx="18">
                  <c:v>222.57105124823556</c:v>
                </c:pt>
                <c:pt idx="19">
                  <c:v>222.57105124823556</c:v>
                </c:pt>
                <c:pt idx="20">
                  <c:v>222.57105124823556</c:v>
                </c:pt>
                <c:pt idx="21">
                  <c:v>223.48864956321449</c:v>
                </c:pt>
                <c:pt idx="22">
                  <c:v>223.48864956321449</c:v>
                </c:pt>
                <c:pt idx="23">
                  <c:v>223.48864956321449</c:v>
                </c:pt>
                <c:pt idx="24">
                  <c:v>223.48864956321449</c:v>
                </c:pt>
                <c:pt idx="25">
                  <c:v>223.48864956321449</c:v>
                </c:pt>
                <c:pt idx="26">
                  <c:v>223.02483825483978</c:v>
                </c:pt>
                <c:pt idx="27">
                  <c:v>223.02483825483978</c:v>
                </c:pt>
                <c:pt idx="28">
                  <c:v>223.02483825483978</c:v>
                </c:pt>
                <c:pt idx="29">
                  <c:v>223.02483825483978</c:v>
                </c:pt>
                <c:pt idx="30">
                  <c:v>223.34571854886417</c:v>
                </c:pt>
                <c:pt idx="31">
                  <c:v>223.34571854886417</c:v>
                </c:pt>
              </c:numCache>
            </c:numRef>
          </c:val>
        </c:ser>
        <c:ser>
          <c:idx val="7"/>
          <c:order val="7"/>
          <c:spPr>
            <a:solidFill>
              <a:srgbClr val="CCCCFF">
                <a:alpha val="80000"/>
              </a:srgbClr>
            </a:solidFill>
            <a:ln w="25400" cmpd="sng">
              <a:solidFill>
                <a:srgbClr val="CCCCFF"/>
              </a:solidFill>
            </a:ln>
          </c:spPr>
          <c:cat>
            <c:numRef>
              <c:f>'Mit w RECs Data Scenario 3'!$K$5:$AP$5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 w RECs Data Scenario 3'!$K$26:$AP$26</c:f>
              <c:numCache>
                <c:formatCode>_(* #,##0_);_(* \(#,##0\);_(* "-"??_);_(@_)</c:formatCode>
                <c:ptCount val="32"/>
                <c:pt idx="0">
                  <c:v>83</c:v>
                </c:pt>
                <c:pt idx="1">
                  <c:v>83</c:v>
                </c:pt>
                <c:pt idx="2">
                  <c:v>82.540815347510943</c:v>
                </c:pt>
                <c:pt idx="3">
                  <c:v>82.540815347510943</c:v>
                </c:pt>
                <c:pt idx="4">
                  <c:v>82.540815347510943</c:v>
                </c:pt>
                <c:pt idx="5">
                  <c:v>82.879299297936086</c:v>
                </c:pt>
                <c:pt idx="6">
                  <c:v>82.879299297936086</c:v>
                </c:pt>
                <c:pt idx="7">
                  <c:v>82.879299297936086</c:v>
                </c:pt>
                <c:pt idx="8">
                  <c:v>82.716789863039594</c:v>
                </c:pt>
                <c:pt idx="9">
                  <c:v>82.685589765753321</c:v>
                </c:pt>
                <c:pt idx="10">
                  <c:v>82.685589765753321</c:v>
                </c:pt>
                <c:pt idx="11">
                  <c:v>82.522691719839713</c:v>
                </c:pt>
                <c:pt idx="12">
                  <c:v>83.196559573039849</c:v>
                </c:pt>
                <c:pt idx="13">
                  <c:v>82.511736348516934</c:v>
                </c:pt>
                <c:pt idx="14">
                  <c:v>82.511736348516934</c:v>
                </c:pt>
                <c:pt idx="15">
                  <c:v>82.715241844867705</c:v>
                </c:pt>
                <c:pt idx="16">
                  <c:v>83.389679845635328</c:v>
                </c:pt>
                <c:pt idx="17">
                  <c:v>83.064117846402951</c:v>
                </c:pt>
                <c:pt idx="18">
                  <c:v>83.048165575330131</c:v>
                </c:pt>
                <c:pt idx="19">
                  <c:v>83.048165575330131</c:v>
                </c:pt>
                <c:pt idx="20">
                  <c:v>83.048165575330131</c:v>
                </c:pt>
                <c:pt idx="21">
                  <c:v>83.238501480564082</c:v>
                </c:pt>
                <c:pt idx="22">
                  <c:v>83.238501480564082</c:v>
                </c:pt>
                <c:pt idx="23">
                  <c:v>83.238501480564082</c:v>
                </c:pt>
                <c:pt idx="24">
                  <c:v>83.238501480564082</c:v>
                </c:pt>
                <c:pt idx="25">
                  <c:v>83.238501480564082</c:v>
                </c:pt>
                <c:pt idx="26">
                  <c:v>82.878810851203525</c:v>
                </c:pt>
                <c:pt idx="27">
                  <c:v>82.878810851203525</c:v>
                </c:pt>
                <c:pt idx="28">
                  <c:v>82.878810851203525</c:v>
                </c:pt>
                <c:pt idx="29">
                  <c:v>82.878810851203525</c:v>
                </c:pt>
                <c:pt idx="30">
                  <c:v>83.491663855666047</c:v>
                </c:pt>
                <c:pt idx="31">
                  <c:v>83.491663855666047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488768"/>
        <c:axId val="347489328"/>
      </c:areaChart>
      <c:catAx>
        <c:axId val="34748876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47489328"/>
        <c:crosses val="autoZero"/>
        <c:auto val="1"/>
        <c:lblAlgn val="ctr"/>
        <c:lblOffset val="100"/>
        <c:noMultiLvlLbl val="1"/>
      </c:catAx>
      <c:valAx>
        <c:axId val="347489328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MTCDE</a:t>
                </a:r>
              </a:p>
            </c:rich>
          </c:tx>
          <c:layout/>
          <c:overlay val="0"/>
        </c:title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47488768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en-US"/>
              <a:t>Mitigation Strategies (Option 3)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000000"/>
              </a:solidFill>
            </a:ln>
          </c:spPr>
          <c:marker>
            <c:symbol val="none"/>
          </c:marker>
          <c:cat>
            <c:numRef>
              <c:f>'Mit w RECs Data Scenario 3'!$L$5:$AK$5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3'!$L$16:$AK$16</c:f>
              <c:numCache>
                <c:formatCode>_(* #,##0_);_(* \(#,##0\);_(* "-"??_);_(@_)</c:formatCode>
                <c:ptCount val="26"/>
                <c:pt idx="0">
                  <c:v>19247.400000000001</c:v>
                </c:pt>
                <c:pt idx="1">
                  <c:v>19332.615252429736</c:v>
                </c:pt>
                <c:pt idx="2">
                  <c:v>19332.615252429736</c:v>
                </c:pt>
                <c:pt idx="3">
                  <c:v>19332.615252429736</c:v>
                </c:pt>
                <c:pt idx="4">
                  <c:v>20127.062414172859</c:v>
                </c:pt>
                <c:pt idx="5">
                  <c:v>20127.062414172859</c:v>
                </c:pt>
                <c:pt idx="6">
                  <c:v>20127.062414172859</c:v>
                </c:pt>
                <c:pt idx="7">
                  <c:v>19691.841762964643</c:v>
                </c:pt>
                <c:pt idx="8">
                  <c:v>20888.116443772509</c:v>
                </c:pt>
                <c:pt idx="9">
                  <c:v>20888.116443772509</c:v>
                </c:pt>
                <c:pt idx="10">
                  <c:v>21071.668892970105</c:v>
                </c:pt>
                <c:pt idx="11">
                  <c:v>21321.710419070594</c:v>
                </c:pt>
                <c:pt idx="12">
                  <c:v>24338.488382897944</c:v>
                </c:pt>
                <c:pt idx="13">
                  <c:v>24338.488382897944</c:v>
                </c:pt>
                <c:pt idx="14">
                  <c:v>23596.21177857733</c:v>
                </c:pt>
                <c:pt idx="15">
                  <c:v>23893.525456997115</c:v>
                </c:pt>
                <c:pt idx="16">
                  <c:v>24190.839135416907</c:v>
                </c:pt>
                <c:pt idx="17">
                  <c:v>24360.813876999153</c:v>
                </c:pt>
                <c:pt idx="18">
                  <c:v>24411.119192075341</c:v>
                </c:pt>
                <c:pt idx="19">
                  <c:v>24411.119192075341</c:v>
                </c:pt>
                <c:pt idx="20">
                  <c:v>24583.98448914539</c:v>
                </c:pt>
                <c:pt idx="21">
                  <c:v>24583.98448914539</c:v>
                </c:pt>
                <c:pt idx="22">
                  <c:v>24583.98448914539</c:v>
                </c:pt>
                <c:pt idx="23">
                  <c:v>24583.98448914539</c:v>
                </c:pt>
                <c:pt idx="24">
                  <c:v>24583.98448914539</c:v>
                </c:pt>
                <c:pt idx="25">
                  <c:v>25209.309625401154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666699"/>
              </a:solidFill>
            </a:ln>
          </c:spPr>
          <c:marker>
            <c:symbol val="none"/>
          </c:marker>
          <c:cat>
            <c:numRef>
              <c:f>'Mit w RECs Data Scenario 3'!$L$5:$AK$5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3'!$L$7:$AK$7</c:f>
              <c:numCache>
                <c:formatCode>_(* #,##0_);_(* \(#,##0\);_(* "-"??_);_(@_)</c:formatCode>
                <c:ptCount val="26"/>
                <c:pt idx="0">
                  <c:v>19247.400000000001</c:v>
                </c:pt>
                <c:pt idx="1">
                  <c:v>19332.615252429736</c:v>
                </c:pt>
                <c:pt idx="2">
                  <c:v>19332.615252429736</c:v>
                </c:pt>
                <c:pt idx="3">
                  <c:v>19332.615252429736</c:v>
                </c:pt>
                <c:pt idx="4">
                  <c:v>20127.062414172859</c:v>
                </c:pt>
                <c:pt idx="5">
                  <c:v>20127.062414172859</c:v>
                </c:pt>
                <c:pt idx="6">
                  <c:v>20127.062414172859</c:v>
                </c:pt>
                <c:pt idx="7">
                  <c:v>19691.841762964643</c:v>
                </c:pt>
                <c:pt idx="8">
                  <c:v>20888.116443772509</c:v>
                </c:pt>
                <c:pt idx="9">
                  <c:v>20888.116443772509</c:v>
                </c:pt>
                <c:pt idx="10">
                  <c:v>21071.668892970105</c:v>
                </c:pt>
                <c:pt idx="11">
                  <c:v>21321.710419070594</c:v>
                </c:pt>
                <c:pt idx="12">
                  <c:v>24338.488382897944</c:v>
                </c:pt>
                <c:pt idx="13">
                  <c:v>24338.488382897944</c:v>
                </c:pt>
                <c:pt idx="14">
                  <c:v>23596.21177857733</c:v>
                </c:pt>
                <c:pt idx="15">
                  <c:v>23893.525456997115</c:v>
                </c:pt>
                <c:pt idx="16">
                  <c:v>24190.839135416907</c:v>
                </c:pt>
                <c:pt idx="17">
                  <c:v>24360.813876999153</c:v>
                </c:pt>
                <c:pt idx="18">
                  <c:v>24411.119192075341</c:v>
                </c:pt>
                <c:pt idx="19">
                  <c:v>24411.119192075341</c:v>
                </c:pt>
                <c:pt idx="20">
                  <c:v>24583.98448914539</c:v>
                </c:pt>
                <c:pt idx="21">
                  <c:v>24583.98448914539</c:v>
                </c:pt>
                <c:pt idx="22">
                  <c:v>24583.98448914539</c:v>
                </c:pt>
                <c:pt idx="23">
                  <c:v>24583.98448914539</c:v>
                </c:pt>
                <c:pt idx="24">
                  <c:v>24583.98448914539</c:v>
                </c:pt>
                <c:pt idx="25">
                  <c:v>25209.309625401154</c:v>
                </c:pt>
              </c:numCache>
            </c:numRef>
          </c:val>
          <c:smooth val="0"/>
        </c:ser>
        <c:ser>
          <c:idx val="2"/>
          <c:order val="2"/>
          <c:spPr>
            <a:ln w="25400" cmpd="sng">
              <a:solidFill>
                <a:srgbClr val="993366"/>
              </a:solidFill>
            </a:ln>
          </c:spPr>
          <c:marker>
            <c:symbol val="none"/>
          </c:marker>
          <c:cat>
            <c:numRef>
              <c:f>'Mit w RECs Data Scenario 3'!$L$5:$AK$5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3'!$L$8:$AK$8</c:f>
              <c:numCache>
                <c:formatCode>_(* #,##0_);_(* \(#,##0\);_(* "-"??_);_(@_)</c:formatCode>
                <c:ptCount val="26"/>
                <c:pt idx="0">
                  <c:v>19093.2</c:v>
                </c:pt>
                <c:pt idx="1">
                  <c:v>19024.215252429734</c:v>
                </c:pt>
                <c:pt idx="2">
                  <c:v>18870.015252429737</c:v>
                </c:pt>
                <c:pt idx="3">
                  <c:v>18715.815252429737</c:v>
                </c:pt>
                <c:pt idx="4">
                  <c:v>19356.062414172859</c:v>
                </c:pt>
                <c:pt idx="5">
                  <c:v>19201.862414172858</c:v>
                </c:pt>
                <c:pt idx="6">
                  <c:v>19047.662414172857</c:v>
                </c:pt>
                <c:pt idx="7">
                  <c:v>18458.241762964644</c:v>
                </c:pt>
                <c:pt idx="8">
                  <c:v>19500.31644377251</c:v>
                </c:pt>
                <c:pt idx="9">
                  <c:v>19346.116443772509</c:v>
                </c:pt>
                <c:pt idx="10">
                  <c:v>19529.668892970105</c:v>
                </c:pt>
                <c:pt idx="11">
                  <c:v>19471.310419070593</c:v>
                </c:pt>
                <c:pt idx="12">
                  <c:v>22333.888382897945</c:v>
                </c:pt>
                <c:pt idx="13">
                  <c:v>22179.688382897944</c:v>
                </c:pt>
                <c:pt idx="14">
                  <c:v>21283.21177857733</c:v>
                </c:pt>
                <c:pt idx="15">
                  <c:v>21426.325456997114</c:v>
                </c:pt>
                <c:pt idx="16">
                  <c:v>21569.439135416906</c:v>
                </c:pt>
                <c:pt idx="17">
                  <c:v>21585.213876999154</c:v>
                </c:pt>
                <c:pt idx="18">
                  <c:v>21481.319192075342</c:v>
                </c:pt>
                <c:pt idx="19">
                  <c:v>21327.119192075341</c:v>
                </c:pt>
                <c:pt idx="20">
                  <c:v>21345.78448914539</c:v>
                </c:pt>
                <c:pt idx="21">
                  <c:v>21191.584489145389</c:v>
                </c:pt>
                <c:pt idx="22">
                  <c:v>21037.384489145392</c:v>
                </c:pt>
                <c:pt idx="23">
                  <c:v>20883.184489145391</c:v>
                </c:pt>
                <c:pt idx="24">
                  <c:v>20728.98448914539</c:v>
                </c:pt>
                <c:pt idx="25">
                  <c:v>21200.109625401154</c:v>
                </c:pt>
              </c:numCache>
            </c:numRef>
          </c:val>
          <c:smooth val="0"/>
        </c:ser>
        <c:ser>
          <c:idx val="3"/>
          <c:order val="3"/>
          <c:spPr>
            <a:ln w="25400" cmpd="sng">
              <a:solidFill>
                <a:srgbClr val="808080"/>
              </a:solidFill>
            </a:ln>
          </c:spPr>
          <c:marker>
            <c:symbol val="none"/>
          </c:marker>
          <c:cat>
            <c:numRef>
              <c:f>'Mit w RECs Data Scenario 3'!$L$5:$AK$5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3'!$L$9:$AK$9</c:f>
              <c:numCache>
                <c:formatCode>_(* #,##0_);_(* \(#,##0\);_(* "-"??_);_(@_)</c:formatCode>
                <c:ptCount val="26"/>
                <c:pt idx="0">
                  <c:v>18932.400000000001</c:v>
                </c:pt>
                <c:pt idx="1">
                  <c:v>18702.615252429736</c:v>
                </c:pt>
                <c:pt idx="2">
                  <c:v>18387.615252429736</c:v>
                </c:pt>
                <c:pt idx="3">
                  <c:v>18072.615252429736</c:v>
                </c:pt>
                <c:pt idx="4">
                  <c:v>18552.062414172859</c:v>
                </c:pt>
                <c:pt idx="5">
                  <c:v>18237.062414172859</c:v>
                </c:pt>
                <c:pt idx="6">
                  <c:v>17922.062414172859</c:v>
                </c:pt>
                <c:pt idx="7">
                  <c:v>17171.841762964643</c:v>
                </c:pt>
                <c:pt idx="8">
                  <c:v>18053.116443772509</c:v>
                </c:pt>
                <c:pt idx="9">
                  <c:v>17738.116443772509</c:v>
                </c:pt>
                <c:pt idx="10">
                  <c:v>17760.868892970106</c:v>
                </c:pt>
                <c:pt idx="11">
                  <c:v>17863.310419070593</c:v>
                </c:pt>
                <c:pt idx="12">
                  <c:v>20725.888382897945</c:v>
                </c:pt>
                <c:pt idx="13">
                  <c:v>20571.688382897944</c:v>
                </c:pt>
                <c:pt idx="14">
                  <c:v>19675.21177857733</c:v>
                </c:pt>
                <c:pt idx="15">
                  <c:v>19818.325456997114</c:v>
                </c:pt>
                <c:pt idx="16">
                  <c:v>19961.439135416906</c:v>
                </c:pt>
                <c:pt idx="17">
                  <c:v>19977.213876999154</c:v>
                </c:pt>
                <c:pt idx="18">
                  <c:v>19873.319192075342</c:v>
                </c:pt>
                <c:pt idx="19">
                  <c:v>19719.119192075341</c:v>
                </c:pt>
                <c:pt idx="20">
                  <c:v>19737.78448914539</c:v>
                </c:pt>
                <c:pt idx="21">
                  <c:v>19583.584489145389</c:v>
                </c:pt>
                <c:pt idx="22">
                  <c:v>19429.384489145392</c:v>
                </c:pt>
                <c:pt idx="23">
                  <c:v>19275.184489145391</c:v>
                </c:pt>
                <c:pt idx="24">
                  <c:v>19120.98448914539</c:v>
                </c:pt>
                <c:pt idx="25">
                  <c:v>19592.109625401154</c:v>
                </c:pt>
              </c:numCache>
            </c:numRef>
          </c:val>
          <c:smooth val="0"/>
        </c:ser>
        <c:ser>
          <c:idx val="4"/>
          <c:order val="4"/>
          <c:spPr>
            <a:ln w="25400" cmpd="sng">
              <a:solidFill>
                <a:srgbClr val="666699"/>
              </a:solidFill>
            </a:ln>
          </c:spPr>
          <c:marker>
            <c:symbol val="none"/>
          </c:marker>
          <c:cat>
            <c:numRef>
              <c:f>'Mit w RECs Data Scenario 3'!$L$5:$AK$5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3'!$L$10:$AK$10</c:f>
              <c:numCache>
                <c:formatCode>_(* #,##0_);_(* \(#,##0\);_(* "-"??_);_(@_)</c:formatCode>
                <c:ptCount val="26"/>
                <c:pt idx="0">
                  <c:v>18820.400000000001</c:v>
                </c:pt>
                <c:pt idx="1">
                  <c:v>18478.615252429736</c:v>
                </c:pt>
                <c:pt idx="2">
                  <c:v>18051.615252429736</c:v>
                </c:pt>
                <c:pt idx="3">
                  <c:v>17624.615252429736</c:v>
                </c:pt>
                <c:pt idx="4">
                  <c:v>17992.062414172859</c:v>
                </c:pt>
                <c:pt idx="5">
                  <c:v>17565.062414172859</c:v>
                </c:pt>
                <c:pt idx="6">
                  <c:v>17138.062414172859</c:v>
                </c:pt>
                <c:pt idx="7">
                  <c:v>16275.841762964643</c:v>
                </c:pt>
                <c:pt idx="8">
                  <c:v>17045.116443772509</c:v>
                </c:pt>
                <c:pt idx="9">
                  <c:v>16618.116443772509</c:v>
                </c:pt>
                <c:pt idx="10">
                  <c:v>16640.868892970106</c:v>
                </c:pt>
                <c:pt idx="11">
                  <c:v>16743.310419070593</c:v>
                </c:pt>
                <c:pt idx="12">
                  <c:v>19605.888382897945</c:v>
                </c:pt>
                <c:pt idx="13">
                  <c:v>19451.688382897944</c:v>
                </c:pt>
                <c:pt idx="14">
                  <c:v>18555.21177857733</c:v>
                </c:pt>
                <c:pt idx="15">
                  <c:v>18698.325456997114</c:v>
                </c:pt>
                <c:pt idx="16">
                  <c:v>18841.439135416906</c:v>
                </c:pt>
                <c:pt idx="17">
                  <c:v>18857.213876999154</c:v>
                </c:pt>
                <c:pt idx="18">
                  <c:v>18753.319192075342</c:v>
                </c:pt>
                <c:pt idx="19">
                  <c:v>18599.119192075341</c:v>
                </c:pt>
                <c:pt idx="20">
                  <c:v>18617.78448914539</c:v>
                </c:pt>
                <c:pt idx="21">
                  <c:v>18463.584489145389</c:v>
                </c:pt>
                <c:pt idx="22">
                  <c:v>18309.384489145392</c:v>
                </c:pt>
                <c:pt idx="23">
                  <c:v>18155.184489145391</c:v>
                </c:pt>
                <c:pt idx="24">
                  <c:v>18000.98448914539</c:v>
                </c:pt>
                <c:pt idx="25">
                  <c:v>18472.109625401154</c:v>
                </c:pt>
              </c:numCache>
            </c:numRef>
          </c:val>
          <c:smooth val="0"/>
        </c:ser>
        <c:ser>
          <c:idx val="5"/>
          <c:order val="5"/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numRef>
              <c:f>'Mit w RECs Data Scenario 3'!$L$5:$AK$5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3'!$L$11:$AK$11</c:f>
              <c:numCache>
                <c:formatCode>_(* #,##0_);_(* \(#,##0\);_(*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12624.21177857733</c:v>
                </c:pt>
                <c:pt idx="15">
                  <c:v>12767.325456997114</c:v>
                </c:pt>
                <c:pt idx="16">
                  <c:v>12910.439135416906</c:v>
                </c:pt>
                <c:pt idx="17">
                  <c:v>12926.213876999154</c:v>
                </c:pt>
                <c:pt idx="18">
                  <c:v>12936.319192075342</c:v>
                </c:pt>
                <c:pt idx="19">
                  <c:v>12896.119192075341</c:v>
                </c:pt>
                <c:pt idx="20">
                  <c:v>13028.78448914539</c:v>
                </c:pt>
                <c:pt idx="21">
                  <c:v>12988.584489145389</c:v>
                </c:pt>
                <c:pt idx="22">
                  <c:v>12948.384489145392</c:v>
                </c:pt>
                <c:pt idx="23">
                  <c:v>12908.184489145391</c:v>
                </c:pt>
                <c:pt idx="24">
                  <c:v>12867.98448914539</c:v>
                </c:pt>
                <c:pt idx="25">
                  <c:v>13339.109625401154</c:v>
                </c:pt>
              </c:numCache>
            </c:numRef>
          </c:val>
          <c:smooth val="0"/>
        </c:ser>
        <c:ser>
          <c:idx val="6"/>
          <c:order val="6"/>
          <c:spPr>
            <a:ln w="25400" cmpd="sng">
              <a:solidFill>
                <a:srgbClr val="FFCC99"/>
              </a:solidFill>
            </a:ln>
          </c:spPr>
          <c:marker>
            <c:symbol val="none"/>
          </c:marker>
          <c:cat>
            <c:numRef>
              <c:f>'Mit w RECs Data Scenario 3'!$L$5:$AK$5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3'!$L$12:$AK$12</c:f>
              <c:numCache>
                <c:formatCode>_(* #,##0_);_(* \(#,##0\);_(*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10216</c:v>
                </c:pt>
                <c:pt idx="11">
                  <c:v>10216</c:v>
                </c:pt>
                <c:pt idx="12">
                  <c:v>12426</c:v>
                </c:pt>
                <c:pt idx="13">
                  <c:v>12435.688382897944</c:v>
                </c:pt>
                <c:pt idx="14">
                  <c:v>11539.21177857733</c:v>
                </c:pt>
                <c:pt idx="15">
                  <c:v>11682.325456997114</c:v>
                </c:pt>
                <c:pt idx="16">
                  <c:v>11825.439135416906</c:v>
                </c:pt>
                <c:pt idx="17">
                  <c:v>11841.213876999154</c:v>
                </c:pt>
                <c:pt idx="18">
                  <c:v>11737.319192075342</c:v>
                </c:pt>
                <c:pt idx="19">
                  <c:v>11583.119192075341</c:v>
                </c:pt>
                <c:pt idx="20">
                  <c:v>11601.78448914539</c:v>
                </c:pt>
                <c:pt idx="21">
                  <c:v>11447.584489145389</c:v>
                </c:pt>
                <c:pt idx="22">
                  <c:v>11293.384489145392</c:v>
                </c:pt>
                <c:pt idx="23">
                  <c:v>11139.184489145391</c:v>
                </c:pt>
                <c:pt idx="24">
                  <c:v>10984.98448914539</c:v>
                </c:pt>
                <c:pt idx="25">
                  <c:v>11456.109625401154</c:v>
                </c:pt>
              </c:numCache>
            </c:numRef>
          </c:val>
          <c:smooth val="0"/>
        </c:ser>
        <c:ser>
          <c:idx val="7"/>
          <c:order val="7"/>
          <c:spPr>
            <a:ln w="25400" cmpd="sng">
              <a:solidFill>
                <a:srgbClr val="FF6600"/>
              </a:solidFill>
            </a:ln>
          </c:spPr>
          <c:marker>
            <c:symbol val="none"/>
          </c:marker>
          <c:cat>
            <c:numRef>
              <c:f>'Mit w RECs Data Scenario 3'!$L$5:$AK$5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3'!$L$13:$AK$13</c:f>
              <c:numCache>
                <c:formatCode>_(* #,##0_);_(* \(#,##0\);_(*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9410</c:v>
                </c:pt>
                <c:pt idx="10">
                  <c:v>9400</c:v>
                </c:pt>
                <c:pt idx="11">
                  <c:v>9400</c:v>
                </c:pt>
                <c:pt idx="12">
                  <c:v>11610</c:v>
                </c:pt>
                <c:pt idx="13">
                  <c:v>11619.688382897944</c:v>
                </c:pt>
                <c:pt idx="14">
                  <c:v>10723.21177857733</c:v>
                </c:pt>
                <c:pt idx="15">
                  <c:v>10866.325456997114</c:v>
                </c:pt>
                <c:pt idx="16">
                  <c:v>11009.439135416906</c:v>
                </c:pt>
                <c:pt idx="17">
                  <c:v>11025.213876999154</c:v>
                </c:pt>
                <c:pt idx="18">
                  <c:v>10921.319192075342</c:v>
                </c:pt>
                <c:pt idx="19">
                  <c:v>10767.119192075341</c:v>
                </c:pt>
                <c:pt idx="20">
                  <c:v>10785.78448914539</c:v>
                </c:pt>
                <c:pt idx="21">
                  <c:v>10631.584489145389</c:v>
                </c:pt>
                <c:pt idx="22">
                  <c:v>10477.384489145392</c:v>
                </c:pt>
                <c:pt idx="23">
                  <c:v>10323.184489145391</c:v>
                </c:pt>
                <c:pt idx="24">
                  <c:v>10168.98448914539</c:v>
                </c:pt>
                <c:pt idx="25">
                  <c:v>10640.109625401154</c:v>
                </c:pt>
              </c:numCache>
            </c:numRef>
          </c:val>
          <c:smooth val="0"/>
        </c:ser>
        <c:ser>
          <c:idx val="8"/>
          <c:order val="8"/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numRef>
              <c:f>'Mit w RECs Data Scenario 3'!$L$5:$AK$5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3'!$L$14:$AK$14</c:f>
              <c:numCache>
                <c:formatCode>_(* #,##0_);_(* \(#,##0\);_(*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2870</c:v>
                </c:pt>
                <c:pt idx="10">
                  <c:v>2784</c:v>
                </c:pt>
                <c:pt idx="11">
                  <c:v>2769</c:v>
                </c:pt>
                <c:pt idx="12">
                  <c:v>2786</c:v>
                </c:pt>
                <c:pt idx="13">
                  <c:v>2786</c:v>
                </c:pt>
                <c:pt idx="14">
                  <c:v>2721</c:v>
                </c:pt>
                <c:pt idx="15">
                  <c:v>2736</c:v>
                </c:pt>
                <c:pt idx="16">
                  <c:v>2750</c:v>
                </c:pt>
                <c:pt idx="17">
                  <c:v>2758</c:v>
                </c:pt>
                <c:pt idx="18">
                  <c:v>2758</c:v>
                </c:pt>
                <c:pt idx="19">
                  <c:v>2758</c:v>
                </c:pt>
                <c:pt idx="20">
                  <c:v>2762</c:v>
                </c:pt>
                <c:pt idx="21">
                  <c:v>2762</c:v>
                </c:pt>
                <c:pt idx="22">
                  <c:v>2762</c:v>
                </c:pt>
                <c:pt idx="23">
                  <c:v>2762</c:v>
                </c:pt>
                <c:pt idx="24">
                  <c:v>2762</c:v>
                </c:pt>
                <c:pt idx="25">
                  <c:v>2792</c:v>
                </c:pt>
              </c:numCache>
            </c:numRef>
          </c:val>
          <c:smooth val="0"/>
        </c:ser>
        <c:ser>
          <c:idx val="9"/>
          <c:order val="9"/>
          <c:spPr>
            <a:ln w="25400" cmpd="sng">
              <a:solidFill>
                <a:srgbClr val="808000"/>
              </a:solidFill>
            </a:ln>
          </c:spPr>
          <c:marker>
            <c:symbol val="none"/>
          </c:marker>
          <c:cat>
            <c:numRef>
              <c:f>'Mit w RECs Data Scenario 3'!$L$5:$AK$5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'Mit w RECs Data Scenario 3'!$L$15:$AK$15</c:f>
              <c:numCache>
                <c:formatCode>_(* #,##0_);_(* \(#,##0\);_(* "-"??_);_(@_)</c:formatCode>
                <c:ptCount val="26"/>
                <c:pt idx="0">
                  <c:v>9648.8374000000003</c:v>
                </c:pt>
                <c:pt idx="1">
                  <c:v>9607.1912121901132</c:v>
                </c:pt>
                <c:pt idx="2">
                  <c:v>9590.772866968573</c:v>
                </c:pt>
                <c:pt idx="3">
                  <c:v>9576.8988669685732</c:v>
                </c:pt>
                <c:pt idx="4">
                  <c:v>9728.3121927688735</c:v>
                </c:pt>
                <c:pt idx="5">
                  <c:v>9714.4381927688737</c:v>
                </c:pt>
                <c:pt idx="6">
                  <c:v>9700.5641927688739</c:v>
                </c:pt>
                <c:pt idx="7">
                  <c:v>9409.8356873498124</c:v>
                </c:pt>
                <c:pt idx="8">
                  <c:v>9410</c:v>
                </c:pt>
                <c:pt idx="9">
                  <c:v>9410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97168"/>
        <c:axId val="347497728"/>
      </c:lineChart>
      <c:catAx>
        <c:axId val="34749716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47497728"/>
        <c:crosses val="autoZero"/>
        <c:auto val="1"/>
        <c:lblAlgn val="ctr"/>
        <c:lblOffset val="100"/>
        <c:noMultiLvlLbl val="1"/>
      </c:catAx>
      <c:valAx>
        <c:axId val="347497728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MTCDE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4749716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en-US"/>
              <a:t>Emissions to be Mitigated Via RECs and Offsets (Option 3)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FFCC99"/>
              </a:solidFill>
            </a:ln>
          </c:spPr>
          <c:marker>
            <c:symbol val="none"/>
          </c:marker>
          <c:cat>
            <c:numRef>
              <c:f>'Mitigation Data Scenario 3 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3 '!$K$15:$AP$15</c:f>
              <c:numCache>
                <c:formatCode>_(* #,##0_);_(* \(#,##0\);_(* "-"??_);_(@_)</c:formatCode>
                <c:ptCount val="32"/>
                <c:pt idx="0">
                  <c:v>19247.400000000001</c:v>
                </c:pt>
                <c:pt idx="1">
                  <c:v>19247.400000000001</c:v>
                </c:pt>
                <c:pt idx="2">
                  <c:v>19332.615252429736</c:v>
                </c:pt>
                <c:pt idx="3">
                  <c:v>19332.615252429736</c:v>
                </c:pt>
                <c:pt idx="4">
                  <c:v>19332.615252429736</c:v>
                </c:pt>
                <c:pt idx="5">
                  <c:v>20127.062414172859</c:v>
                </c:pt>
                <c:pt idx="6">
                  <c:v>20127.062414172859</c:v>
                </c:pt>
                <c:pt idx="7">
                  <c:v>20127.062414172859</c:v>
                </c:pt>
                <c:pt idx="8">
                  <c:v>19691.841762964643</c:v>
                </c:pt>
                <c:pt idx="9">
                  <c:v>20888.116443772509</c:v>
                </c:pt>
                <c:pt idx="10">
                  <c:v>20888.116443772509</c:v>
                </c:pt>
                <c:pt idx="11">
                  <c:v>21071.668892970105</c:v>
                </c:pt>
                <c:pt idx="12">
                  <c:v>21321.710419070594</c:v>
                </c:pt>
                <c:pt idx="13">
                  <c:v>24338.488382897944</c:v>
                </c:pt>
                <c:pt idx="14">
                  <c:v>24338.488382897944</c:v>
                </c:pt>
                <c:pt idx="15">
                  <c:v>23596.21177857733</c:v>
                </c:pt>
                <c:pt idx="16">
                  <c:v>23893.525456997115</c:v>
                </c:pt>
                <c:pt idx="17">
                  <c:v>24190.839135416907</c:v>
                </c:pt>
                <c:pt idx="18">
                  <c:v>24360.813876999153</c:v>
                </c:pt>
                <c:pt idx="19">
                  <c:v>24411.119192075341</c:v>
                </c:pt>
                <c:pt idx="20">
                  <c:v>24411.119192075341</c:v>
                </c:pt>
                <c:pt idx="21">
                  <c:v>24583.98448914539</c:v>
                </c:pt>
                <c:pt idx="22">
                  <c:v>24583.98448914539</c:v>
                </c:pt>
                <c:pt idx="23">
                  <c:v>24583.98448914539</c:v>
                </c:pt>
                <c:pt idx="24">
                  <c:v>24583.98448914539</c:v>
                </c:pt>
                <c:pt idx="25">
                  <c:v>24583.98448914539</c:v>
                </c:pt>
                <c:pt idx="26">
                  <c:v>25209.309625401154</c:v>
                </c:pt>
                <c:pt idx="27">
                  <c:v>25209.309625401154</c:v>
                </c:pt>
                <c:pt idx="28">
                  <c:v>25209.309625401154</c:v>
                </c:pt>
                <c:pt idx="29">
                  <c:v>25209.309625401154</c:v>
                </c:pt>
                <c:pt idx="30">
                  <c:v>26198.46029547846</c:v>
                </c:pt>
                <c:pt idx="31">
                  <c:v>26198.46029547846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666699"/>
              </a:solidFill>
            </a:ln>
          </c:spPr>
          <c:marker>
            <c:symbol val="none"/>
          </c:marker>
          <c:cat>
            <c:numRef>
              <c:f>'Mitigation Data Scenario 3 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3 '!$K$7:$AP$7</c:f>
              <c:numCache>
                <c:formatCode>_(* #,##0_);_(* \(#,##0\);_(* "-"??_);_(@_)</c:formatCode>
                <c:ptCount val="32"/>
                <c:pt idx="0" formatCode="0">
                  <c:v>725.6</c:v>
                </c:pt>
                <c:pt idx="1">
                  <c:v>725.6</c:v>
                </c:pt>
                <c:pt idx="2">
                  <c:v>725.6</c:v>
                </c:pt>
                <c:pt idx="3">
                  <c:v>725.6</c:v>
                </c:pt>
                <c:pt idx="4">
                  <c:v>725.6</c:v>
                </c:pt>
                <c:pt idx="5">
                  <c:v>725.6</c:v>
                </c:pt>
                <c:pt idx="6">
                  <c:v>725.6</c:v>
                </c:pt>
                <c:pt idx="7">
                  <c:v>725.6</c:v>
                </c:pt>
                <c:pt idx="8">
                  <c:v>725.6</c:v>
                </c:pt>
                <c:pt idx="9">
                  <c:v>725.6</c:v>
                </c:pt>
                <c:pt idx="10">
                  <c:v>725.6</c:v>
                </c:pt>
                <c:pt idx="11">
                  <c:v>725.6</c:v>
                </c:pt>
                <c:pt idx="12">
                  <c:v>725.6</c:v>
                </c:pt>
                <c:pt idx="13">
                  <c:v>725.6</c:v>
                </c:pt>
                <c:pt idx="14">
                  <c:v>725.6</c:v>
                </c:pt>
                <c:pt idx="15">
                  <c:v>725.6</c:v>
                </c:pt>
                <c:pt idx="16">
                  <c:v>725.6</c:v>
                </c:pt>
                <c:pt idx="17">
                  <c:v>725.6</c:v>
                </c:pt>
                <c:pt idx="18">
                  <c:v>725.6</c:v>
                </c:pt>
                <c:pt idx="19">
                  <c:v>725.6</c:v>
                </c:pt>
                <c:pt idx="20">
                  <c:v>725.6</c:v>
                </c:pt>
                <c:pt idx="21">
                  <c:v>725.6</c:v>
                </c:pt>
                <c:pt idx="22">
                  <c:v>725.6</c:v>
                </c:pt>
                <c:pt idx="23">
                  <c:v>725.6</c:v>
                </c:pt>
                <c:pt idx="24">
                  <c:v>725.6</c:v>
                </c:pt>
                <c:pt idx="25">
                  <c:v>725.6</c:v>
                </c:pt>
                <c:pt idx="26">
                  <c:v>725.6</c:v>
                </c:pt>
                <c:pt idx="27">
                  <c:v>725.6</c:v>
                </c:pt>
                <c:pt idx="28">
                  <c:v>725.6</c:v>
                </c:pt>
                <c:pt idx="29">
                  <c:v>725.6</c:v>
                </c:pt>
                <c:pt idx="30">
                  <c:v>725.6</c:v>
                </c:pt>
                <c:pt idx="31">
                  <c:v>725.6</c:v>
                </c:pt>
              </c:numCache>
            </c:numRef>
          </c:val>
          <c:smooth val="0"/>
        </c:ser>
        <c:ser>
          <c:idx val="2"/>
          <c:order val="2"/>
          <c:spPr>
            <a:ln w="25400" cmpd="sng">
              <a:solidFill>
                <a:srgbClr val="993366"/>
              </a:solidFill>
            </a:ln>
          </c:spPr>
          <c:marker>
            <c:symbol val="none"/>
          </c:marker>
          <c:cat>
            <c:numRef>
              <c:f>'Mitigation Data Scenario 3 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3 '!$K$8:$AP$8</c:f>
              <c:numCache>
                <c:formatCode>0</c:formatCode>
                <c:ptCount val="32"/>
                <c:pt idx="0">
                  <c:v>1022.5</c:v>
                </c:pt>
                <c:pt idx="1">
                  <c:v>1022.5</c:v>
                </c:pt>
                <c:pt idx="2">
                  <c:v>1022.5</c:v>
                </c:pt>
                <c:pt idx="3">
                  <c:v>1022.5</c:v>
                </c:pt>
                <c:pt idx="4">
                  <c:v>1022.5</c:v>
                </c:pt>
                <c:pt idx="5">
                  <c:v>1022.5</c:v>
                </c:pt>
                <c:pt idx="6">
                  <c:v>1022.5</c:v>
                </c:pt>
                <c:pt idx="7">
                  <c:v>1022.5</c:v>
                </c:pt>
                <c:pt idx="8">
                  <c:v>1022.5</c:v>
                </c:pt>
                <c:pt idx="9">
                  <c:v>1022.5</c:v>
                </c:pt>
                <c:pt idx="10">
                  <c:v>1022.5</c:v>
                </c:pt>
                <c:pt idx="11">
                  <c:v>1022.5</c:v>
                </c:pt>
                <c:pt idx="12">
                  <c:v>1022.5</c:v>
                </c:pt>
                <c:pt idx="13">
                  <c:v>1022.5</c:v>
                </c:pt>
                <c:pt idx="14">
                  <c:v>1022.5</c:v>
                </c:pt>
                <c:pt idx="15">
                  <c:v>1022.5</c:v>
                </c:pt>
                <c:pt idx="16">
                  <c:v>1022.5</c:v>
                </c:pt>
                <c:pt idx="17">
                  <c:v>1022.5</c:v>
                </c:pt>
                <c:pt idx="18">
                  <c:v>1022.5</c:v>
                </c:pt>
                <c:pt idx="19">
                  <c:v>1022.5</c:v>
                </c:pt>
                <c:pt idx="20">
                  <c:v>1022.5</c:v>
                </c:pt>
                <c:pt idx="21">
                  <c:v>1022.5</c:v>
                </c:pt>
                <c:pt idx="22">
                  <c:v>1022.5</c:v>
                </c:pt>
                <c:pt idx="23">
                  <c:v>1022.5</c:v>
                </c:pt>
                <c:pt idx="24">
                  <c:v>1022.5</c:v>
                </c:pt>
                <c:pt idx="25">
                  <c:v>1022.5</c:v>
                </c:pt>
                <c:pt idx="26">
                  <c:v>1022.5</c:v>
                </c:pt>
                <c:pt idx="27">
                  <c:v>1022.5</c:v>
                </c:pt>
                <c:pt idx="28">
                  <c:v>1022.5</c:v>
                </c:pt>
                <c:pt idx="29">
                  <c:v>1022.5</c:v>
                </c:pt>
                <c:pt idx="30">
                  <c:v>1022.5</c:v>
                </c:pt>
                <c:pt idx="31">
                  <c:v>1022.5</c:v>
                </c:pt>
              </c:numCache>
            </c:numRef>
          </c:val>
          <c:smooth val="0"/>
        </c:ser>
        <c:ser>
          <c:idx val="3"/>
          <c:order val="3"/>
          <c:spPr>
            <a:ln w="25400" cmpd="sng">
              <a:solidFill>
                <a:srgbClr val="666699"/>
              </a:solidFill>
            </a:ln>
          </c:spPr>
          <c:marker>
            <c:symbol val="none"/>
          </c:marker>
          <c:cat>
            <c:numRef>
              <c:f>'Mitigation Data Scenario 3 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3 '!$K$9:$AP$9</c:f>
              <c:numCache>
                <c:formatCode>_(* #,##0_);_(* \(#,##0\);_(* "-"??_);_(@_)</c:formatCode>
                <c:ptCount val="32"/>
                <c:pt idx="0">
                  <c:v>580.70000000000005</c:v>
                </c:pt>
                <c:pt idx="1">
                  <c:v>294.09999999999997</c:v>
                </c:pt>
                <c:pt idx="2">
                  <c:v>295.49736986322739</c:v>
                </c:pt>
                <c:pt idx="3">
                  <c:v>292.95302464168628</c:v>
                </c:pt>
                <c:pt idx="4">
                  <c:v>292.95302464168628</c:v>
                </c:pt>
                <c:pt idx="5">
                  <c:v>305.85683755339676</c:v>
                </c:pt>
                <c:pt idx="6">
                  <c:v>305.85683755339676</c:v>
                </c:pt>
                <c:pt idx="7">
                  <c:v>305.85683755339676</c:v>
                </c:pt>
                <c:pt idx="8">
                  <c:v>298.78951848175228</c:v>
                </c:pt>
                <c:pt idx="9">
                  <c:v>318.22233755437196</c:v>
                </c:pt>
                <c:pt idx="10">
                  <c:v>318.22233755437196</c:v>
                </c:pt>
                <c:pt idx="11">
                  <c:v>321.20475728280309</c:v>
                </c:pt>
                <c:pt idx="12">
                  <c:v>325.26749623174953</c:v>
                </c:pt>
                <c:pt idx="13">
                  <c:v>338.90777291293273</c:v>
                </c:pt>
                <c:pt idx="14">
                  <c:v>338.90777291293273</c:v>
                </c:pt>
                <c:pt idx="15">
                  <c:v>326.85510381102642</c:v>
                </c:pt>
                <c:pt idx="16">
                  <c:v>331.68422306170595</c:v>
                </c:pt>
                <c:pt idx="17">
                  <c:v>336.51334231238548</c:v>
                </c:pt>
                <c:pt idx="18">
                  <c:v>339.27415809814681</c:v>
                </c:pt>
                <c:pt idx="19">
                  <c:v>339.27415809814681</c:v>
                </c:pt>
                <c:pt idx="20">
                  <c:v>339.27415809814681</c:v>
                </c:pt>
                <c:pt idx="21">
                  <c:v>342.08280340153431</c:v>
                </c:pt>
                <c:pt idx="22">
                  <c:v>342.08280340153431</c:v>
                </c:pt>
                <c:pt idx="23">
                  <c:v>342.08280340153431</c:v>
                </c:pt>
                <c:pt idx="24">
                  <c:v>342.08280340153431</c:v>
                </c:pt>
                <c:pt idx="25">
                  <c:v>342.08280340153431</c:v>
                </c:pt>
                <c:pt idx="26">
                  <c:v>352.23965077390039</c:v>
                </c:pt>
                <c:pt idx="27">
                  <c:v>352.23965077390039</c:v>
                </c:pt>
                <c:pt idx="28">
                  <c:v>352.23965077390039</c:v>
                </c:pt>
                <c:pt idx="29">
                  <c:v>352.23965077390039</c:v>
                </c:pt>
                <c:pt idx="30">
                  <c:v>368.30593661746127</c:v>
                </c:pt>
                <c:pt idx="31">
                  <c:v>368.30593661746127</c:v>
                </c:pt>
              </c:numCache>
            </c:numRef>
          </c:val>
          <c:smooth val="0"/>
        </c:ser>
        <c:ser>
          <c:idx val="4"/>
          <c:order val="4"/>
          <c:spPr>
            <a:ln w="25400" cmpd="sng">
              <a:solidFill>
                <a:srgbClr val="666699"/>
              </a:solidFill>
            </a:ln>
          </c:spPr>
          <c:marker>
            <c:symbol val="none"/>
          </c:marker>
          <c:cat>
            <c:numRef>
              <c:f>'Mitigation Data Scenario 3 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3 '!$K$12:$AP$12</c:f>
              <c:numCache>
                <c:formatCode>0</c:formatCode>
                <c:ptCount val="32"/>
                <c:pt idx="0">
                  <c:v>847.6</c:v>
                </c:pt>
                <c:pt idx="1">
                  <c:v>744.63739999999996</c:v>
                </c:pt>
                <c:pt idx="2">
                  <c:v>727.84399480093828</c:v>
                </c:pt>
                <c:pt idx="3">
                  <c:v>713.96999480093825</c:v>
                </c:pt>
                <c:pt idx="4">
                  <c:v>700.09599480093834</c:v>
                </c:pt>
                <c:pt idx="5">
                  <c:v>605.09263856042537</c:v>
                </c:pt>
                <c:pt idx="6">
                  <c:v>591.21863856042546</c:v>
                </c:pt>
                <c:pt idx="7">
                  <c:v>577.34463856042544</c:v>
                </c:pt>
                <c:pt idx="8">
                  <c:v>518.98695193622461</c:v>
                </c:pt>
                <c:pt idx="9">
                  <c:v>530.28126000658347</c:v>
                </c:pt>
                <c:pt idx="10">
                  <c:v>498.30934008776893</c:v>
                </c:pt>
                <c:pt idx="11">
                  <c:v>408.80589689141885</c:v>
                </c:pt>
                <c:pt idx="12">
                  <c:v>390.09874856284023</c:v>
                </c:pt>
                <c:pt idx="13">
                  <c:v>392.80568258129</c:v>
                </c:pt>
                <c:pt idx="14">
                  <c:v>392.80568258129</c:v>
                </c:pt>
                <c:pt idx="15">
                  <c:v>339.70824997597833</c:v>
                </c:pt>
                <c:pt idx="16">
                  <c:v>349.58598678185444</c:v>
                </c:pt>
                <c:pt idx="17">
                  <c:v>359.4637235877305</c:v>
                </c:pt>
                <c:pt idx="18">
                  <c:v>365.1108427176672</c:v>
                </c:pt>
                <c:pt idx="19">
                  <c:v>365.1108427176672</c:v>
                </c:pt>
                <c:pt idx="20">
                  <c:v>365.1108427176672</c:v>
                </c:pt>
                <c:pt idx="21">
                  <c:v>365.32790500587589</c:v>
                </c:pt>
                <c:pt idx="22">
                  <c:v>365.32790500587589</c:v>
                </c:pt>
                <c:pt idx="23">
                  <c:v>365.32790500587589</c:v>
                </c:pt>
                <c:pt idx="24">
                  <c:v>365.32790500587589</c:v>
                </c:pt>
                <c:pt idx="25">
                  <c:v>365.32790500587589</c:v>
                </c:pt>
                <c:pt idx="26">
                  <c:v>386.10325966450625</c:v>
                </c:pt>
                <c:pt idx="27">
                  <c:v>371.33735966450621</c:v>
                </c:pt>
                <c:pt idx="28">
                  <c:v>371.33735966450621</c:v>
                </c:pt>
                <c:pt idx="29">
                  <c:v>371.33735966450621</c:v>
                </c:pt>
                <c:pt idx="30">
                  <c:v>404.20019339724848</c:v>
                </c:pt>
                <c:pt idx="31">
                  <c:v>404.20019339724848</c:v>
                </c:pt>
              </c:numCache>
            </c:numRef>
          </c:val>
          <c:smooth val="0"/>
        </c:ser>
        <c:ser>
          <c:idx val="5"/>
          <c:order val="5"/>
          <c:spPr>
            <a:ln w="25400" cmpd="sng">
              <a:solidFill>
                <a:srgbClr val="339966"/>
              </a:solidFill>
            </a:ln>
          </c:spPr>
          <c:marker>
            <c:symbol val="none"/>
          </c:marker>
          <c:cat>
            <c:numRef>
              <c:f>'Mitigation Data Scenario 3 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3 '!$K$13:$AP$13</c:f>
              <c:numCache>
                <c:formatCode>0</c:formatCode>
                <c:ptCount val="32"/>
                <c:pt idx="0">
                  <c:v>7502</c:v>
                </c:pt>
                <c:pt idx="1">
                  <c:v>6779</c:v>
                </c:pt>
                <c:pt idx="2">
                  <c:v>6753.2090321784372</c:v>
                </c:pt>
                <c:pt idx="3">
                  <c:v>6753.2090321784372</c:v>
                </c:pt>
                <c:pt idx="4">
                  <c:v>6753.2090321784372</c:v>
                </c:pt>
                <c:pt idx="5">
                  <c:v>6986.3834173571149</c:v>
                </c:pt>
                <c:pt idx="6">
                  <c:v>6986.3834173571149</c:v>
                </c:pt>
                <c:pt idx="7">
                  <c:v>6986.3834173571149</c:v>
                </c:pt>
                <c:pt idx="8">
                  <c:v>6761.242427068797</c:v>
                </c:pt>
                <c:pt idx="9">
                  <c:v>222.58738410814476</c:v>
                </c:pt>
                <c:pt idx="10">
                  <c:v>222.58738410814476</c:v>
                </c:pt>
                <c:pt idx="11">
                  <c:v>223.19188158270936</c:v>
                </c:pt>
                <c:pt idx="12">
                  <c:v>222.77798925393199</c:v>
                </c:pt>
                <c:pt idx="13">
                  <c:v>223.23620563503027</c:v>
                </c:pt>
                <c:pt idx="14">
                  <c:v>223.23620563503027</c:v>
                </c:pt>
                <c:pt idx="15">
                  <c:v>223.15634780256732</c:v>
                </c:pt>
                <c:pt idx="16">
                  <c:v>223.41946297140294</c:v>
                </c:pt>
                <c:pt idx="17">
                  <c:v>222.68257814023946</c:v>
                </c:pt>
                <c:pt idx="18">
                  <c:v>222.57105124823556</c:v>
                </c:pt>
                <c:pt idx="19">
                  <c:v>222.57105124823556</c:v>
                </c:pt>
                <c:pt idx="20">
                  <c:v>222.57105124823556</c:v>
                </c:pt>
                <c:pt idx="21">
                  <c:v>223.48864956321449</c:v>
                </c:pt>
                <c:pt idx="22">
                  <c:v>223.48864956321449</c:v>
                </c:pt>
                <c:pt idx="23">
                  <c:v>223.48864956321449</c:v>
                </c:pt>
                <c:pt idx="24">
                  <c:v>223.48864956321449</c:v>
                </c:pt>
                <c:pt idx="25">
                  <c:v>223.48864956321449</c:v>
                </c:pt>
                <c:pt idx="26">
                  <c:v>223.02483825483978</c:v>
                </c:pt>
                <c:pt idx="27">
                  <c:v>223.02483825483978</c:v>
                </c:pt>
                <c:pt idx="28">
                  <c:v>223.02483825483978</c:v>
                </c:pt>
                <c:pt idx="29">
                  <c:v>223.02483825483978</c:v>
                </c:pt>
                <c:pt idx="30">
                  <c:v>223.34571854886417</c:v>
                </c:pt>
                <c:pt idx="31">
                  <c:v>223.34571854886417</c:v>
                </c:pt>
              </c:numCache>
            </c:numRef>
          </c:val>
          <c:smooth val="0"/>
        </c:ser>
        <c:ser>
          <c:idx val="6"/>
          <c:order val="6"/>
          <c:spPr>
            <a:ln w="25400" cmpd="sng">
              <a:solidFill>
                <a:srgbClr val="808000"/>
              </a:solidFill>
            </a:ln>
          </c:spPr>
          <c:marker>
            <c:symbol val="none"/>
          </c:marker>
          <c:cat>
            <c:numRef>
              <c:f>'Mitigation Data Scenario 3 '!$K$5:$AP$5</c:f>
              <c:numCache>
                <c:formatCode>General</c:formatCode>
                <c:ptCount val="3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  <c:pt idx="28">
                  <c:v>2037</c:v>
                </c:pt>
                <c:pt idx="29">
                  <c:v>2038</c:v>
                </c:pt>
                <c:pt idx="30">
                  <c:v>2039</c:v>
                </c:pt>
                <c:pt idx="31">
                  <c:v>2040</c:v>
                </c:pt>
              </c:numCache>
            </c:numRef>
          </c:cat>
          <c:val>
            <c:numRef>
              <c:f>'Mitigation Data Scenario 3 '!$K$14:$AP$14</c:f>
              <c:numCache>
                <c:formatCode>_(* #,##0_);_(* \(#,##0\);_(* "-"??_);_(@_)</c:formatCode>
                <c:ptCount val="32"/>
                <c:pt idx="0">
                  <c:v>8569</c:v>
                </c:pt>
                <c:pt idx="1">
                  <c:v>7514</c:v>
                </c:pt>
                <c:pt idx="2">
                  <c:v>7344.5408153475109</c:v>
                </c:pt>
                <c:pt idx="3">
                  <c:v>7204.5408153475109</c:v>
                </c:pt>
                <c:pt idx="4">
                  <c:v>7064.5408153475109</c:v>
                </c:pt>
                <c:pt idx="5">
                  <c:v>6105.8792992979361</c:v>
                </c:pt>
                <c:pt idx="6">
                  <c:v>5965.8792992979361</c:v>
                </c:pt>
                <c:pt idx="7">
                  <c:v>5825.8792992979361</c:v>
                </c:pt>
                <c:pt idx="8">
                  <c:v>5237.0025422424278</c:v>
                </c:pt>
                <c:pt idx="9">
                  <c:v>5350.9713421451415</c:v>
                </c:pt>
                <c:pt idx="10">
                  <c:v>5028.3485377171437</c:v>
                </c:pt>
                <c:pt idx="11">
                  <c:v>4125.1856396712301</c:v>
                </c:pt>
                <c:pt idx="12">
                  <c:v>3936.4152226320912</c:v>
                </c:pt>
                <c:pt idx="13">
                  <c:v>3963.7303994075683</c:v>
                </c:pt>
                <c:pt idx="14">
                  <c:v>3963.7303994075683</c:v>
                </c:pt>
                <c:pt idx="15">
                  <c:v>3427.933904903919</c:v>
                </c:pt>
                <c:pt idx="16">
                  <c:v>3527.6083429046867</c:v>
                </c:pt>
                <c:pt idx="17">
                  <c:v>3627.2827809054543</c:v>
                </c:pt>
                <c:pt idx="18">
                  <c:v>3684.2668286343815</c:v>
                </c:pt>
                <c:pt idx="19">
                  <c:v>3684.2668286343815</c:v>
                </c:pt>
                <c:pt idx="20">
                  <c:v>3684.2668286343815</c:v>
                </c:pt>
                <c:pt idx="21">
                  <c:v>3686.4571645396154</c:v>
                </c:pt>
                <c:pt idx="22">
                  <c:v>3686.4571645396154</c:v>
                </c:pt>
                <c:pt idx="23">
                  <c:v>3686.4571645396154</c:v>
                </c:pt>
                <c:pt idx="24">
                  <c:v>3686.4571645396154</c:v>
                </c:pt>
                <c:pt idx="25">
                  <c:v>3686.4571645396154</c:v>
                </c:pt>
                <c:pt idx="26">
                  <c:v>3896.0974739102548</c:v>
                </c:pt>
                <c:pt idx="27">
                  <c:v>3747.0974739102548</c:v>
                </c:pt>
                <c:pt idx="28">
                  <c:v>3747.0974739102548</c:v>
                </c:pt>
                <c:pt idx="29">
                  <c:v>3747.0974739102548</c:v>
                </c:pt>
                <c:pt idx="30">
                  <c:v>4078.7103269147174</c:v>
                </c:pt>
                <c:pt idx="31">
                  <c:v>4078.7103269147174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503888"/>
        <c:axId val="347504448"/>
      </c:lineChart>
      <c:catAx>
        <c:axId val="34750388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47504448"/>
        <c:crosses val="autoZero"/>
        <c:auto val="1"/>
        <c:lblAlgn val="ctr"/>
        <c:lblOffset val="100"/>
        <c:noMultiLvlLbl val="1"/>
      </c:catAx>
      <c:valAx>
        <c:axId val="347504448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MTCDE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4750388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2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3" name="Chart 3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3" name="Chart 4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5" name="Chart 5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6" name="Chart 6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7" name="Chart 7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50</xdr:row>
      <xdr:rowOff>28575</xdr:rowOff>
    </xdr:to>
    <xdr:sp macro="" textlink="">
      <xdr:nvSpPr>
        <xdr:cNvPr id="2057" name="Rectangle 9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50</xdr:row>
      <xdr:rowOff>28575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8" name="Chart 8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51</xdr:row>
      <xdr:rowOff>180975</xdr:rowOff>
    </xdr:to>
    <xdr:sp macro="" textlink="">
      <xdr:nvSpPr>
        <xdr:cNvPr id="1035" name="Rectangle 1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51</xdr:row>
      <xdr:rowOff>180975</xdr:rowOff>
    </xdr:to>
    <xdr:sp macro="" textlink="">
      <xdr:nvSpPr>
        <xdr:cNvPr id="2" name="AutoShape 1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9" name="Chart 9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10" name="Chart 10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50</xdr:row>
      <xdr:rowOff>28575</xdr:rowOff>
    </xdr:to>
    <xdr:sp macro="" textlink="">
      <xdr:nvSpPr>
        <xdr:cNvPr id="3081" name="Rectangle 9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50</xdr:row>
      <xdr:rowOff>28575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11" name="Chart 11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51</xdr:row>
      <xdr:rowOff>180975</xdr:rowOff>
    </xdr:to>
    <xdr:sp macro="" textlink="">
      <xdr:nvSpPr>
        <xdr:cNvPr id="4107" name="Rectangle 1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51</xdr:row>
      <xdr:rowOff>180975</xdr:rowOff>
    </xdr:to>
    <xdr:sp macro="" textlink="">
      <xdr:nvSpPr>
        <xdr:cNvPr id="2" name="AutoShape 1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12" name="Chart 12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13" name="Chart 13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50</xdr:row>
      <xdr:rowOff>28575</xdr:rowOff>
    </xdr:to>
    <xdr:sp macro="" textlink="">
      <xdr:nvSpPr>
        <xdr:cNvPr id="5129" name="Rectangle 9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50</xdr:row>
      <xdr:rowOff>28575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14" name="Chart 14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49</xdr:row>
      <xdr:rowOff>180975</xdr:rowOff>
    </xdr:to>
    <xdr:sp macro="" textlink="">
      <xdr:nvSpPr>
        <xdr:cNvPr id="6155" name="Rectangle 1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49</xdr:row>
      <xdr:rowOff>180975</xdr:rowOff>
    </xdr:to>
    <xdr:sp macro="" textlink="">
      <xdr:nvSpPr>
        <xdr:cNvPr id="2" name="AutoShape 1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"/>
  <sheetViews>
    <sheetView workbookViewId="0">
      <selection activeCell="A24" sqref="A24"/>
    </sheetView>
  </sheetViews>
  <sheetFormatPr defaultColWidth="15.140625" defaultRowHeight="15" customHeight="1"/>
  <cols>
    <col min="1" max="1" width="30.85546875" customWidth="1"/>
    <col min="2" max="42" width="11.140625" customWidth="1"/>
    <col min="43" max="52" width="8" customWidth="1"/>
  </cols>
  <sheetData>
    <row r="1" spans="1:52" ht="2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5.75" customHeight="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5.75" customHeight="1">
      <c r="A4" s="2"/>
      <c r="B4" s="177" t="s">
        <v>2</v>
      </c>
      <c r="C4" s="178"/>
      <c r="D4" s="178"/>
      <c r="E4" s="178"/>
      <c r="F4" s="178"/>
      <c r="G4" s="178"/>
      <c r="H4" s="178"/>
      <c r="I4" s="178"/>
      <c r="J4" s="178"/>
      <c r="K4" s="179"/>
      <c r="L4" s="176" t="s">
        <v>293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5.75" customHeight="1">
      <c r="A5" s="4" t="s">
        <v>3</v>
      </c>
      <c r="B5" s="5">
        <v>2000</v>
      </c>
      <c r="C5" s="4">
        <v>2001</v>
      </c>
      <c r="D5" s="4">
        <v>2002</v>
      </c>
      <c r="E5" s="4">
        <v>2003</v>
      </c>
      <c r="F5" s="4">
        <v>2004</v>
      </c>
      <c r="G5" s="4">
        <v>2005</v>
      </c>
      <c r="H5" s="4">
        <v>2006</v>
      </c>
      <c r="I5" s="4">
        <v>2007</v>
      </c>
      <c r="J5" s="6">
        <v>2008</v>
      </c>
      <c r="K5" s="7">
        <v>2009</v>
      </c>
      <c r="L5" s="4">
        <v>2010</v>
      </c>
      <c r="M5" s="4">
        <v>2011</v>
      </c>
      <c r="N5" s="4">
        <v>2012</v>
      </c>
      <c r="O5" s="4">
        <v>2013</v>
      </c>
      <c r="P5" s="4">
        <v>2014</v>
      </c>
      <c r="Q5" s="4">
        <v>2015</v>
      </c>
      <c r="R5" s="4">
        <v>2016</v>
      </c>
      <c r="S5" s="4">
        <v>2017</v>
      </c>
      <c r="T5" s="4">
        <v>2018</v>
      </c>
      <c r="U5" s="4">
        <v>2019</v>
      </c>
      <c r="V5" s="4">
        <v>2020</v>
      </c>
      <c r="W5" s="4">
        <v>2021</v>
      </c>
      <c r="X5" s="4">
        <v>2022</v>
      </c>
      <c r="Y5" s="4">
        <v>2023</v>
      </c>
      <c r="Z5" s="4">
        <v>2024</v>
      </c>
      <c r="AA5" s="4">
        <v>2025</v>
      </c>
      <c r="AB5" s="4">
        <v>2026</v>
      </c>
      <c r="AC5" s="4">
        <v>2027</v>
      </c>
      <c r="AD5" s="4">
        <v>2028</v>
      </c>
      <c r="AE5" s="4">
        <v>2029</v>
      </c>
      <c r="AF5" s="4">
        <v>2030</v>
      </c>
      <c r="AG5" s="4">
        <v>2031</v>
      </c>
      <c r="AH5" s="4">
        <v>2032</v>
      </c>
      <c r="AI5" s="4">
        <v>2033</v>
      </c>
      <c r="AJ5" s="4">
        <v>2034</v>
      </c>
      <c r="AK5" s="4">
        <v>2035</v>
      </c>
      <c r="AL5" s="4">
        <v>2036</v>
      </c>
      <c r="AM5" s="4">
        <v>2037</v>
      </c>
      <c r="AN5" s="4">
        <v>2038</v>
      </c>
      <c r="AO5" s="4">
        <v>2039</v>
      </c>
      <c r="AP5" s="4">
        <v>2040</v>
      </c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>
      <c r="A6" s="2" t="s">
        <v>4</v>
      </c>
      <c r="B6" s="8">
        <v>8261.9</v>
      </c>
      <c r="C6" s="2">
        <v>8092.7</v>
      </c>
      <c r="D6" s="2">
        <v>7895.3</v>
      </c>
      <c r="E6" s="2">
        <v>9424.6</v>
      </c>
      <c r="F6" s="2">
        <v>9347.7000000000007</v>
      </c>
      <c r="G6" s="2">
        <v>8348.5</v>
      </c>
      <c r="H6" s="2">
        <v>6962.6</v>
      </c>
      <c r="I6" s="9">
        <v>6845.1</v>
      </c>
      <c r="J6" s="10">
        <v>7690.1</v>
      </c>
      <c r="K6" s="11">
        <v>7502</v>
      </c>
      <c r="L6" s="12">
        <f t="shared" ref="L6:AP6" si="0">(L36*$B$44*$B$46)</f>
        <v>7502</v>
      </c>
      <c r="M6" s="12">
        <f t="shared" si="0"/>
        <v>7538.5466815398458</v>
      </c>
      <c r="N6" s="12">
        <f t="shared" si="0"/>
        <v>7538.5466815398458</v>
      </c>
      <c r="O6" s="12">
        <f t="shared" si="0"/>
        <v>7538.5466815398458</v>
      </c>
      <c r="P6" s="12">
        <f t="shared" si="0"/>
        <v>7879.2727518821885</v>
      </c>
      <c r="Q6" s="12">
        <f t="shared" si="0"/>
        <v>7879.2727518821885</v>
      </c>
      <c r="R6" s="12">
        <f t="shared" si="0"/>
        <v>7879.2727518821885</v>
      </c>
      <c r="S6" s="12">
        <f t="shared" si="0"/>
        <v>7692.6117920638762</v>
      </c>
      <c r="T6" s="12">
        <f t="shared" si="0"/>
        <v>8205.6733793041149</v>
      </c>
      <c r="U6" s="12">
        <f t="shared" si="0"/>
        <v>8205.6733793041149</v>
      </c>
      <c r="V6" s="12">
        <f t="shared" si="0"/>
        <v>8284.3952233861128</v>
      </c>
      <c r="W6" s="12">
        <f t="shared" si="0"/>
        <v>8391.6328706511031</v>
      </c>
      <c r="X6" s="12">
        <f t="shared" si="0"/>
        <v>9739.4261780459092</v>
      </c>
      <c r="Y6" s="12">
        <f t="shared" si="0"/>
        <v>9739.4261780459092</v>
      </c>
      <c r="Z6" s="12">
        <f t="shared" si="0"/>
        <v>9421.0718838235152</v>
      </c>
      <c r="AA6" s="12">
        <f t="shared" si="0"/>
        <v>9548.5851108639781</v>
      </c>
      <c r="AB6" s="12">
        <f t="shared" si="0"/>
        <v>9676.098337904441</v>
      </c>
      <c r="AC6" s="12">
        <f t="shared" si="0"/>
        <v>9748.9978692334989</v>
      </c>
      <c r="AD6" s="12">
        <f t="shared" si="0"/>
        <v>9748.9978692334989</v>
      </c>
      <c r="AE6" s="12">
        <f t="shared" si="0"/>
        <v>9748.9978692334989</v>
      </c>
      <c r="AF6" s="12">
        <f t="shared" si="0"/>
        <v>9823.1363279358029</v>
      </c>
      <c r="AG6" s="12">
        <f t="shared" si="0"/>
        <v>9823.1363279358029</v>
      </c>
      <c r="AH6" s="12">
        <f t="shared" si="0"/>
        <v>9823.1363279358029</v>
      </c>
      <c r="AI6" s="12">
        <f t="shared" si="0"/>
        <v>9823.1363279358029</v>
      </c>
      <c r="AJ6" s="12">
        <f t="shared" si="0"/>
        <v>9823.1363279358029</v>
      </c>
      <c r="AK6" s="12">
        <f t="shared" si="0"/>
        <v>10091.32858366144</v>
      </c>
      <c r="AL6" s="12">
        <f t="shared" si="0"/>
        <v>10091.32858366144</v>
      </c>
      <c r="AM6" s="12">
        <f t="shared" si="0"/>
        <v>10091.32858366144</v>
      </c>
      <c r="AN6" s="12">
        <f t="shared" si="0"/>
        <v>10091.32858366144</v>
      </c>
      <c r="AO6" s="12">
        <f t="shared" si="0"/>
        <v>10515.559969991082</v>
      </c>
      <c r="AP6" s="12">
        <f t="shared" si="0"/>
        <v>10515.559969991082</v>
      </c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>
      <c r="A7" s="2" t="s">
        <v>5</v>
      </c>
      <c r="B7" s="13">
        <v>127.5</v>
      </c>
      <c r="C7" s="2">
        <v>178.6</v>
      </c>
      <c r="D7" s="2">
        <v>236.7</v>
      </c>
      <c r="E7" s="2">
        <v>256.8</v>
      </c>
      <c r="F7" s="2">
        <v>256</v>
      </c>
      <c r="G7" s="2">
        <v>274.2</v>
      </c>
      <c r="H7" s="2">
        <v>253.9</v>
      </c>
      <c r="I7" s="9">
        <v>122.3</v>
      </c>
      <c r="J7" s="9">
        <v>130.30000000000001</v>
      </c>
      <c r="K7" s="11">
        <v>126.6</v>
      </c>
      <c r="L7" s="12">
        <f t="shared" ref="L7:AP7" si="1">L29*$B$49</f>
        <v>126.59999999999998</v>
      </c>
      <c r="M7" s="12">
        <f t="shared" si="1"/>
        <v>127.21726107705717</v>
      </c>
      <c r="N7" s="12">
        <f t="shared" si="1"/>
        <v>127.21726107705717</v>
      </c>
      <c r="O7" s="12">
        <f t="shared" si="1"/>
        <v>127.21726107705717</v>
      </c>
      <c r="P7" s="12">
        <f t="shared" si="1"/>
        <v>132.96807677830671</v>
      </c>
      <c r="Q7" s="12">
        <f t="shared" si="1"/>
        <v>132.96807677830671</v>
      </c>
      <c r="R7" s="12">
        <f t="shared" si="1"/>
        <v>132.96807677830671</v>
      </c>
      <c r="S7" s="12">
        <f t="shared" si="1"/>
        <v>129.8183992557762</v>
      </c>
      <c r="T7" s="12">
        <f t="shared" si="1"/>
        <v>138.47898367427337</v>
      </c>
      <c r="U7" s="12">
        <f t="shared" si="1"/>
        <v>138.47898367427337</v>
      </c>
      <c r="V7" s="12">
        <f t="shared" si="1"/>
        <v>139.80815252686986</v>
      </c>
      <c r="W7" s="12">
        <f t="shared" si="1"/>
        <v>141.61878501957096</v>
      </c>
      <c r="X7" s="12">
        <f t="shared" si="1"/>
        <v>136.58711962383151</v>
      </c>
      <c r="Y7" s="12">
        <f t="shared" si="1"/>
        <v>136.58711962383151</v>
      </c>
      <c r="Z7" s="12">
        <f t="shared" si="1"/>
        <v>131.21563142980287</v>
      </c>
      <c r="AA7" s="12">
        <f t="shared" si="1"/>
        <v>133.36781505180895</v>
      </c>
      <c r="AB7" s="12">
        <f t="shared" si="1"/>
        <v>135.51999867381505</v>
      </c>
      <c r="AC7" s="12">
        <f t="shared" si="1"/>
        <v>136.75040575408238</v>
      </c>
      <c r="AD7" s="12">
        <f t="shared" si="1"/>
        <v>147.86110514111192</v>
      </c>
      <c r="AE7" s="12">
        <f t="shared" si="1"/>
        <v>147.86110514111192</v>
      </c>
      <c r="AF7" s="12">
        <f t="shared" si="1"/>
        <v>149.11282830390695</v>
      </c>
      <c r="AG7" s="12">
        <f t="shared" si="1"/>
        <v>149.11282830390695</v>
      </c>
      <c r="AH7" s="12">
        <f t="shared" si="1"/>
        <v>149.11282830390695</v>
      </c>
      <c r="AI7" s="12">
        <f t="shared" si="1"/>
        <v>149.11282830390695</v>
      </c>
      <c r="AJ7" s="12">
        <f t="shared" si="1"/>
        <v>149.11282830390695</v>
      </c>
      <c r="AK7" s="12">
        <f t="shared" si="1"/>
        <v>153.63940953565972</v>
      </c>
      <c r="AL7" s="12">
        <f t="shared" si="1"/>
        <v>153.63940953565972</v>
      </c>
      <c r="AM7" s="12">
        <f t="shared" si="1"/>
        <v>153.63940953565972</v>
      </c>
      <c r="AN7" s="12">
        <f t="shared" si="1"/>
        <v>153.63940953565972</v>
      </c>
      <c r="AO7" s="12">
        <f t="shared" si="1"/>
        <v>160.79963802952321</v>
      </c>
      <c r="AP7" s="12">
        <f t="shared" si="1"/>
        <v>160.79963802952321</v>
      </c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>
      <c r="A8" s="2" t="s">
        <v>6</v>
      </c>
      <c r="B8" s="13">
        <v>160</v>
      </c>
      <c r="C8" s="2">
        <v>160</v>
      </c>
      <c r="D8" s="2">
        <v>160</v>
      </c>
      <c r="E8" s="2">
        <v>160</v>
      </c>
      <c r="F8" s="2">
        <v>160</v>
      </c>
      <c r="G8" s="2">
        <v>160</v>
      </c>
      <c r="H8" s="2">
        <v>160</v>
      </c>
      <c r="I8" s="2">
        <v>160</v>
      </c>
      <c r="J8" s="2">
        <v>160</v>
      </c>
      <c r="K8" s="11">
        <v>160</v>
      </c>
      <c r="L8" s="12">
        <f t="shared" ref="L8:AP8" si="2">L29*$B$50</f>
        <v>160</v>
      </c>
      <c r="M8" s="12">
        <f t="shared" si="2"/>
        <v>160.78010878617025</v>
      </c>
      <c r="N8" s="12">
        <f t="shared" si="2"/>
        <v>160.78010878617025</v>
      </c>
      <c r="O8" s="12">
        <f t="shared" si="2"/>
        <v>160.78010878617025</v>
      </c>
      <c r="P8" s="12">
        <f t="shared" si="2"/>
        <v>168.04812231065623</v>
      </c>
      <c r="Q8" s="12">
        <f t="shared" si="2"/>
        <v>168.04812231065623</v>
      </c>
      <c r="R8" s="12">
        <f t="shared" si="2"/>
        <v>168.04812231065623</v>
      </c>
      <c r="S8" s="12">
        <f t="shared" si="2"/>
        <v>164.06748721109159</v>
      </c>
      <c r="T8" s="12">
        <f t="shared" si="2"/>
        <v>175.01293355358405</v>
      </c>
      <c r="U8" s="12">
        <f t="shared" si="2"/>
        <v>175.01293355358405</v>
      </c>
      <c r="V8" s="12">
        <f t="shared" si="2"/>
        <v>176.69276780647061</v>
      </c>
      <c r="W8" s="12">
        <f t="shared" si="2"/>
        <v>178.98108691256996</v>
      </c>
      <c r="X8" s="12">
        <f t="shared" si="2"/>
        <v>172.6219521312247</v>
      </c>
      <c r="Y8" s="12">
        <f t="shared" si="2"/>
        <v>172.6219521312247</v>
      </c>
      <c r="Z8" s="12">
        <f t="shared" si="2"/>
        <v>165.83334145946654</v>
      </c>
      <c r="AA8" s="12">
        <f t="shared" si="2"/>
        <v>168.55332076058008</v>
      </c>
      <c r="AB8" s="12">
        <f t="shared" si="2"/>
        <v>171.27330006169362</v>
      </c>
      <c r="AC8" s="12">
        <f t="shared" si="2"/>
        <v>172.82831690879294</v>
      </c>
      <c r="AD8" s="12">
        <f t="shared" si="2"/>
        <v>186.87027505985711</v>
      </c>
      <c r="AE8" s="12">
        <f t="shared" si="2"/>
        <v>186.87027505985711</v>
      </c>
      <c r="AF8" s="12">
        <f t="shared" si="2"/>
        <v>188.4522316637055</v>
      </c>
      <c r="AG8" s="12">
        <f t="shared" si="2"/>
        <v>188.4522316637055</v>
      </c>
      <c r="AH8" s="12">
        <f t="shared" si="2"/>
        <v>188.4522316637055</v>
      </c>
      <c r="AI8" s="12">
        <f t="shared" si="2"/>
        <v>188.4522316637055</v>
      </c>
      <c r="AJ8" s="12">
        <f t="shared" si="2"/>
        <v>188.4522316637055</v>
      </c>
      <c r="AK8" s="12">
        <f t="shared" si="2"/>
        <v>194.17302942895387</v>
      </c>
      <c r="AL8" s="12">
        <f t="shared" si="2"/>
        <v>194.17302942895387</v>
      </c>
      <c r="AM8" s="12">
        <f t="shared" si="2"/>
        <v>194.17302942895387</v>
      </c>
      <c r="AN8" s="12">
        <f t="shared" si="2"/>
        <v>194.17302942895387</v>
      </c>
      <c r="AO8" s="12">
        <f t="shared" si="2"/>
        <v>203.22229134852856</v>
      </c>
      <c r="AP8" s="12">
        <f t="shared" si="2"/>
        <v>203.22229134852856</v>
      </c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>
      <c r="A9" s="14" t="s">
        <v>7</v>
      </c>
      <c r="B9" s="15">
        <f t="shared" ref="B9:AP9" si="3">7.5+B8+B7</f>
        <v>295</v>
      </c>
      <c r="C9" s="15">
        <f t="shared" si="3"/>
        <v>346.1</v>
      </c>
      <c r="D9" s="15">
        <f t="shared" si="3"/>
        <v>404.2</v>
      </c>
      <c r="E9" s="15">
        <f t="shared" si="3"/>
        <v>424.3</v>
      </c>
      <c r="F9" s="15">
        <f t="shared" si="3"/>
        <v>423.5</v>
      </c>
      <c r="G9" s="15">
        <f t="shared" si="3"/>
        <v>441.7</v>
      </c>
      <c r="H9" s="15">
        <f t="shared" si="3"/>
        <v>421.4</v>
      </c>
      <c r="I9" s="15">
        <f t="shared" si="3"/>
        <v>289.8</v>
      </c>
      <c r="J9" s="15">
        <f t="shared" si="3"/>
        <v>297.8</v>
      </c>
      <c r="K9" s="15">
        <f t="shared" si="3"/>
        <v>294.10000000000002</v>
      </c>
      <c r="L9" s="15">
        <f t="shared" si="3"/>
        <v>294.09999999999997</v>
      </c>
      <c r="M9" s="15">
        <f t="shared" si="3"/>
        <v>295.49736986322739</v>
      </c>
      <c r="N9" s="15">
        <f t="shared" si="3"/>
        <v>295.49736986322739</v>
      </c>
      <c r="O9" s="15">
        <f t="shared" si="3"/>
        <v>295.49736986322739</v>
      </c>
      <c r="P9" s="15">
        <f t="shared" si="3"/>
        <v>308.51619908896294</v>
      </c>
      <c r="Q9" s="15">
        <f t="shared" si="3"/>
        <v>308.51619908896294</v>
      </c>
      <c r="R9" s="15">
        <f t="shared" si="3"/>
        <v>308.51619908896294</v>
      </c>
      <c r="S9" s="15">
        <f t="shared" si="3"/>
        <v>301.38588646686776</v>
      </c>
      <c r="T9" s="15">
        <f t="shared" si="3"/>
        <v>320.99191722785741</v>
      </c>
      <c r="U9" s="15">
        <f t="shared" si="3"/>
        <v>320.99191722785741</v>
      </c>
      <c r="V9" s="15">
        <f t="shared" si="3"/>
        <v>324.00092033334045</v>
      </c>
      <c r="W9" s="15">
        <f t="shared" si="3"/>
        <v>328.0998719321409</v>
      </c>
      <c r="X9" s="15">
        <f t="shared" si="3"/>
        <v>316.70907175505624</v>
      </c>
      <c r="Y9" s="15">
        <f t="shared" si="3"/>
        <v>316.70907175505624</v>
      </c>
      <c r="Z9" s="15">
        <f t="shared" si="3"/>
        <v>304.54897288926941</v>
      </c>
      <c r="AA9" s="15">
        <f t="shared" si="3"/>
        <v>309.42113581238902</v>
      </c>
      <c r="AB9" s="15">
        <f t="shared" si="3"/>
        <v>314.29329873550864</v>
      </c>
      <c r="AC9" s="15">
        <f t="shared" si="3"/>
        <v>317.07872266287529</v>
      </c>
      <c r="AD9" s="15">
        <f t="shared" si="3"/>
        <v>342.23138020096906</v>
      </c>
      <c r="AE9" s="15">
        <f t="shared" si="3"/>
        <v>342.23138020096906</v>
      </c>
      <c r="AF9" s="15">
        <f t="shared" si="3"/>
        <v>345.06505996761246</v>
      </c>
      <c r="AG9" s="15">
        <f t="shared" si="3"/>
        <v>345.06505996761246</v>
      </c>
      <c r="AH9" s="15">
        <f t="shared" si="3"/>
        <v>345.06505996761246</v>
      </c>
      <c r="AI9" s="15">
        <f t="shared" si="3"/>
        <v>345.06505996761246</v>
      </c>
      <c r="AJ9" s="15">
        <f t="shared" si="3"/>
        <v>345.06505996761246</v>
      </c>
      <c r="AK9" s="15">
        <f t="shared" si="3"/>
        <v>355.31243896461359</v>
      </c>
      <c r="AL9" s="15">
        <f t="shared" si="3"/>
        <v>355.31243896461359</v>
      </c>
      <c r="AM9" s="15">
        <f t="shared" si="3"/>
        <v>355.31243896461359</v>
      </c>
      <c r="AN9" s="15">
        <f t="shared" si="3"/>
        <v>355.31243896461359</v>
      </c>
      <c r="AO9" s="15">
        <f t="shared" si="3"/>
        <v>371.52192937805177</v>
      </c>
      <c r="AP9" s="15">
        <f t="shared" si="3"/>
        <v>371.52192937805177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52">
      <c r="A10" s="2" t="s">
        <v>8</v>
      </c>
      <c r="B10" s="16">
        <f>8969.9+887.1</f>
        <v>9857</v>
      </c>
      <c r="C10" s="12">
        <f>8673.7+857.8</f>
        <v>9531.5</v>
      </c>
      <c r="D10" s="12">
        <f>8968.9+887</f>
        <v>9855.9</v>
      </c>
      <c r="E10" s="12">
        <f>8916.8+881.9</f>
        <v>9798.6999999999989</v>
      </c>
      <c r="F10" s="12">
        <f>8625.8+853.1</f>
        <v>9478.9</v>
      </c>
      <c r="G10" s="12">
        <f>8817.3+872</f>
        <v>9689.2999999999993</v>
      </c>
      <c r="H10" s="12">
        <f>8840.1+874.3</f>
        <v>9714.4</v>
      </c>
      <c r="I10" s="12">
        <f>8040.8+795.2</f>
        <v>8836</v>
      </c>
      <c r="J10" s="12">
        <f>8501.4+840.8</f>
        <v>9342.1999999999989</v>
      </c>
      <c r="K10" s="11">
        <f>8569+847.6</f>
        <v>9416.6</v>
      </c>
      <c r="L10" s="12">
        <f t="shared" ref="L10:AP10" si="4">L36*$B$45*$B$47</f>
        <v>9416.6</v>
      </c>
      <c r="M10" s="12">
        <f t="shared" si="4"/>
        <v>9462.4738311634374</v>
      </c>
      <c r="N10" s="12">
        <f t="shared" si="4"/>
        <v>9462.4738311634374</v>
      </c>
      <c r="O10" s="12">
        <f t="shared" si="4"/>
        <v>9462.4738311634374</v>
      </c>
      <c r="P10" s="12">
        <f t="shared" si="4"/>
        <v>9890.1572641127459</v>
      </c>
      <c r="Q10" s="12">
        <f t="shared" si="4"/>
        <v>9890.1572641127459</v>
      </c>
      <c r="R10" s="12">
        <f t="shared" si="4"/>
        <v>9890.1572641127459</v>
      </c>
      <c r="S10" s="12">
        <f t="shared" si="4"/>
        <v>9655.8581979670344</v>
      </c>
      <c r="T10" s="12">
        <f t="shared" si="4"/>
        <v>10299.85923001268</v>
      </c>
      <c r="U10" s="12">
        <f t="shared" si="4"/>
        <v>10299.85923001268</v>
      </c>
      <c r="V10" s="12">
        <f t="shared" si="4"/>
        <v>10398.67182891731</v>
      </c>
      <c r="W10" s="12">
        <f t="shared" si="4"/>
        <v>10533.27780455521</v>
      </c>
      <c r="X10" s="12">
        <f t="shared" si="4"/>
        <v>12225.044061341925</v>
      </c>
      <c r="Y10" s="12">
        <f t="shared" si="4"/>
        <v>12225.044061341925</v>
      </c>
      <c r="Z10" s="12">
        <f t="shared" si="4"/>
        <v>11825.441948975276</v>
      </c>
      <c r="AA10" s="12">
        <f t="shared" si="4"/>
        <v>11985.498074508363</v>
      </c>
      <c r="AB10" s="12">
        <f t="shared" si="4"/>
        <v>12145.55420004145</v>
      </c>
      <c r="AC10" s="12">
        <f t="shared" si="4"/>
        <v>12237.058562439905</v>
      </c>
      <c r="AD10" s="12">
        <f t="shared" si="4"/>
        <v>12237.058562439905</v>
      </c>
      <c r="AE10" s="12">
        <f t="shared" si="4"/>
        <v>12237.058562439905</v>
      </c>
      <c r="AF10" s="12">
        <f t="shared" si="4"/>
        <v>12330.118041274365</v>
      </c>
      <c r="AG10" s="12">
        <f t="shared" si="4"/>
        <v>12330.118041274365</v>
      </c>
      <c r="AH10" s="12">
        <f t="shared" si="4"/>
        <v>12330.118041274365</v>
      </c>
      <c r="AI10" s="12">
        <f t="shared" si="4"/>
        <v>12330.118041274365</v>
      </c>
      <c r="AJ10" s="12">
        <f t="shared" si="4"/>
        <v>12330.118041274365</v>
      </c>
      <c r="AK10" s="12">
        <f t="shared" si="4"/>
        <v>12666.756163810493</v>
      </c>
      <c r="AL10" s="12">
        <f t="shared" si="4"/>
        <v>12666.756163810493</v>
      </c>
      <c r="AM10" s="12">
        <f t="shared" si="4"/>
        <v>12666.756163810493</v>
      </c>
      <c r="AN10" s="12">
        <f t="shared" si="4"/>
        <v>12666.756163810493</v>
      </c>
      <c r="AO10" s="12">
        <f t="shared" si="4"/>
        <v>13199.256466731276</v>
      </c>
      <c r="AP10" s="12">
        <f t="shared" si="4"/>
        <v>13199.256466731276</v>
      </c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>
      <c r="A11" s="17" t="s">
        <v>9</v>
      </c>
      <c r="B11" s="15">
        <v>1000</v>
      </c>
      <c r="C11" s="18">
        <v>1000</v>
      </c>
      <c r="D11" s="18">
        <v>1000</v>
      </c>
      <c r="E11" s="18">
        <v>1000</v>
      </c>
      <c r="F11" s="18">
        <v>1000</v>
      </c>
      <c r="G11" s="18">
        <v>1000</v>
      </c>
      <c r="H11" s="18">
        <v>1000</v>
      </c>
      <c r="I11" s="18">
        <v>1000</v>
      </c>
      <c r="J11" s="18">
        <v>1000</v>
      </c>
      <c r="K11" s="19">
        <f>861.9+160.6</f>
        <v>1022.5</v>
      </c>
      <c r="L11" s="18">
        <v>1022.5</v>
      </c>
      <c r="M11" s="18">
        <f t="shared" ref="M11:AP11" si="5">L11</f>
        <v>1022.5</v>
      </c>
      <c r="N11" s="18">
        <f t="shared" si="5"/>
        <v>1022.5</v>
      </c>
      <c r="O11" s="18">
        <f t="shared" si="5"/>
        <v>1022.5</v>
      </c>
      <c r="P11" s="18">
        <f t="shared" si="5"/>
        <v>1022.5</v>
      </c>
      <c r="Q11" s="18">
        <f t="shared" si="5"/>
        <v>1022.5</v>
      </c>
      <c r="R11" s="18">
        <f t="shared" si="5"/>
        <v>1022.5</v>
      </c>
      <c r="S11" s="18">
        <f t="shared" si="5"/>
        <v>1022.5</v>
      </c>
      <c r="T11" s="18">
        <f t="shared" si="5"/>
        <v>1022.5</v>
      </c>
      <c r="U11" s="18">
        <f t="shared" si="5"/>
        <v>1022.5</v>
      </c>
      <c r="V11" s="18">
        <f t="shared" si="5"/>
        <v>1022.5</v>
      </c>
      <c r="W11" s="18">
        <f t="shared" si="5"/>
        <v>1022.5</v>
      </c>
      <c r="X11" s="18">
        <f t="shared" si="5"/>
        <v>1022.5</v>
      </c>
      <c r="Y11" s="18">
        <f t="shared" si="5"/>
        <v>1022.5</v>
      </c>
      <c r="Z11" s="18">
        <f t="shared" si="5"/>
        <v>1022.5</v>
      </c>
      <c r="AA11" s="18">
        <f t="shared" si="5"/>
        <v>1022.5</v>
      </c>
      <c r="AB11" s="18">
        <f t="shared" si="5"/>
        <v>1022.5</v>
      </c>
      <c r="AC11" s="18">
        <f t="shared" si="5"/>
        <v>1022.5</v>
      </c>
      <c r="AD11" s="18">
        <f t="shared" si="5"/>
        <v>1022.5</v>
      </c>
      <c r="AE11" s="18">
        <f t="shared" si="5"/>
        <v>1022.5</v>
      </c>
      <c r="AF11" s="18">
        <f t="shared" si="5"/>
        <v>1022.5</v>
      </c>
      <c r="AG11" s="18">
        <f t="shared" si="5"/>
        <v>1022.5</v>
      </c>
      <c r="AH11" s="18">
        <f t="shared" si="5"/>
        <v>1022.5</v>
      </c>
      <c r="AI11" s="18">
        <f t="shared" si="5"/>
        <v>1022.5</v>
      </c>
      <c r="AJ11" s="18">
        <f t="shared" si="5"/>
        <v>1022.5</v>
      </c>
      <c r="AK11" s="18">
        <f t="shared" si="5"/>
        <v>1022.5</v>
      </c>
      <c r="AL11" s="18">
        <f t="shared" si="5"/>
        <v>1022.5</v>
      </c>
      <c r="AM11" s="18">
        <f t="shared" si="5"/>
        <v>1022.5</v>
      </c>
      <c r="AN11" s="18">
        <f t="shared" si="5"/>
        <v>1022.5</v>
      </c>
      <c r="AO11" s="18">
        <f t="shared" si="5"/>
        <v>1022.5</v>
      </c>
      <c r="AP11" s="18">
        <f t="shared" si="5"/>
        <v>1022.5</v>
      </c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>
      <c r="A12" s="2" t="s">
        <v>10</v>
      </c>
      <c r="B12" s="13">
        <v>727.9</v>
      </c>
      <c r="C12" s="2">
        <v>720.2</v>
      </c>
      <c r="D12" s="2">
        <v>725.5</v>
      </c>
      <c r="E12" s="2">
        <v>715.6</v>
      </c>
      <c r="F12" s="2">
        <v>723</v>
      </c>
      <c r="G12" s="2">
        <v>713.2</v>
      </c>
      <c r="H12" s="2">
        <v>729.6</v>
      </c>
      <c r="I12" s="12">
        <v>754</v>
      </c>
      <c r="J12" s="12">
        <v>725.6</v>
      </c>
      <c r="K12" s="11">
        <v>725.6</v>
      </c>
      <c r="L12" s="12">
        <v>725.6</v>
      </c>
      <c r="M12" s="12">
        <v>725.6</v>
      </c>
      <c r="N12" s="12">
        <v>725.6</v>
      </c>
      <c r="O12" s="12">
        <v>725.6</v>
      </c>
      <c r="P12" s="12">
        <v>725.6</v>
      </c>
      <c r="Q12" s="12">
        <v>725.6</v>
      </c>
      <c r="R12" s="12">
        <v>725.6</v>
      </c>
      <c r="S12" s="12">
        <v>725.6</v>
      </c>
      <c r="T12" s="12">
        <v>725.6</v>
      </c>
      <c r="U12" s="12">
        <v>725.6</v>
      </c>
      <c r="V12" s="12">
        <v>725.6</v>
      </c>
      <c r="W12" s="12">
        <v>725.6</v>
      </c>
      <c r="X12" s="12">
        <v>725.6</v>
      </c>
      <c r="Y12" s="12">
        <v>725.6</v>
      </c>
      <c r="Z12" s="12">
        <v>725.6</v>
      </c>
      <c r="AA12" s="12">
        <v>725.6</v>
      </c>
      <c r="AB12" s="12">
        <v>725.6</v>
      </c>
      <c r="AC12" s="12">
        <v>725.6</v>
      </c>
      <c r="AD12" s="12">
        <v>725.6</v>
      </c>
      <c r="AE12" s="12">
        <v>725.6</v>
      </c>
      <c r="AF12" s="12">
        <v>725.6</v>
      </c>
      <c r="AG12" s="12">
        <v>725.6</v>
      </c>
      <c r="AH12" s="12">
        <v>725.6</v>
      </c>
      <c r="AI12" s="12">
        <v>725.6</v>
      </c>
      <c r="AJ12" s="12">
        <v>725.6</v>
      </c>
      <c r="AK12" s="12">
        <v>725.6</v>
      </c>
      <c r="AL12" s="12">
        <v>725.6</v>
      </c>
      <c r="AM12" s="12">
        <v>725.6</v>
      </c>
      <c r="AN12" s="12">
        <v>725.6</v>
      </c>
      <c r="AO12" s="12">
        <v>725.6</v>
      </c>
      <c r="AP12" s="12">
        <v>725.6</v>
      </c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>
      <c r="A13" s="2"/>
      <c r="B13" s="13"/>
      <c r="C13" s="2"/>
      <c r="D13" s="2"/>
      <c r="E13" s="2"/>
      <c r="F13" s="2"/>
      <c r="G13" s="2"/>
      <c r="H13" s="2"/>
      <c r="I13" s="2"/>
      <c r="J13" s="2"/>
      <c r="K13" s="2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>
      <c r="A14" s="3" t="s">
        <v>11</v>
      </c>
      <c r="B14" s="21">
        <f t="shared" ref="B14:AP14" si="6">SUM(B6:B12)</f>
        <v>20429.300000000003</v>
      </c>
      <c r="C14" s="21">
        <f t="shared" si="6"/>
        <v>20029.100000000002</v>
      </c>
      <c r="D14" s="21">
        <f t="shared" si="6"/>
        <v>20277.599999999999</v>
      </c>
      <c r="E14" s="21">
        <f t="shared" si="6"/>
        <v>21779.999999999996</v>
      </c>
      <c r="F14" s="21">
        <f t="shared" si="6"/>
        <v>21389.1</v>
      </c>
      <c r="G14" s="21">
        <f t="shared" si="6"/>
        <v>20626.900000000001</v>
      </c>
      <c r="H14" s="21">
        <f t="shared" si="6"/>
        <v>19241.899999999998</v>
      </c>
      <c r="I14" s="21">
        <f t="shared" si="6"/>
        <v>18007.2</v>
      </c>
      <c r="J14" s="21">
        <f t="shared" si="6"/>
        <v>19346</v>
      </c>
      <c r="K14" s="22">
        <f t="shared" si="6"/>
        <v>19247.400000000001</v>
      </c>
      <c r="L14" s="21">
        <f t="shared" si="6"/>
        <v>19247.400000000001</v>
      </c>
      <c r="M14" s="21">
        <f t="shared" si="6"/>
        <v>19332.615252429736</v>
      </c>
      <c r="N14" s="21">
        <f t="shared" si="6"/>
        <v>19332.615252429736</v>
      </c>
      <c r="O14" s="21">
        <f t="shared" si="6"/>
        <v>19332.615252429736</v>
      </c>
      <c r="P14" s="21">
        <f t="shared" si="6"/>
        <v>20127.062414172859</v>
      </c>
      <c r="Q14" s="21">
        <f t="shared" si="6"/>
        <v>20127.062414172859</v>
      </c>
      <c r="R14" s="21">
        <f t="shared" si="6"/>
        <v>20127.062414172859</v>
      </c>
      <c r="S14" s="21">
        <f t="shared" si="6"/>
        <v>19691.841762964643</v>
      </c>
      <c r="T14" s="21">
        <f t="shared" si="6"/>
        <v>20888.116443772509</v>
      </c>
      <c r="U14" s="21">
        <f t="shared" si="6"/>
        <v>20888.116443772509</v>
      </c>
      <c r="V14" s="21">
        <f t="shared" si="6"/>
        <v>21071.668892970105</v>
      </c>
      <c r="W14" s="21">
        <f t="shared" si="6"/>
        <v>21321.710419070594</v>
      </c>
      <c r="X14" s="21">
        <f t="shared" si="6"/>
        <v>24338.488382897944</v>
      </c>
      <c r="Y14" s="21">
        <f t="shared" si="6"/>
        <v>24338.488382897944</v>
      </c>
      <c r="Z14" s="21">
        <f t="shared" si="6"/>
        <v>23596.21177857733</v>
      </c>
      <c r="AA14" s="21">
        <f t="shared" si="6"/>
        <v>23893.525456997115</v>
      </c>
      <c r="AB14" s="21">
        <f t="shared" si="6"/>
        <v>24190.839135416907</v>
      </c>
      <c r="AC14" s="21">
        <f t="shared" si="6"/>
        <v>24360.813876999153</v>
      </c>
      <c r="AD14" s="21">
        <f t="shared" si="6"/>
        <v>24411.119192075341</v>
      </c>
      <c r="AE14" s="21">
        <f t="shared" si="6"/>
        <v>24411.119192075341</v>
      </c>
      <c r="AF14" s="21">
        <f t="shared" si="6"/>
        <v>24583.98448914539</v>
      </c>
      <c r="AG14" s="21">
        <f t="shared" si="6"/>
        <v>24583.98448914539</v>
      </c>
      <c r="AH14" s="21">
        <f t="shared" si="6"/>
        <v>24583.98448914539</v>
      </c>
      <c r="AI14" s="21">
        <f t="shared" si="6"/>
        <v>24583.98448914539</v>
      </c>
      <c r="AJ14" s="21">
        <f t="shared" si="6"/>
        <v>24583.98448914539</v>
      </c>
      <c r="AK14" s="21">
        <f t="shared" si="6"/>
        <v>25209.309625401154</v>
      </c>
      <c r="AL14" s="21">
        <f t="shared" si="6"/>
        <v>25209.309625401154</v>
      </c>
      <c r="AM14" s="21">
        <f t="shared" si="6"/>
        <v>25209.309625401154</v>
      </c>
      <c r="AN14" s="21">
        <f t="shared" si="6"/>
        <v>25209.309625401154</v>
      </c>
      <c r="AO14" s="21">
        <f t="shared" si="6"/>
        <v>26198.46029547846</v>
      </c>
      <c r="AP14" s="21">
        <f t="shared" si="6"/>
        <v>26198.46029547846</v>
      </c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.75" customHeight="1">
      <c r="A16" s="3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.75" customHeight="1">
      <c r="A17" s="23" t="s">
        <v>13</v>
      </c>
      <c r="B17" s="24">
        <v>1538247</v>
      </c>
      <c r="C17" s="25">
        <f>B17</f>
        <v>1538247</v>
      </c>
      <c r="D17" s="25">
        <f>B17</f>
        <v>1538247</v>
      </c>
      <c r="E17" s="25">
        <f t="shared" ref="E17:K17" si="7">D17</f>
        <v>1538247</v>
      </c>
      <c r="F17" s="25">
        <f t="shared" si="7"/>
        <v>1538247</v>
      </c>
      <c r="G17" s="25">
        <f t="shared" si="7"/>
        <v>1538247</v>
      </c>
      <c r="H17" s="25">
        <f t="shared" si="7"/>
        <v>1538247</v>
      </c>
      <c r="I17" s="25">
        <f t="shared" si="7"/>
        <v>1538247</v>
      </c>
      <c r="J17" s="25">
        <f t="shared" si="7"/>
        <v>1538247</v>
      </c>
      <c r="K17" s="26">
        <f t="shared" si="7"/>
        <v>1538247</v>
      </c>
      <c r="L17" s="25">
        <f t="shared" ref="L17:AP17" si="8">L29</f>
        <v>1538247</v>
      </c>
      <c r="M17" s="25">
        <f t="shared" si="8"/>
        <v>1545747</v>
      </c>
      <c r="N17" s="25">
        <f t="shared" si="8"/>
        <v>1545747</v>
      </c>
      <c r="O17" s="25">
        <f t="shared" si="8"/>
        <v>1545747</v>
      </c>
      <c r="P17" s="25">
        <f t="shared" si="8"/>
        <v>1615622</v>
      </c>
      <c r="Q17" s="25">
        <f t="shared" si="8"/>
        <v>1615622</v>
      </c>
      <c r="R17" s="25">
        <f t="shared" si="8"/>
        <v>1615622</v>
      </c>
      <c r="S17" s="25">
        <f t="shared" si="8"/>
        <v>1577352</v>
      </c>
      <c r="T17" s="25">
        <f t="shared" si="8"/>
        <v>1682582</v>
      </c>
      <c r="U17" s="25">
        <f t="shared" si="8"/>
        <v>1682582</v>
      </c>
      <c r="V17" s="25">
        <f t="shared" si="8"/>
        <v>1698732</v>
      </c>
      <c r="W17" s="25">
        <f t="shared" si="8"/>
        <v>1720732</v>
      </c>
      <c r="X17" s="25">
        <f t="shared" si="8"/>
        <v>1659595</v>
      </c>
      <c r="Y17" s="25">
        <f t="shared" si="8"/>
        <v>1659595</v>
      </c>
      <c r="Z17" s="25">
        <f t="shared" si="8"/>
        <v>1594329</v>
      </c>
      <c r="AA17" s="25">
        <f t="shared" si="8"/>
        <v>1620479</v>
      </c>
      <c r="AB17" s="25">
        <f t="shared" si="8"/>
        <v>1646629</v>
      </c>
      <c r="AC17" s="25">
        <f t="shared" si="8"/>
        <v>1661579</v>
      </c>
      <c r="AD17" s="25">
        <f t="shared" si="8"/>
        <v>1796579</v>
      </c>
      <c r="AE17" s="25">
        <f t="shared" si="8"/>
        <v>1796579</v>
      </c>
      <c r="AF17" s="25">
        <f t="shared" si="8"/>
        <v>1811788</v>
      </c>
      <c r="AG17" s="25">
        <f t="shared" si="8"/>
        <v>1811788</v>
      </c>
      <c r="AH17" s="25">
        <f t="shared" si="8"/>
        <v>1811788</v>
      </c>
      <c r="AI17" s="25">
        <f t="shared" si="8"/>
        <v>1811788</v>
      </c>
      <c r="AJ17" s="25">
        <f t="shared" si="8"/>
        <v>1811788</v>
      </c>
      <c r="AK17" s="25">
        <f t="shared" si="8"/>
        <v>1866788</v>
      </c>
      <c r="AL17" s="25">
        <f t="shared" si="8"/>
        <v>1866788</v>
      </c>
      <c r="AM17" s="25">
        <f t="shared" si="8"/>
        <v>1866788</v>
      </c>
      <c r="AN17" s="25">
        <f t="shared" si="8"/>
        <v>1866788</v>
      </c>
      <c r="AO17" s="25">
        <f t="shared" si="8"/>
        <v>1953788</v>
      </c>
      <c r="AP17" s="27">
        <f t="shared" si="8"/>
        <v>1953788</v>
      </c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>
      <c r="A18" s="2" t="s">
        <v>14</v>
      </c>
      <c r="B18" s="28">
        <f t="shared" ref="B18:K18" si="9">B14/B17</f>
        <v>1.3280897021089593E-2</v>
      </c>
      <c r="C18" s="28">
        <f t="shared" si="9"/>
        <v>1.302073074090182E-2</v>
      </c>
      <c r="D18" s="28">
        <f t="shared" si="9"/>
        <v>1.3182278268704569E-2</v>
      </c>
      <c r="E18" s="28">
        <f t="shared" si="9"/>
        <v>1.4158974468989699E-2</v>
      </c>
      <c r="F18" s="28">
        <f t="shared" si="9"/>
        <v>1.3904854031894747E-2</v>
      </c>
      <c r="G18" s="28">
        <f t="shared" si="9"/>
        <v>1.3409354934545623E-2</v>
      </c>
      <c r="H18" s="28">
        <f t="shared" si="9"/>
        <v>1.2508979377174146E-2</v>
      </c>
      <c r="I18" s="28">
        <f t="shared" si="9"/>
        <v>1.1706312445270494E-2</v>
      </c>
      <c r="J18" s="28">
        <f t="shared" si="9"/>
        <v>1.2576653814374415E-2</v>
      </c>
      <c r="K18" s="29">
        <f t="shared" si="9"/>
        <v>1.2512554875777428E-2</v>
      </c>
      <c r="L18" s="12">
        <f t="shared" ref="L18:AP18" si="10">L17*$B$19</f>
        <v>20125.23333333333</v>
      </c>
      <c r="M18" s="12">
        <f t="shared" si="10"/>
        <v>20223.357529252451</v>
      </c>
      <c r="N18" s="12">
        <f t="shared" si="10"/>
        <v>20223.357529252451</v>
      </c>
      <c r="O18" s="12">
        <f t="shared" si="10"/>
        <v>20223.357529252451</v>
      </c>
      <c r="P18" s="12">
        <f t="shared" si="10"/>
        <v>21137.547954565594</v>
      </c>
      <c r="Q18" s="12">
        <f t="shared" si="10"/>
        <v>21137.547954565594</v>
      </c>
      <c r="R18" s="12">
        <f t="shared" si="10"/>
        <v>21137.547954565594</v>
      </c>
      <c r="S18" s="12">
        <f t="shared" si="10"/>
        <v>20636.852890855629</v>
      </c>
      <c r="T18" s="12">
        <f t="shared" si="10"/>
        <v>22013.600775731506</v>
      </c>
      <c r="U18" s="12">
        <f t="shared" si="10"/>
        <v>22013.600775731506</v>
      </c>
      <c r="V18" s="12">
        <f t="shared" si="10"/>
        <v>22224.894877610681</v>
      </c>
      <c r="W18" s="12">
        <f t="shared" si="10"/>
        <v>22512.725852306769</v>
      </c>
      <c r="X18" s="12">
        <f t="shared" si="10"/>
        <v>21712.856656852462</v>
      </c>
      <c r="Y18" s="12">
        <f t="shared" si="10"/>
        <v>21712.856656852462</v>
      </c>
      <c r="Z18" s="12">
        <f t="shared" si="10"/>
        <v>20858.966820738151</v>
      </c>
      <c r="AA18" s="12">
        <f t="shared" si="10"/>
        <v>21201.093183842819</v>
      </c>
      <c r="AB18" s="12">
        <f t="shared" si="10"/>
        <v>21543.219546947486</v>
      </c>
      <c r="AC18" s="12">
        <f t="shared" si="10"/>
        <v>21738.813777479601</v>
      </c>
      <c r="AD18" s="12">
        <f t="shared" si="10"/>
        <v>23505.049304023778</v>
      </c>
      <c r="AE18" s="12">
        <f t="shared" si="10"/>
        <v>23505.049304023778</v>
      </c>
      <c r="AF18" s="12">
        <f t="shared" si="10"/>
        <v>23704.032090121633</v>
      </c>
      <c r="AG18" s="12">
        <f t="shared" si="10"/>
        <v>23704.032090121633</v>
      </c>
      <c r="AH18" s="12">
        <f t="shared" si="10"/>
        <v>23704.032090121633</v>
      </c>
      <c r="AI18" s="12">
        <f t="shared" si="10"/>
        <v>23704.032090121633</v>
      </c>
      <c r="AJ18" s="12">
        <f t="shared" si="10"/>
        <v>23704.032090121633</v>
      </c>
      <c r="AK18" s="12">
        <f t="shared" si="10"/>
        <v>24423.609526861852</v>
      </c>
      <c r="AL18" s="12">
        <f t="shared" si="10"/>
        <v>24423.609526861852</v>
      </c>
      <c r="AM18" s="12">
        <f t="shared" si="10"/>
        <v>24423.609526861852</v>
      </c>
      <c r="AN18" s="12">
        <f t="shared" si="10"/>
        <v>24423.609526861852</v>
      </c>
      <c r="AO18" s="12">
        <f t="shared" si="10"/>
        <v>25561.850199523655</v>
      </c>
      <c r="AP18" s="30">
        <f t="shared" si="10"/>
        <v>25561.850199523655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>
      <c r="A19" s="2" t="s">
        <v>15</v>
      </c>
      <c r="B19" s="31">
        <f>AVERAGE(B18:J18)</f>
        <v>1.3083226122549455E-2</v>
      </c>
      <c r="C19" s="2"/>
      <c r="D19" s="2"/>
      <c r="E19" s="2"/>
      <c r="F19" s="2"/>
      <c r="G19" s="2"/>
      <c r="H19" s="2"/>
      <c r="I19" s="2"/>
      <c r="J19" s="2"/>
      <c r="K19" s="2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3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>
      <c r="A20" s="2" t="s">
        <v>16</v>
      </c>
      <c r="B20" s="12">
        <v>179849</v>
      </c>
      <c r="C20" s="2"/>
      <c r="D20" s="2"/>
      <c r="E20" s="2"/>
      <c r="F20" s="2"/>
      <c r="G20" s="2"/>
      <c r="H20" s="2"/>
      <c r="I20" s="2"/>
      <c r="J20" s="2"/>
      <c r="K20" s="2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3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.75" customHeight="1">
      <c r="A21" s="33" t="s">
        <v>17</v>
      </c>
      <c r="B21" s="34">
        <f>(B20*1000)/B17</f>
        <v>116.91815423660829</v>
      </c>
      <c r="C21" s="33"/>
      <c r="D21" s="33"/>
      <c r="E21" s="33"/>
      <c r="F21" s="33"/>
      <c r="G21" s="33"/>
      <c r="H21" s="33"/>
      <c r="I21" s="33"/>
      <c r="J21" s="33"/>
      <c r="K21" s="35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6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.75" customHeight="1">
      <c r="A22" s="2"/>
      <c r="B22" s="3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.75" customHeight="1">
      <c r="A23" s="3" t="s">
        <v>18</v>
      </c>
      <c r="B23" s="3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.75" customHeight="1">
      <c r="A24" s="25" t="s">
        <v>19</v>
      </c>
      <c r="B24" s="25">
        <f>B17</f>
        <v>1538247</v>
      </c>
      <c r="C24" s="25">
        <f t="shared" ref="C24:L24" si="11">B24</f>
        <v>1538247</v>
      </c>
      <c r="D24" s="25">
        <f t="shared" si="11"/>
        <v>1538247</v>
      </c>
      <c r="E24" s="25">
        <f t="shared" si="11"/>
        <v>1538247</v>
      </c>
      <c r="F24" s="25">
        <f t="shared" si="11"/>
        <v>1538247</v>
      </c>
      <c r="G24" s="25">
        <f t="shared" si="11"/>
        <v>1538247</v>
      </c>
      <c r="H24" s="25">
        <f t="shared" si="11"/>
        <v>1538247</v>
      </c>
      <c r="I24" s="25">
        <f t="shared" si="11"/>
        <v>1538247</v>
      </c>
      <c r="J24" s="25">
        <f t="shared" si="11"/>
        <v>1538247</v>
      </c>
      <c r="K24" s="25">
        <f t="shared" si="11"/>
        <v>1538247</v>
      </c>
      <c r="L24" s="25">
        <f t="shared" si="11"/>
        <v>1538247</v>
      </c>
      <c r="M24" s="25">
        <f t="shared" ref="M24:AP24" si="12">$B$24+M25-M26</f>
        <v>1505247</v>
      </c>
      <c r="N24" s="25">
        <f t="shared" si="12"/>
        <v>1505247</v>
      </c>
      <c r="O24" s="25">
        <f t="shared" si="12"/>
        <v>1505247</v>
      </c>
      <c r="P24" s="25">
        <f t="shared" si="12"/>
        <v>1505247</v>
      </c>
      <c r="Q24" s="25">
        <f t="shared" si="12"/>
        <v>1505247</v>
      </c>
      <c r="R24" s="25">
        <f t="shared" si="12"/>
        <v>1505247</v>
      </c>
      <c r="S24" s="25">
        <f t="shared" si="12"/>
        <v>1441977</v>
      </c>
      <c r="T24" s="25">
        <f t="shared" si="12"/>
        <v>1358332</v>
      </c>
      <c r="U24" s="25">
        <f t="shared" si="12"/>
        <v>1358332</v>
      </c>
      <c r="V24" s="25">
        <f t="shared" si="12"/>
        <v>1319832</v>
      </c>
      <c r="W24" s="25">
        <f t="shared" si="12"/>
        <v>1267994</v>
      </c>
      <c r="X24" s="25">
        <f t="shared" si="12"/>
        <v>1175768</v>
      </c>
      <c r="Y24" s="25">
        <f t="shared" si="12"/>
        <v>1175768</v>
      </c>
      <c r="Z24" s="25">
        <f t="shared" si="12"/>
        <v>1040102</v>
      </c>
      <c r="AA24" s="25">
        <f t="shared" si="12"/>
        <v>1040102</v>
      </c>
      <c r="AB24" s="25">
        <f t="shared" si="12"/>
        <v>1040102</v>
      </c>
      <c r="AC24" s="25">
        <f t="shared" si="12"/>
        <v>1040102</v>
      </c>
      <c r="AD24" s="25">
        <f t="shared" si="12"/>
        <v>1040102</v>
      </c>
      <c r="AE24" s="25">
        <f t="shared" si="12"/>
        <v>1040102</v>
      </c>
      <c r="AF24" s="25">
        <f t="shared" si="12"/>
        <v>1008390</v>
      </c>
      <c r="AG24" s="25">
        <f t="shared" si="12"/>
        <v>1008390</v>
      </c>
      <c r="AH24" s="25">
        <f t="shared" si="12"/>
        <v>1008390</v>
      </c>
      <c r="AI24" s="25">
        <f t="shared" si="12"/>
        <v>1008390</v>
      </c>
      <c r="AJ24" s="25">
        <f t="shared" si="12"/>
        <v>1008390</v>
      </c>
      <c r="AK24" s="25">
        <f t="shared" si="12"/>
        <v>1008390</v>
      </c>
      <c r="AL24" s="25">
        <f t="shared" si="12"/>
        <v>1008390</v>
      </c>
      <c r="AM24" s="25">
        <f t="shared" si="12"/>
        <v>1008390</v>
      </c>
      <c r="AN24" s="25">
        <f t="shared" si="12"/>
        <v>1008390</v>
      </c>
      <c r="AO24" s="25">
        <f t="shared" si="12"/>
        <v>1008390</v>
      </c>
      <c r="AP24" s="27">
        <f t="shared" si="12"/>
        <v>1008390</v>
      </c>
      <c r="AQ24" s="12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1:52">
      <c r="A25" s="12" t="s">
        <v>20</v>
      </c>
      <c r="B25" s="12"/>
      <c r="C25" s="12"/>
      <c r="D25" s="12"/>
      <c r="E25" s="12"/>
      <c r="F25" s="12"/>
      <c r="G25" s="12"/>
      <c r="H25" s="12"/>
      <c r="I25" s="12"/>
      <c r="J25" s="12"/>
      <c r="K25" s="12">
        <f t="shared" ref="K25:R25" si="13">J25</f>
        <v>0</v>
      </c>
      <c r="L25" s="12">
        <f t="shared" si="13"/>
        <v>0</v>
      </c>
      <c r="M25" s="12">
        <f t="shared" si="13"/>
        <v>0</v>
      </c>
      <c r="N25" s="12">
        <f t="shared" si="13"/>
        <v>0</v>
      </c>
      <c r="O25" s="12">
        <f t="shared" si="13"/>
        <v>0</v>
      </c>
      <c r="P25" s="12">
        <f t="shared" si="13"/>
        <v>0</v>
      </c>
      <c r="Q25" s="12">
        <f t="shared" si="13"/>
        <v>0</v>
      </c>
      <c r="R25" s="12">
        <f t="shared" si="13"/>
        <v>0</v>
      </c>
      <c r="S25" s="12">
        <f>R25-38270</f>
        <v>-38270</v>
      </c>
      <c r="T25" s="12">
        <f>S25-83645</f>
        <v>-121915</v>
      </c>
      <c r="U25" s="12">
        <f t="shared" ref="U25:W25" si="14">T25</f>
        <v>-121915</v>
      </c>
      <c r="V25" s="12">
        <f t="shared" si="14"/>
        <v>-121915</v>
      </c>
      <c r="W25" s="12">
        <f t="shared" si="14"/>
        <v>-121915</v>
      </c>
      <c r="X25" s="12">
        <f>W25-61137</f>
        <v>-183052</v>
      </c>
      <c r="Y25" s="12">
        <f t="shared" ref="Y25:Y26" si="15">X25</f>
        <v>-183052</v>
      </c>
      <c r="Z25" s="12">
        <f>Y25-65266</f>
        <v>-248318</v>
      </c>
      <c r="AA25" s="12">
        <f t="shared" ref="AA25:AP25" si="16">Z25</f>
        <v>-248318</v>
      </c>
      <c r="AB25" s="12">
        <f t="shared" si="16"/>
        <v>-248318</v>
      </c>
      <c r="AC25" s="12">
        <f t="shared" si="16"/>
        <v>-248318</v>
      </c>
      <c r="AD25" s="12">
        <f t="shared" si="16"/>
        <v>-248318</v>
      </c>
      <c r="AE25" s="12">
        <f t="shared" si="16"/>
        <v>-248318</v>
      </c>
      <c r="AF25" s="12">
        <f t="shared" si="16"/>
        <v>-248318</v>
      </c>
      <c r="AG25" s="12">
        <f t="shared" si="16"/>
        <v>-248318</v>
      </c>
      <c r="AH25" s="12">
        <f t="shared" si="16"/>
        <v>-248318</v>
      </c>
      <c r="AI25" s="12">
        <f t="shared" si="16"/>
        <v>-248318</v>
      </c>
      <c r="AJ25" s="12">
        <f t="shared" si="16"/>
        <v>-248318</v>
      </c>
      <c r="AK25" s="12">
        <f t="shared" si="16"/>
        <v>-248318</v>
      </c>
      <c r="AL25" s="12">
        <f t="shared" si="16"/>
        <v>-248318</v>
      </c>
      <c r="AM25" s="12">
        <f t="shared" si="16"/>
        <v>-248318</v>
      </c>
      <c r="AN25" s="12">
        <f t="shared" si="16"/>
        <v>-248318</v>
      </c>
      <c r="AO25" s="12">
        <f t="shared" si="16"/>
        <v>-248318</v>
      </c>
      <c r="AP25" s="30">
        <f t="shared" si="16"/>
        <v>-248318</v>
      </c>
      <c r="AQ25" s="12"/>
      <c r="AR25" s="12"/>
      <c r="AS25" s="12"/>
      <c r="AT25" s="12"/>
      <c r="AU25" s="12"/>
      <c r="AV25" s="12"/>
      <c r="AW25" s="12"/>
      <c r="AX25" s="12"/>
      <c r="AY25" s="12"/>
      <c r="AZ25" s="12"/>
    </row>
    <row r="26" spans="1:52">
      <c r="A26" s="12" t="s">
        <v>21</v>
      </c>
      <c r="B26" s="12"/>
      <c r="C26" s="12"/>
      <c r="D26" s="12"/>
      <c r="E26" s="12"/>
      <c r="F26" s="12"/>
      <c r="G26" s="12"/>
      <c r="H26" s="12"/>
      <c r="I26" s="12"/>
      <c r="J26" s="12"/>
      <c r="K26" s="12">
        <f t="shared" ref="K26:L26" si="17">J26</f>
        <v>0</v>
      </c>
      <c r="L26" s="12">
        <f t="shared" si="17"/>
        <v>0</v>
      </c>
      <c r="M26" s="12">
        <v>33000</v>
      </c>
      <c r="N26" s="12">
        <f t="shared" ref="N26:R26" si="18">M26</f>
        <v>33000</v>
      </c>
      <c r="O26" s="12">
        <f t="shared" si="18"/>
        <v>33000</v>
      </c>
      <c r="P26" s="12">
        <f t="shared" si="18"/>
        <v>33000</v>
      </c>
      <c r="Q26" s="12">
        <f t="shared" si="18"/>
        <v>33000</v>
      </c>
      <c r="R26" s="12">
        <f t="shared" si="18"/>
        <v>33000</v>
      </c>
      <c r="S26" s="12">
        <f>R26+25000</f>
        <v>58000</v>
      </c>
      <c r="T26" s="12">
        <f t="shared" ref="T26:U26" si="19">S26</f>
        <v>58000</v>
      </c>
      <c r="U26" s="12">
        <f t="shared" si="19"/>
        <v>58000</v>
      </c>
      <c r="V26" s="12">
        <f>U26+38500</f>
        <v>96500</v>
      </c>
      <c r="W26" s="12">
        <f>V26+30455+21383</f>
        <v>148338</v>
      </c>
      <c r="X26" s="12">
        <f>W26+31089</f>
        <v>179427</v>
      </c>
      <c r="Y26" s="12">
        <f t="shared" si="15"/>
        <v>179427</v>
      </c>
      <c r="Z26" s="12">
        <f>Y26+70400</f>
        <v>249827</v>
      </c>
      <c r="AA26" s="12">
        <f t="shared" ref="AA26:AE26" si="20">Z26</f>
        <v>249827</v>
      </c>
      <c r="AB26" s="12">
        <f t="shared" si="20"/>
        <v>249827</v>
      </c>
      <c r="AC26" s="12">
        <f t="shared" si="20"/>
        <v>249827</v>
      </c>
      <c r="AD26" s="12">
        <f t="shared" si="20"/>
        <v>249827</v>
      </c>
      <c r="AE26" s="12">
        <f t="shared" si="20"/>
        <v>249827</v>
      </c>
      <c r="AF26" s="12">
        <f>AE26+31712</f>
        <v>281539</v>
      </c>
      <c r="AG26" s="12">
        <f t="shared" ref="AG26:AP26" si="21">AF26</f>
        <v>281539</v>
      </c>
      <c r="AH26" s="12">
        <f t="shared" si="21"/>
        <v>281539</v>
      </c>
      <c r="AI26" s="12">
        <f t="shared" si="21"/>
        <v>281539</v>
      </c>
      <c r="AJ26" s="12">
        <f t="shared" si="21"/>
        <v>281539</v>
      </c>
      <c r="AK26" s="12">
        <f t="shared" si="21"/>
        <v>281539</v>
      </c>
      <c r="AL26" s="12">
        <f t="shared" si="21"/>
        <v>281539</v>
      </c>
      <c r="AM26" s="12">
        <f t="shared" si="21"/>
        <v>281539</v>
      </c>
      <c r="AN26" s="12">
        <f t="shared" si="21"/>
        <v>281539</v>
      </c>
      <c r="AO26" s="12">
        <f t="shared" si="21"/>
        <v>281539</v>
      </c>
      <c r="AP26" s="30">
        <f t="shared" si="21"/>
        <v>281539</v>
      </c>
      <c r="AQ26" s="12"/>
      <c r="AR26" s="12"/>
      <c r="AS26" s="12"/>
      <c r="AT26" s="12"/>
      <c r="AU26" s="12"/>
      <c r="AV26" s="12"/>
      <c r="AW26" s="12"/>
      <c r="AX26" s="12"/>
      <c r="AY26" s="12"/>
      <c r="AZ26" s="12"/>
    </row>
    <row r="27" spans="1:52">
      <c r="A27" s="12" t="s">
        <v>22</v>
      </c>
      <c r="B27" s="12"/>
      <c r="C27" s="12"/>
      <c r="D27" s="12"/>
      <c r="E27" s="12"/>
      <c r="F27" s="12"/>
      <c r="G27" s="12"/>
      <c r="H27" s="12"/>
      <c r="I27" s="12"/>
      <c r="J27" s="12"/>
      <c r="K27" s="12">
        <f t="shared" ref="K27:L27" si="22">J27</f>
        <v>0</v>
      </c>
      <c r="L27" s="12">
        <f t="shared" si="22"/>
        <v>0</v>
      </c>
      <c r="M27" s="12">
        <v>7500</v>
      </c>
      <c r="N27" s="12">
        <f t="shared" ref="N27:O27" si="23">M27</f>
        <v>7500</v>
      </c>
      <c r="O27" s="12">
        <f t="shared" si="23"/>
        <v>7500</v>
      </c>
      <c r="P27" s="12">
        <f>O27+69875</f>
        <v>77375</v>
      </c>
      <c r="Q27" s="12">
        <f t="shared" ref="Q27:S27" si="24">P27</f>
        <v>77375</v>
      </c>
      <c r="R27" s="12">
        <f t="shared" si="24"/>
        <v>77375</v>
      </c>
      <c r="S27" s="12">
        <f t="shared" si="24"/>
        <v>77375</v>
      </c>
      <c r="T27" s="12">
        <f>S27+188875</f>
        <v>266250</v>
      </c>
      <c r="U27" s="12">
        <f>T27</f>
        <v>266250</v>
      </c>
      <c r="V27" s="12">
        <f>U27+16150</f>
        <v>282400</v>
      </c>
      <c r="W27" s="12">
        <f>V27+22000</f>
        <v>304400</v>
      </c>
      <c r="X27" s="12">
        <f t="shared" ref="X27:Z27" si="25">W27</f>
        <v>304400</v>
      </c>
      <c r="Y27" s="12">
        <f t="shared" si="25"/>
        <v>304400</v>
      </c>
      <c r="Z27" s="12">
        <f t="shared" si="25"/>
        <v>304400</v>
      </c>
      <c r="AA27" s="12">
        <f t="shared" ref="AA27:AB27" si="26">Z27+26150</f>
        <v>330550</v>
      </c>
      <c r="AB27" s="12">
        <f t="shared" si="26"/>
        <v>356700</v>
      </c>
      <c r="AC27" s="12">
        <f>AB27+14950</f>
        <v>371650</v>
      </c>
      <c r="AD27" s="12">
        <f t="shared" ref="AD27:AE27" si="27">AC27</f>
        <v>371650</v>
      </c>
      <c r="AE27" s="12">
        <f t="shared" si="27"/>
        <v>371650</v>
      </c>
      <c r="AF27" s="12">
        <f>AE27+15209</f>
        <v>386859</v>
      </c>
      <c r="AG27" s="12">
        <f t="shared" ref="AG27:AJ27" si="28">AF27</f>
        <v>386859</v>
      </c>
      <c r="AH27" s="12">
        <f t="shared" si="28"/>
        <v>386859</v>
      </c>
      <c r="AI27" s="12">
        <f t="shared" si="28"/>
        <v>386859</v>
      </c>
      <c r="AJ27" s="12">
        <f t="shared" si="28"/>
        <v>386859</v>
      </c>
      <c r="AK27" s="12">
        <f>AJ27+55000</f>
        <v>441859</v>
      </c>
      <c r="AL27" s="12">
        <f t="shared" ref="AL27:AN27" si="29">AK27</f>
        <v>441859</v>
      </c>
      <c r="AM27" s="12">
        <f t="shared" si="29"/>
        <v>441859</v>
      </c>
      <c r="AN27" s="12">
        <f t="shared" si="29"/>
        <v>441859</v>
      </c>
      <c r="AO27" s="12">
        <f>AN27+87000</f>
        <v>528859</v>
      </c>
      <c r="AP27" s="30">
        <f>AO27</f>
        <v>528859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</row>
    <row r="28" spans="1:52">
      <c r="A28" s="12" t="s">
        <v>23</v>
      </c>
      <c r="B28" s="12"/>
      <c r="C28" s="12"/>
      <c r="D28" s="12"/>
      <c r="E28" s="12"/>
      <c r="F28" s="12"/>
      <c r="G28" s="12"/>
      <c r="H28" s="12"/>
      <c r="I28" s="12"/>
      <c r="J28" s="12"/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135000</v>
      </c>
      <c r="Y28" s="12">
        <f t="shared" ref="Y28:AP28" si="30">X28</f>
        <v>135000</v>
      </c>
      <c r="Z28" s="12">
        <f t="shared" si="30"/>
        <v>135000</v>
      </c>
      <c r="AA28" s="12">
        <f t="shared" si="30"/>
        <v>135000</v>
      </c>
      <c r="AB28" s="12">
        <f t="shared" si="30"/>
        <v>135000</v>
      </c>
      <c r="AC28" s="12">
        <f t="shared" si="30"/>
        <v>135000</v>
      </c>
      <c r="AD28" s="12">
        <f t="shared" si="30"/>
        <v>135000</v>
      </c>
      <c r="AE28" s="12">
        <f t="shared" si="30"/>
        <v>135000</v>
      </c>
      <c r="AF28" s="12">
        <f t="shared" si="30"/>
        <v>135000</v>
      </c>
      <c r="AG28" s="12">
        <f t="shared" si="30"/>
        <v>135000</v>
      </c>
      <c r="AH28" s="12">
        <f t="shared" si="30"/>
        <v>135000</v>
      </c>
      <c r="AI28" s="12">
        <f t="shared" si="30"/>
        <v>135000</v>
      </c>
      <c r="AJ28" s="12">
        <f t="shared" si="30"/>
        <v>135000</v>
      </c>
      <c r="AK28" s="12">
        <f t="shared" si="30"/>
        <v>135000</v>
      </c>
      <c r="AL28" s="12">
        <f t="shared" si="30"/>
        <v>135000</v>
      </c>
      <c r="AM28" s="12">
        <f t="shared" si="30"/>
        <v>135000</v>
      </c>
      <c r="AN28" s="12">
        <f t="shared" si="30"/>
        <v>135000</v>
      </c>
      <c r="AO28" s="12">
        <f t="shared" si="30"/>
        <v>135000</v>
      </c>
      <c r="AP28" s="30">
        <f t="shared" si="30"/>
        <v>135000</v>
      </c>
      <c r="AQ28" s="12"/>
      <c r="AR28" s="12"/>
      <c r="AS28" s="12"/>
      <c r="AT28" s="12"/>
      <c r="AU28" s="12"/>
      <c r="AV28" s="12"/>
      <c r="AW28" s="12"/>
      <c r="AX28" s="12"/>
      <c r="AY28" s="12"/>
      <c r="AZ28" s="12"/>
    </row>
    <row r="29" spans="1:52" ht="15.75" customHeight="1">
      <c r="A29" s="38" t="s">
        <v>24</v>
      </c>
      <c r="B29" s="38">
        <f t="shared" ref="B29:K29" si="31">SUM(B24:B27)</f>
        <v>1538247</v>
      </c>
      <c r="C29" s="38">
        <f t="shared" si="31"/>
        <v>1538247</v>
      </c>
      <c r="D29" s="38">
        <f t="shared" si="31"/>
        <v>1538247</v>
      </c>
      <c r="E29" s="38">
        <f t="shared" si="31"/>
        <v>1538247</v>
      </c>
      <c r="F29" s="38">
        <f t="shared" si="31"/>
        <v>1538247</v>
      </c>
      <c r="G29" s="38">
        <f t="shared" si="31"/>
        <v>1538247</v>
      </c>
      <c r="H29" s="38">
        <f t="shared" si="31"/>
        <v>1538247</v>
      </c>
      <c r="I29" s="38">
        <f t="shared" si="31"/>
        <v>1538247</v>
      </c>
      <c r="J29" s="38">
        <f t="shared" si="31"/>
        <v>1538247</v>
      </c>
      <c r="K29" s="38">
        <f t="shared" si="31"/>
        <v>1538247</v>
      </c>
      <c r="L29" s="38">
        <f t="shared" ref="L29:AC29" si="32">L24+L26+L27</f>
        <v>1538247</v>
      </c>
      <c r="M29" s="38">
        <f t="shared" si="32"/>
        <v>1545747</v>
      </c>
      <c r="N29" s="38">
        <f t="shared" si="32"/>
        <v>1545747</v>
      </c>
      <c r="O29" s="38">
        <f t="shared" si="32"/>
        <v>1545747</v>
      </c>
      <c r="P29" s="38">
        <f t="shared" si="32"/>
        <v>1615622</v>
      </c>
      <c r="Q29" s="38">
        <f t="shared" si="32"/>
        <v>1615622</v>
      </c>
      <c r="R29" s="38">
        <f t="shared" si="32"/>
        <v>1615622</v>
      </c>
      <c r="S29" s="38">
        <f t="shared" si="32"/>
        <v>1577352</v>
      </c>
      <c r="T29" s="38">
        <f t="shared" si="32"/>
        <v>1682582</v>
      </c>
      <c r="U29" s="38">
        <f t="shared" si="32"/>
        <v>1682582</v>
      </c>
      <c r="V29" s="38">
        <f t="shared" si="32"/>
        <v>1698732</v>
      </c>
      <c r="W29" s="38">
        <f t="shared" si="32"/>
        <v>1720732</v>
      </c>
      <c r="X29" s="38">
        <f t="shared" si="32"/>
        <v>1659595</v>
      </c>
      <c r="Y29" s="38">
        <f t="shared" si="32"/>
        <v>1659595</v>
      </c>
      <c r="Z29" s="38">
        <f t="shared" si="32"/>
        <v>1594329</v>
      </c>
      <c r="AA29" s="38">
        <f t="shared" si="32"/>
        <v>1620479</v>
      </c>
      <c r="AB29" s="38">
        <f t="shared" si="32"/>
        <v>1646629</v>
      </c>
      <c r="AC29" s="38">
        <f t="shared" si="32"/>
        <v>1661579</v>
      </c>
      <c r="AD29" s="38">
        <f t="shared" ref="AD29:AP29" si="33">AD24+AD26+AD27+AD28</f>
        <v>1796579</v>
      </c>
      <c r="AE29" s="38">
        <f t="shared" si="33"/>
        <v>1796579</v>
      </c>
      <c r="AF29" s="38">
        <f t="shared" si="33"/>
        <v>1811788</v>
      </c>
      <c r="AG29" s="38">
        <f t="shared" si="33"/>
        <v>1811788</v>
      </c>
      <c r="AH29" s="38">
        <f t="shared" si="33"/>
        <v>1811788</v>
      </c>
      <c r="AI29" s="38">
        <f t="shared" si="33"/>
        <v>1811788</v>
      </c>
      <c r="AJ29" s="38">
        <f t="shared" si="33"/>
        <v>1811788</v>
      </c>
      <c r="AK29" s="38">
        <f t="shared" si="33"/>
        <v>1866788</v>
      </c>
      <c r="AL29" s="38">
        <f t="shared" si="33"/>
        <v>1866788</v>
      </c>
      <c r="AM29" s="38">
        <f t="shared" si="33"/>
        <v>1866788</v>
      </c>
      <c r="AN29" s="38">
        <f t="shared" si="33"/>
        <v>1866788</v>
      </c>
      <c r="AO29" s="38">
        <f t="shared" si="33"/>
        <v>1953788</v>
      </c>
      <c r="AP29" s="39">
        <f t="shared" si="33"/>
        <v>1953788</v>
      </c>
      <c r="AQ29" s="12"/>
      <c r="AR29" s="12"/>
      <c r="AS29" s="12"/>
      <c r="AT29" s="12"/>
      <c r="AU29" s="12"/>
      <c r="AV29" s="12"/>
      <c r="AW29" s="12"/>
      <c r="AX29" s="12"/>
      <c r="AY29" s="12"/>
      <c r="AZ29" s="12"/>
    </row>
    <row r="30" spans="1:52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.75" customHeight="1">
      <c r="A31" s="21" t="s">
        <v>25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.75" customHeight="1">
      <c r="A32" s="25" t="s">
        <v>26</v>
      </c>
      <c r="B32" s="25">
        <f t="shared" ref="B32:AP32" si="34">B24*$B$41</f>
        <v>179849000</v>
      </c>
      <c r="C32" s="25">
        <f t="shared" si="34"/>
        <v>179849000</v>
      </c>
      <c r="D32" s="25">
        <f t="shared" si="34"/>
        <v>179849000</v>
      </c>
      <c r="E32" s="25">
        <f t="shared" si="34"/>
        <v>179849000</v>
      </c>
      <c r="F32" s="25">
        <f t="shared" si="34"/>
        <v>179849000</v>
      </c>
      <c r="G32" s="25">
        <f t="shared" si="34"/>
        <v>179849000</v>
      </c>
      <c r="H32" s="25">
        <f t="shared" si="34"/>
        <v>179849000</v>
      </c>
      <c r="I32" s="25">
        <f t="shared" si="34"/>
        <v>179849000</v>
      </c>
      <c r="J32" s="25">
        <f t="shared" si="34"/>
        <v>179849000</v>
      </c>
      <c r="K32" s="25">
        <f t="shared" si="34"/>
        <v>179849000</v>
      </c>
      <c r="L32" s="25">
        <f t="shared" si="34"/>
        <v>179849000</v>
      </c>
      <c r="M32" s="25">
        <f t="shared" si="34"/>
        <v>175990700.91019192</v>
      </c>
      <c r="N32" s="25">
        <f t="shared" si="34"/>
        <v>175990700.91019192</v>
      </c>
      <c r="O32" s="25">
        <f t="shared" si="34"/>
        <v>175990700.91019192</v>
      </c>
      <c r="P32" s="25">
        <f t="shared" si="34"/>
        <v>175990700.91019192</v>
      </c>
      <c r="Q32" s="25">
        <f t="shared" si="34"/>
        <v>175990700.91019192</v>
      </c>
      <c r="R32" s="25">
        <f t="shared" si="34"/>
        <v>175990700.91019192</v>
      </c>
      <c r="S32" s="25">
        <f t="shared" si="34"/>
        <v>168593289.29164171</v>
      </c>
      <c r="T32" s="25">
        <f t="shared" si="34"/>
        <v>158813670.28052062</v>
      </c>
      <c r="U32" s="25">
        <f t="shared" si="34"/>
        <v>158813670.28052062</v>
      </c>
      <c r="V32" s="25">
        <f t="shared" si="34"/>
        <v>154312321.34241119</v>
      </c>
      <c r="W32" s="25">
        <f t="shared" si="34"/>
        <v>148251518.0630939</v>
      </c>
      <c r="X32" s="25">
        <f t="shared" si="34"/>
        <v>137468624.37046847</v>
      </c>
      <c r="Y32" s="25">
        <f t="shared" si="34"/>
        <v>137468624.37046847</v>
      </c>
      <c r="Z32" s="25">
        <f t="shared" si="34"/>
        <v>121606806.05780475</v>
      </c>
      <c r="AA32" s="25">
        <f t="shared" si="34"/>
        <v>121606806.05780475</v>
      </c>
      <c r="AB32" s="25">
        <f t="shared" si="34"/>
        <v>121606806.05780475</v>
      </c>
      <c r="AC32" s="25">
        <f t="shared" si="34"/>
        <v>121606806.05780475</v>
      </c>
      <c r="AD32" s="25">
        <f t="shared" si="34"/>
        <v>121606806.05780475</v>
      </c>
      <c r="AE32" s="25">
        <f t="shared" si="34"/>
        <v>121606806.05780475</v>
      </c>
      <c r="AF32" s="25">
        <f t="shared" si="34"/>
        <v>117899097.55065343</v>
      </c>
      <c r="AG32" s="25">
        <f t="shared" si="34"/>
        <v>117899097.55065343</v>
      </c>
      <c r="AH32" s="25">
        <f t="shared" si="34"/>
        <v>117899097.55065343</v>
      </c>
      <c r="AI32" s="25">
        <f t="shared" si="34"/>
        <v>117899097.55065343</v>
      </c>
      <c r="AJ32" s="25">
        <f t="shared" si="34"/>
        <v>117899097.55065343</v>
      </c>
      <c r="AK32" s="25">
        <f t="shared" si="34"/>
        <v>117899097.55065343</v>
      </c>
      <c r="AL32" s="25">
        <f t="shared" si="34"/>
        <v>117899097.55065343</v>
      </c>
      <c r="AM32" s="25">
        <f t="shared" si="34"/>
        <v>117899097.55065343</v>
      </c>
      <c r="AN32" s="25">
        <f t="shared" si="34"/>
        <v>117899097.55065343</v>
      </c>
      <c r="AO32" s="25">
        <f t="shared" si="34"/>
        <v>117899097.55065343</v>
      </c>
      <c r="AP32" s="27">
        <f t="shared" si="34"/>
        <v>117899097.55065343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</row>
    <row r="33" spans="1:52">
      <c r="A33" s="12" t="s">
        <v>27</v>
      </c>
      <c r="B33" s="12">
        <v>0</v>
      </c>
      <c r="C33" s="12">
        <v>0</v>
      </c>
      <c r="D33" s="12">
        <v>0</v>
      </c>
      <c r="E33" s="12"/>
      <c r="F33" s="12"/>
      <c r="G33" s="12"/>
      <c r="H33" s="12"/>
      <c r="I33" s="12"/>
      <c r="J33" s="12"/>
      <c r="K33" s="12">
        <f t="shared" ref="K33:L33" si="35">K26*$B$45</f>
        <v>0</v>
      </c>
      <c r="L33" s="12">
        <f t="shared" si="35"/>
        <v>0</v>
      </c>
      <c r="M33" s="12">
        <f t="shared" ref="M33:AP33" si="36">M26*$B$42</f>
        <v>3857700</v>
      </c>
      <c r="N33" s="12">
        <f t="shared" si="36"/>
        <v>3857700</v>
      </c>
      <c r="O33" s="12">
        <f t="shared" si="36"/>
        <v>3857700</v>
      </c>
      <c r="P33" s="12">
        <f t="shared" si="36"/>
        <v>3857700</v>
      </c>
      <c r="Q33" s="12">
        <f t="shared" si="36"/>
        <v>3857700</v>
      </c>
      <c r="R33" s="12">
        <f t="shared" si="36"/>
        <v>3857700</v>
      </c>
      <c r="S33" s="12">
        <f t="shared" si="36"/>
        <v>6780200</v>
      </c>
      <c r="T33" s="12">
        <f t="shared" si="36"/>
        <v>6780200</v>
      </c>
      <c r="U33" s="12">
        <f t="shared" si="36"/>
        <v>6780200</v>
      </c>
      <c r="V33" s="12">
        <f t="shared" si="36"/>
        <v>11280850</v>
      </c>
      <c r="W33" s="12">
        <f t="shared" si="36"/>
        <v>17340712.199999999</v>
      </c>
      <c r="X33" s="12">
        <f t="shared" si="36"/>
        <v>20975016.300000001</v>
      </c>
      <c r="Y33" s="12">
        <f t="shared" si="36"/>
        <v>20975016.300000001</v>
      </c>
      <c r="Z33" s="12">
        <f t="shared" si="36"/>
        <v>29204776.300000001</v>
      </c>
      <c r="AA33" s="12">
        <f t="shared" si="36"/>
        <v>29204776.300000001</v>
      </c>
      <c r="AB33" s="12">
        <f t="shared" si="36"/>
        <v>29204776.300000001</v>
      </c>
      <c r="AC33" s="12">
        <f t="shared" si="36"/>
        <v>29204776.300000001</v>
      </c>
      <c r="AD33" s="12">
        <f t="shared" si="36"/>
        <v>29204776.300000001</v>
      </c>
      <c r="AE33" s="12">
        <f t="shared" si="36"/>
        <v>29204776.300000001</v>
      </c>
      <c r="AF33" s="12">
        <f t="shared" si="36"/>
        <v>32911909.100000001</v>
      </c>
      <c r="AG33" s="12">
        <f t="shared" si="36"/>
        <v>32911909.100000001</v>
      </c>
      <c r="AH33" s="12">
        <f t="shared" si="36"/>
        <v>32911909.100000001</v>
      </c>
      <c r="AI33" s="12">
        <f t="shared" si="36"/>
        <v>32911909.100000001</v>
      </c>
      <c r="AJ33" s="12">
        <f t="shared" si="36"/>
        <v>32911909.100000001</v>
      </c>
      <c r="AK33" s="12">
        <f t="shared" si="36"/>
        <v>32911909.100000001</v>
      </c>
      <c r="AL33" s="12">
        <f t="shared" si="36"/>
        <v>32911909.100000001</v>
      </c>
      <c r="AM33" s="12">
        <f t="shared" si="36"/>
        <v>32911909.100000001</v>
      </c>
      <c r="AN33" s="12">
        <f t="shared" si="36"/>
        <v>32911909.100000001</v>
      </c>
      <c r="AO33" s="12">
        <f t="shared" si="36"/>
        <v>32911909.100000001</v>
      </c>
      <c r="AP33" s="30">
        <f t="shared" si="36"/>
        <v>32911909.100000001</v>
      </c>
      <c r="AQ33" s="12"/>
      <c r="AR33" s="12"/>
      <c r="AS33" s="12"/>
      <c r="AT33" s="12"/>
      <c r="AU33" s="12"/>
      <c r="AV33" s="12"/>
      <c r="AW33" s="12"/>
      <c r="AX33" s="12"/>
      <c r="AY33" s="12"/>
      <c r="AZ33" s="12"/>
    </row>
    <row r="34" spans="1:52">
      <c r="A34" s="12" t="s">
        <v>28</v>
      </c>
      <c r="B34" s="12">
        <v>0</v>
      </c>
      <c r="C34" s="12">
        <v>0</v>
      </c>
      <c r="D34" s="12">
        <v>0</v>
      </c>
      <c r="E34" s="12"/>
      <c r="F34" s="12"/>
      <c r="G34" s="12"/>
      <c r="H34" s="12"/>
      <c r="I34" s="12"/>
      <c r="J34" s="12"/>
      <c r="K34" s="12">
        <f t="shared" ref="K34:L34" si="37">K27*$B$45</f>
        <v>0</v>
      </c>
      <c r="L34" s="12">
        <f t="shared" si="37"/>
        <v>0</v>
      </c>
      <c r="M34" s="12">
        <f t="shared" ref="M34:AP34" si="38">M27*$B$42</f>
        <v>876750</v>
      </c>
      <c r="N34" s="12">
        <f t="shared" si="38"/>
        <v>876750</v>
      </c>
      <c r="O34" s="12">
        <f t="shared" si="38"/>
        <v>876750</v>
      </c>
      <c r="P34" s="12">
        <f t="shared" si="38"/>
        <v>9045137.5</v>
      </c>
      <c r="Q34" s="12">
        <f t="shared" si="38"/>
        <v>9045137.5</v>
      </c>
      <c r="R34" s="12">
        <f t="shared" si="38"/>
        <v>9045137.5</v>
      </c>
      <c r="S34" s="12">
        <f t="shared" si="38"/>
        <v>9045137.5</v>
      </c>
      <c r="T34" s="12">
        <f t="shared" si="38"/>
        <v>31124625</v>
      </c>
      <c r="U34" s="12">
        <f t="shared" si="38"/>
        <v>31124625</v>
      </c>
      <c r="V34" s="12">
        <f t="shared" si="38"/>
        <v>33012560</v>
      </c>
      <c r="W34" s="12">
        <f t="shared" si="38"/>
        <v>35584360</v>
      </c>
      <c r="X34" s="12">
        <f t="shared" si="38"/>
        <v>35584360</v>
      </c>
      <c r="Y34" s="12">
        <f t="shared" si="38"/>
        <v>35584360</v>
      </c>
      <c r="Z34" s="12">
        <f t="shared" si="38"/>
        <v>35584360</v>
      </c>
      <c r="AA34" s="12">
        <f t="shared" si="38"/>
        <v>38641295</v>
      </c>
      <c r="AB34" s="12">
        <f t="shared" si="38"/>
        <v>41698230</v>
      </c>
      <c r="AC34" s="12">
        <f t="shared" si="38"/>
        <v>43445885</v>
      </c>
      <c r="AD34" s="12">
        <f t="shared" si="38"/>
        <v>43445885</v>
      </c>
      <c r="AE34" s="12">
        <f t="shared" si="38"/>
        <v>43445885</v>
      </c>
      <c r="AF34" s="12">
        <f t="shared" si="38"/>
        <v>45223817.100000001</v>
      </c>
      <c r="AG34" s="12">
        <f t="shared" si="38"/>
        <v>45223817.100000001</v>
      </c>
      <c r="AH34" s="12">
        <f t="shared" si="38"/>
        <v>45223817.100000001</v>
      </c>
      <c r="AI34" s="12">
        <f t="shared" si="38"/>
        <v>45223817.100000001</v>
      </c>
      <c r="AJ34" s="12">
        <f t="shared" si="38"/>
        <v>45223817.100000001</v>
      </c>
      <c r="AK34" s="12">
        <f t="shared" si="38"/>
        <v>51653317.100000001</v>
      </c>
      <c r="AL34" s="12">
        <f t="shared" si="38"/>
        <v>51653317.100000001</v>
      </c>
      <c r="AM34" s="12">
        <f t="shared" si="38"/>
        <v>51653317.100000001</v>
      </c>
      <c r="AN34" s="12">
        <f t="shared" si="38"/>
        <v>51653317.100000001</v>
      </c>
      <c r="AO34" s="12">
        <f t="shared" si="38"/>
        <v>61823617.100000001</v>
      </c>
      <c r="AP34" s="30">
        <f t="shared" si="38"/>
        <v>61823617.100000001</v>
      </c>
      <c r="AQ34" s="12"/>
      <c r="AR34" s="12"/>
      <c r="AS34" s="12"/>
      <c r="AT34" s="12"/>
      <c r="AU34" s="12"/>
      <c r="AV34" s="12"/>
      <c r="AW34" s="12"/>
      <c r="AX34" s="12"/>
      <c r="AY34" s="12"/>
      <c r="AZ34" s="12"/>
    </row>
    <row r="35" spans="1:52">
      <c r="A35" s="12" t="s">
        <v>29</v>
      </c>
      <c r="B35" s="12"/>
      <c r="C35" s="12"/>
      <c r="D35" s="12"/>
      <c r="E35" s="12"/>
      <c r="F35" s="12"/>
      <c r="G35" s="12"/>
      <c r="H35" s="12"/>
      <c r="I35" s="12"/>
      <c r="J35" s="12"/>
      <c r="K35" s="12">
        <f t="shared" ref="K35:AP35" si="39">K28*$B$43</f>
        <v>0</v>
      </c>
      <c r="L35" s="12">
        <f t="shared" si="39"/>
        <v>0</v>
      </c>
      <c r="M35" s="12">
        <f t="shared" si="39"/>
        <v>0</v>
      </c>
      <c r="N35" s="12">
        <f t="shared" si="39"/>
        <v>0</v>
      </c>
      <c r="O35" s="12">
        <f t="shared" si="39"/>
        <v>0</v>
      </c>
      <c r="P35" s="12">
        <f t="shared" si="39"/>
        <v>0</v>
      </c>
      <c r="Q35" s="12">
        <f t="shared" si="39"/>
        <v>0</v>
      </c>
      <c r="R35" s="12">
        <f t="shared" si="39"/>
        <v>0</v>
      </c>
      <c r="S35" s="12">
        <f t="shared" si="39"/>
        <v>0</v>
      </c>
      <c r="T35" s="12">
        <f t="shared" si="39"/>
        <v>0</v>
      </c>
      <c r="U35" s="12">
        <f t="shared" si="39"/>
        <v>0</v>
      </c>
      <c r="V35" s="12">
        <f t="shared" si="39"/>
        <v>0</v>
      </c>
      <c r="W35" s="12">
        <f t="shared" si="39"/>
        <v>0</v>
      </c>
      <c r="X35" s="12">
        <f t="shared" si="39"/>
        <v>39459877.054855295</v>
      </c>
      <c r="Y35" s="12">
        <f t="shared" si="39"/>
        <v>39459877.054855295</v>
      </c>
      <c r="Z35" s="12">
        <f t="shared" si="39"/>
        <v>39459877.054855295</v>
      </c>
      <c r="AA35" s="12">
        <f t="shared" si="39"/>
        <v>39459877.054855295</v>
      </c>
      <c r="AB35" s="12">
        <f t="shared" si="39"/>
        <v>39459877.054855295</v>
      </c>
      <c r="AC35" s="12">
        <f t="shared" si="39"/>
        <v>39459877.054855295</v>
      </c>
      <c r="AD35" s="12">
        <f t="shared" si="39"/>
        <v>39459877.054855295</v>
      </c>
      <c r="AE35" s="12">
        <f t="shared" si="39"/>
        <v>39459877.054855295</v>
      </c>
      <c r="AF35" s="12">
        <f t="shared" si="39"/>
        <v>39459877.054855295</v>
      </c>
      <c r="AG35" s="12">
        <f t="shared" si="39"/>
        <v>39459877.054855295</v>
      </c>
      <c r="AH35" s="12">
        <f t="shared" si="39"/>
        <v>39459877.054855295</v>
      </c>
      <c r="AI35" s="12">
        <f t="shared" si="39"/>
        <v>39459877.054855295</v>
      </c>
      <c r="AJ35" s="12">
        <f t="shared" si="39"/>
        <v>39459877.054855295</v>
      </c>
      <c r="AK35" s="12">
        <f t="shared" si="39"/>
        <v>39459877.054855295</v>
      </c>
      <c r="AL35" s="12">
        <f t="shared" si="39"/>
        <v>39459877.054855295</v>
      </c>
      <c r="AM35" s="12">
        <f t="shared" si="39"/>
        <v>39459877.054855295</v>
      </c>
      <c r="AN35" s="12">
        <f t="shared" si="39"/>
        <v>39459877.054855295</v>
      </c>
      <c r="AO35" s="12">
        <f t="shared" si="39"/>
        <v>39459877.054855295</v>
      </c>
      <c r="AP35" s="30">
        <f t="shared" si="39"/>
        <v>39459877.054855295</v>
      </c>
      <c r="AQ35" s="12"/>
      <c r="AR35" s="12"/>
      <c r="AS35" s="12"/>
      <c r="AT35" s="12"/>
      <c r="AU35" s="12"/>
      <c r="AV35" s="12"/>
      <c r="AW35" s="12"/>
      <c r="AX35" s="12"/>
      <c r="AY35" s="12"/>
      <c r="AZ35" s="12"/>
    </row>
    <row r="36" spans="1:52" ht="15.75" customHeight="1">
      <c r="A36" s="38" t="s">
        <v>30</v>
      </c>
      <c r="B36" s="38">
        <f t="shared" ref="B36:J36" si="40">SUM(B32:B34)</f>
        <v>179849000</v>
      </c>
      <c r="C36" s="38">
        <f t="shared" si="40"/>
        <v>179849000</v>
      </c>
      <c r="D36" s="38">
        <f t="shared" si="40"/>
        <v>179849000</v>
      </c>
      <c r="E36" s="38">
        <f t="shared" si="40"/>
        <v>179849000</v>
      </c>
      <c r="F36" s="38">
        <f t="shared" si="40"/>
        <v>179849000</v>
      </c>
      <c r="G36" s="38">
        <f t="shared" si="40"/>
        <v>179849000</v>
      </c>
      <c r="H36" s="38">
        <f t="shared" si="40"/>
        <v>179849000</v>
      </c>
      <c r="I36" s="38">
        <f t="shared" si="40"/>
        <v>179849000</v>
      </c>
      <c r="J36" s="38">
        <f t="shared" si="40"/>
        <v>179849000</v>
      </c>
      <c r="K36" s="38">
        <f t="shared" ref="K36:AP36" si="41">SUM(K32:K35)</f>
        <v>179849000</v>
      </c>
      <c r="L36" s="38">
        <f t="shared" si="41"/>
        <v>179849000</v>
      </c>
      <c r="M36" s="38">
        <f t="shared" si="41"/>
        <v>180725150.91019192</v>
      </c>
      <c r="N36" s="38">
        <f t="shared" si="41"/>
        <v>180725150.91019192</v>
      </c>
      <c r="O36" s="38">
        <f t="shared" si="41"/>
        <v>180725150.91019192</v>
      </c>
      <c r="P36" s="38">
        <f t="shared" si="41"/>
        <v>188893538.41019192</v>
      </c>
      <c r="Q36" s="38">
        <f t="shared" si="41"/>
        <v>188893538.41019192</v>
      </c>
      <c r="R36" s="38">
        <f t="shared" si="41"/>
        <v>188893538.41019192</v>
      </c>
      <c r="S36" s="38">
        <f t="shared" si="41"/>
        <v>184418626.79164171</v>
      </c>
      <c r="T36" s="38">
        <f t="shared" si="41"/>
        <v>196718495.28052062</v>
      </c>
      <c r="U36" s="38">
        <f t="shared" si="41"/>
        <v>196718495.28052062</v>
      </c>
      <c r="V36" s="38">
        <f t="shared" si="41"/>
        <v>198605731.34241119</v>
      </c>
      <c r="W36" s="38">
        <f t="shared" si="41"/>
        <v>201176590.26309389</v>
      </c>
      <c r="X36" s="38">
        <f t="shared" si="41"/>
        <v>233487877.72532377</v>
      </c>
      <c r="Y36" s="38">
        <f t="shared" si="41"/>
        <v>233487877.72532377</v>
      </c>
      <c r="Z36" s="38">
        <f t="shared" si="41"/>
        <v>225855819.41266003</v>
      </c>
      <c r="AA36" s="38">
        <f t="shared" si="41"/>
        <v>228912754.41266003</v>
      </c>
      <c r="AB36" s="38">
        <f t="shared" si="41"/>
        <v>231969689.41266003</v>
      </c>
      <c r="AC36" s="38">
        <f t="shared" si="41"/>
        <v>233717344.41266003</v>
      </c>
      <c r="AD36" s="38">
        <f t="shared" si="41"/>
        <v>233717344.41266003</v>
      </c>
      <c r="AE36" s="38">
        <f t="shared" si="41"/>
        <v>233717344.41266003</v>
      </c>
      <c r="AF36" s="38">
        <f t="shared" si="41"/>
        <v>235494700.8055087</v>
      </c>
      <c r="AG36" s="38">
        <f t="shared" si="41"/>
        <v>235494700.8055087</v>
      </c>
      <c r="AH36" s="38">
        <f t="shared" si="41"/>
        <v>235494700.8055087</v>
      </c>
      <c r="AI36" s="38">
        <f t="shared" si="41"/>
        <v>235494700.8055087</v>
      </c>
      <c r="AJ36" s="38">
        <f t="shared" si="41"/>
        <v>235494700.8055087</v>
      </c>
      <c r="AK36" s="38">
        <f t="shared" si="41"/>
        <v>241924200.8055087</v>
      </c>
      <c r="AL36" s="38">
        <f t="shared" si="41"/>
        <v>241924200.8055087</v>
      </c>
      <c r="AM36" s="38">
        <f t="shared" si="41"/>
        <v>241924200.8055087</v>
      </c>
      <c r="AN36" s="38">
        <f t="shared" si="41"/>
        <v>241924200.8055087</v>
      </c>
      <c r="AO36" s="38">
        <f t="shared" si="41"/>
        <v>252094500.8055087</v>
      </c>
      <c r="AP36" s="39">
        <f t="shared" si="41"/>
        <v>252094500.8055087</v>
      </c>
      <c r="AQ36" s="12"/>
      <c r="AR36" s="12"/>
      <c r="AS36" s="12"/>
      <c r="AT36" s="12"/>
      <c r="AU36" s="12"/>
      <c r="AV36" s="12"/>
      <c r="AW36" s="12"/>
      <c r="AX36" s="12"/>
      <c r="AY36" s="12"/>
      <c r="AZ36" s="12"/>
    </row>
    <row r="37" spans="1:52" ht="15.75" customHeight="1">
      <c r="A37" s="2"/>
      <c r="B37" s="4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.75" customHeight="1">
      <c r="A38" s="41" t="s">
        <v>31</v>
      </c>
      <c r="B38" s="4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15.75" customHeight="1">
      <c r="A39" s="23" t="s">
        <v>32</v>
      </c>
      <c r="B39" s="42">
        <f>(131543*1000)/B17</f>
        <v>85.514875049325624</v>
      </c>
      <c r="C39" s="2"/>
      <c r="D39" s="43" t="s">
        <v>33</v>
      </c>
      <c r="E39" s="44"/>
      <c r="F39" s="44"/>
      <c r="G39" s="4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>
      <c r="A40" s="2" t="s">
        <v>34</v>
      </c>
      <c r="B40" s="46">
        <f>(48306*1000)/B17</f>
        <v>31.403279187282667</v>
      </c>
      <c r="C40" s="2"/>
      <c r="D40" s="47" t="s">
        <v>5</v>
      </c>
      <c r="E40" s="48">
        <f t="shared" ref="E40:G40" si="42">I7/I14</f>
        <v>6.7917277533431067E-3</v>
      </c>
      <c r="F40" s="48">
        <f t="shared" si="42"/>
        <v>6.7352424273751689E-3</v>
      </c>
      <c r="G40" s="49">
        <f t="shared" si="42"/>
        <v>6.5775117678231855E-3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>
      <c r="A41" s="2" t="s">
        <v>35</v>
      </c>
      <c r="B41" s="46">
        <f>B21</f>
        <v>116.91815423660829</v>
      </c>
      <c r="C41" s="2"/>
      <c r="D41" s="47" t="s">
        <v>36</v>
      </c>
      <c r="E41" s="50">
        <f t="shared" ref="E41:G41" si="43">I8/I14</f>
        <v>8.8853347549868941E-3</v>
      </c>
      <c r="F41" s="50">
        <f t="shared" si="43"/>
        <v>8.2704435025328232E-3</v>
      </c>
      <c r="G41" s="51">
        <f t="shared" si="43"/>
        <v>8.312811080977171E-3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.75" customHeight="1">
      <c r="A42" s="2" t="s">
        <v>37</v>
      </c>
      <c r="B42" s="46">
        <v>116.9</v>
      </c>
      <c r="C42" s="2"/>
      <c r="D42" s="52" t="s">
        <v>38</v>
      </c>
      <c r="E42" s="53">
        <f t="shared" ref="E42:G42" si="44">I9/I14</f>
        <v>1.6093562574970011E-2</v>
      </c>
      <c r="F42" s="53">
        <f t="shared" si="44"/>
        <v>1.5393362969089218E-2</v>
      </c>
      <c r="G42" s="54">
        <f t="shared" si="44"/>
        <v>1.5279985868221163E-2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.75" customHeight="1">
      <c r="A43" s="2" t="s">
        <v>29</v>
      </c>
      <c r="B43" s="46">
        <f>B41*2.5</f>
        <v>292.2953855915207</v>
      </c>
      <c r="C43" s="2"/>
      <c r="D43" s="2"/>
      <c r="E43" s="55"/>
      <c r="F43" s="55"/>
      <c r="G43" s="5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>
      <c r="A44" s="2" t="s">
        <v>39</v>
      </c>
      <c r="B44" s="49">
        <f>B39/B41</f>
        <v>0.73140801450105364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15.75" customHeight="1">
      <c r="A45" s="2" t="s">
        <v>40</v>
      </c>
      <c r="B45" s="49">
        <f>B40/B41</f>
        <v>0.26859198549894636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15.75" customHeight="1">
      <c r="A46" s="2" t="s">
        <v>41</v>
      </c>
      <c r="B46" s="56">
        <f>K6/(B36*B44)</f>
        <v>5.7030780809317106E-5</v>
      </c>
      <c r="C46" s="2"/>
      <c r="D46" s="57"/>
      <c r="E46" s="23"/>
      <c r="F46" s="58" t="s">
        <v>42</v>
      </c>
      <c r="G46" s="23"/>
      <c r="H46" s="23"/>
      <c r="I46" s="23"/>
      <c r="J46" s="59"/>
      <c r="K46" s="60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61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>
      <c r="A47" s="2" t="s">
        <v>43</v>
      </c>
      <c r="B47" s="56">
        <f>K10/(B36*B45)</f>
        <v>1.9493644681820062E-4</v>
      </c>
      <c r="C47" s="2"/>
      <c r="D47" s="47" t="s">
        <v>44</v>
      </c>
      <c r="E47" s="2" t="s">
        <v>45</v>
      </c>
      <c r="F47" s="62">
        <f t="shared" ref="F47:AJ47" si="45">(L6+L7+L8+L9+L11+L12)*4.5</f>
        <v>44238.600000000006</v>
      </c>
      <c r="G47" s="62">
        <f t="shared" si="45"/>
        <v>44415.636395698355</v>
      </c>
      <c r="H47" s="62">
        <f t="shared" si="45"/>
        <v>44415.636395698355</v>
      </c>
      <c r="I47" s="62">
        <f t="shared" si="45"/>
        <v>44415.636395698355</v>
      </c>
      <c r="J47" s="62">
        <f t="shared" si="45"/>
        <v>46066.073175270518</v>
      </c>
      <c r="K47" s="62">
        <f t="shared" si="45"/>
        <v>46066.073175270518</v>
      </c>
      <c r="L47" s="62">
        <f t="shared" si="45"/>
        <v>46066.073175270518</v>
      </c>
      <c r="M47" s="62">
        <f t="shared" si="45"/>
        <v>45161.926042489256</v>
      </c>
      <c r="N47" s="62">
        <f t="shared" si="45"/>
        <v>47647.157461919232</v>
      </c>
      <c r="O47" s="62">
        <f t="shared" si="45"/>
        <v>47647.157461919232</v>
      </c>
      <c r="P47" s="62">
        <f t="shared" si="45"/>
        <v>48028.486788237577</v>
      </c>
      <c r="Q47" s="62">
        <f t="shared" si="45"/>
        <v>48547.946765319241</v>
      </c>
      <c r="R47" s="62">
        <f t="shared" si="45"/>
        <v>54510.499447002097</v>
      </c>
      <c r="S47" s="62">
        <f t="shared" si="45"/>
        <v>54510.499447002097</v>
      </c>
      <c r="T47" s="62">
        <f t="shared" si="45"/>
        <v>52968.464233209248</v>
      </c>
      <c r="U47" s="62">
        <f t="shared" si="45"/>
        <v>53586.123221199399</v>
      </c>
      <c r="V47" s="62">
        <f t="shared" si="45"/>
        <v>54203.782209189565</v>
      </c>
      <c r="W47" s="62">
        <f t="shared" si="45"/>
        <v>54556.898915516627</v>
      </c>
      <c r="X47" s="62">
        <f t="shared" si="45"/>
        <v>54783.272833359464</v>
      </c>
      <c r="Y47" s="62">
        <f t="shared" si="45"/>
        <v>54783.272833359464</v>
      </c>
      <c r="Z47" s="62">
        <f t="shared" si="45"/>
        <v>55142.399015419622</v>
      </c>
      <c r="AA47" s="62">
        <f t="shared" si="45"/>
        <v>55142.399015419622</v>
      </c>
      <c r="AB47" s="62">
        <f t="shared" si="45"/>
        <v>55142.399015419622</v>
      </c>
      <c r="AC47" s="62">
        <f t="shared" si="45"/>
        <v>55142.399015419622</v>
      </c>
      <c r="AD47" s="62">
        <f t="shared" si="45"/>
        <v>55142.399015419622</v>
      </c>
      <c r="AE47" s="62">
        <f t="shared" si="45"/>
        <v>56441.490577157994</v>
      </c>
      <c r="AF47" s="62">
        <f t="shared" si="45"/>
        <v>56441.490577157994</v>
      </c>
      <c r="AG47" s="62">
        <f t="shared" si="45"/>
        <v>56441.490577157994</v>
      </c>
      <c r="AH47" s="62">
        <f t="shared" si="45"/>
        <v>56441.490577157994</v>
      </c>
      <c r="AI47" s="62">
        <f t="shared" si="45"/>
        <v>58496.417229362334</v>
      </c>
      <c r="AJ47" s="63">
        <f t="shared" si="45"/>
        <v>58496.417229362334</v>
      </c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>
      <c r="A48" s="2"/>
      <c r="B48" s="32"/>
      <c r="C48" s="2"/>
      <c r="D48" s="47"/>
      <c r="E48" s="2" t="s">
        <v>46</v>
      </c>
      <c r="F48" s="62">
        <f t="shared" ref="F48:AJ48" si="46">(L10/0.682)*3</f>
        <v>41421.994134897359</v>
      </c>
      <c r="G48" s="62">
        <f t="shared" si="46"/>
        <v>41623.785181070838</v>
      </c>
      <c r="H48" s="62">
        <f t="shared" si="46"/>
        <v>41623.785181070838</v>
      </c>
      <c r="I48" s="62">
        <f t="shared" si="46"/>
        <v>41623.785181070838</v>
      </c>
      <c r="J48" s="62">
        <f t="shared" si="46"/>
        <v>43505.090604601515</v>
      </c>
      <c r="K48" s="62">
        <f t="shared" si="46"/>
        <v>43505.090604601515</v>
      </c>
      <c r="L48" s="62">
        <f t="shared" si="46"/>
        <v>43505.090604601515</v>
      </c>
      <c r="M48" s="62">
        <f t="shared" si="46"/>
        <v>42474.449551174635</v>
      </c>
      <c r="N48" s="62">
        <f t="shared" si="46"/>
        <v>45307.298665744922</v>
      </c>
      <c r="O48" s="62">
        <f t="shared" si="46"/>
        <v>45307.298665744922</v>
      </c>
      <c r="P48" s="62">
        <f t="shared" si="46"/>
        <v>45741.958191718368</v>
      </c>
      <c r="Q48" s="62">
        <f t="shared" si="46"/>
        <v>46334.066588952533</v>
      </c>
      <c r="R48" s="62">
        <f t="shared" si="46"/>
        <v>53775.853642266527</v>
      </c>
      <c r="S48" s="62">
        <f t="shared" si="46"/>
        <v>53775.853642266527</v>
      </c>
      <c r="T48" s="62">
        <f t="shared" si="46"/>
        <v>52018.073089334051</v>
      </c>
      <c r="U48" s="62">
        <f t="shared" si="46"/>
        <v>52722.132292558774</v>
      </c>
      <c r="V48" s="62">
        <f t="shared" si="46"/>
        <v>53426.191495783503</v>
      </c>
      <c r="W48" s="62">
        <f t="shared" si="46"/>
        <v>53828.703353841222</v>
      </c>
      <c r="X48" s="62">
        <f t="shared" si="46"/>
        <v>53828.703353841222</v>
      </c>
      <c r="Y48" s="62">
        <f t="shared" si="46"/>
        <v>53828.703353841222</v>
      </c>
      <c r="Z48" s="62">
        <f t="shared" si="46"/>
        <v>54238.055900033862</v>
      </c>
      <c r="AA48" s="62">
        <f t="shared" si="46"/>
        <v>54238.055900033862</v>
      </c>
      <c r="AB48" s="62">
        <f t="shared" si="46"/>
        <v>54238.055900033862</v>
      </c>
      <c r="AC48" s="62">
        <f t="shared" si="46"/>
        <v>54238.055900033862</v>
      </c>
      <c r="AD48" s="62">
        <f t="shared" si="46"/>
        <v>54238.055900033862</v>
      </c>
      <c r="AE48" s="62">
        <f t="shared" si="46"/>
        <v>55718.868755764634</v>
      </c>
      <c r="AF48" s="62">
        <f t="shared" si="46"/>
        <v>55718.868755764634</v>
      </c>
      <c r="AG48" s="62">
        <f t="shared" si="46"/>
        <v>55718.868755764634</v>
      </c>
      <c r="AH48" s="62">
        <f t="shared" si="46"/>
        <v>55718.868755764634</v>
      </c>
      <c r="AI48" s="62">
        <f t="shared" si="46"/>
        <v>58061.245454829652</v>
      </c>
      <c r="AJ48" s="63">
        <f t="shared" si="46"/>
        <v>58061.245454829652</v>
      </c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>
      <c r="A49" s="2" t="s">
        <v>47</v>
      </c>
      <c r="B49" s="32">
        <f>K7/B17</f>
        <v>8.2301476940959407E-5</v>
      </c>
      <c r="C49" s="2"/>
      <c r="D49" s="47" t="s">
        <v>48</v>
      </c>
      <c r="E49" s="2" t="s">
        <v>49</v>
      </c>
      <c r="F49" s="62">
        <f t="shared" ref="F49:AJ49" si="47">(L6+L7+L8+L9+L11+L12)*16</f>
        <v>157292.80000000002</v>
      </c>
      <c r="G49" s="62">
        <f t="shared" si="47"/>
        <v>157922.26274026081</v>
      </c>
      <c r="H49" s="62">
        <f t="shared" si="47"/>
        <v>157922.26274026081</v>
      </c>
      <c r="I49" s="62">
        <f t="shared" si="47"/>
        <v>157922.26274026081</v>
      </c>
      <c r="J49" s="62">
        <f t="shared" si="47"/>
        <v>163790.48240096183</v>
      </c>
      <c r="K49" s="62">
        <f t="shared" si="47"/>
        <v>163790.48240096183</v>
      </c>
      <c r="L49" s="62">
        <f t="shared" si="47"/>
        <v>163790.48240096183</v>
      </c>
      <c r="M49" s="62">
        <f t="shared" si="47"/>
        <v>160575.73703996179</v>
      </c>
      <c r="N49" s="62">
        <f t="shared" si="47"/>
        <v>169412.11542015726</v>
      </c>
      <c r="O49" s="62">
        <f t="shared" si="47"/>
        <v>169412.11542015726</v>
      </c>
      <c r="P49" s="62">
        <f t="shared" si="47"/>
        <v>170767.95302484473</v>
      </c>
      <c r="Q49" s="62">
        <f t="shared" si="47"/>
        <v>172614.92183224618</v>
      </c>
      <c r="R49" s="62">
        <f t="shared" si="47"/>
        <v>193815.10914489636</v>
      </c>
      <c r="S49" s="62">
        <f t="shared" si="47"/>
        <v>193815.10914489636</v>
      </c>
      <c r="T49" s="62">
        <f t="shared" si="47"/>
        <v>188332.31727363289</v>
      </c>
      <c r="U49" s="62">
        <f t="shared" si="47"/>
        <v>190528.43811982009</v>
      </c>
      <c r="V49" s="62">
        <f t="shared" si="47"/>
        <v>192724.55896600735</v>
      </c>
      <c r="W49" s="62">
        <f t="shared" si="47"/>
        <v>193980.085032948</v>
      </c>
      <c r="X49" s="62">
        <f t="shared" si="47"/>
        <v>194784.97007416698</v>
      </c>
      <c r="Y49" s="62">
        <f t="shared" si="47"/>
        <v>194784.97007416698</v>
      </c>
      <c r="Z49" s="62">
        <f t="shared" si="47"/>
        <v>196061.86316593643</v>
      </c>
      <c r="AA49" s="62">
        <f t="shared" si="47"/>
        <v>196061.86316593643</v>
      </c>
      <c r="AB49" s="62">
        <f t="shared" si="47"/>
        <v>196061.86316593643</v>
      </c>
      <c r="AC49" s="62">
        <f t="shared" si="47"/>
        <v>196061.86316593643</v>
      </c>
      <c r="AD49" s="62">
        <f t="shared" si="47"/>
        <v>196061.86316593643</v>
      </c>
      <c r="AE49" s="62">
        <f t="shared" si="47"/>
        <v>200680.85538545065</v>
      </c>
      <c r="AF49" s="62">
        <f t="shared" si="47"/>
        <v>200680.85538545065</v>
      </c>
      <c r="AG49" s="62">
        <f t="shared" si="47"/>
        <v>200680.85538545065</v>
      </c>
      <c r="AH49" s="62">
        <f t="shared" si="47"/>
        <v>200680.85538545065</v>
      </c>
      <c r="AI49" s="62">
        <f t="shared" si="47"/>
        <v>207987.26125995498</v>
      </c>
      <c r="AJ49" s="63">
        <f t="shared" si="47"/>
        <v>207987.26125995498</v>
      </c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15.75" customHeight="1">
      <c r="A50" s="33" t="s">
        <v>50</v>
      </c>
      <c r="B50" s="36">
        <f>K8/B17</f>
        <v>1.0401450482269753E-4</v>
      </c>
      <c r="C50" s="2"/>
      <c r="D50" s="52"/>
      <c r="E50" s="33" t="s">
        <v>46</v>
      </c>
      <c r="F50" s="64">
        <f t="shared" ref="F50:AJ50" si="48">(L10/0.682)*6</f>
        <v>82843.988269794718</v>
      </c>
      <c r="G50" s="64">
        <f t="shared" si="48"/>
        <v>83247.570362141676</v>
      </c>
      <c r="H50" s="64">
        <f t="shared" si="48"/>
        <v>83247.570362141676</v>
      </c>
      <c r="I50" s="64">
        <f t="shared" si="48"/>
        <v>83247.570362141676</v>
      </c>
      <c r="J50" s="64">
        <f t="shared" si="48"/>
        <v>87010.18120920303</v>
      </c>
      <c r="K50" s="64">
        <f t="shared" si="48"/>
        <v>87010.18120920303</v>
      </c>
      <c r="L50" s="64">
        <f t="shared" si="48"/>
        <v>87010.18120920303</v>
      </c>
      <c r="M50" s="64">
        <f t="shared" si="48"/>
        <v>84948.899102349271</v>
      </c>
      <c r="N50" s="64">
        <f t="shared" si="48"/>
        <v>90614.597331489844</v>
      </c>
      <c r="O50" s="64">
        <f t="shared" si="48"/>
        <v>90614.597331489844</v>
      </c>
      <c r="P50" s="64">
        <f t="shared" si="48"/>
        <v>91483.916383436735</v>
      </c>
      <c r="Q50" s="64">
        <f t="shared" si="48"/>
        <v>92668.133177905067</v>
      </c>
      <c r="R50" s="64">
        <f t="shared" si="48"/>
        <v>107551.70728453305</v>
      </c>
      <c r="S50" s="64">
        <f t="shared" si="48"/>
        <v>107551.70728453305</v>
      </c>
      <c r="T50" s="64">
        <f t="shared" si="48"/>
        <v>104036.1461786681</v>
      </c>
      <c r="U50" s="64">
        <f t="shared" si="48"/>
        <v>105444.26458511755</v>
      </c>
      <c r="V50" s="64">
        <f t="shared" si="48"/>
        <v>106852.38299156701</v>
      </c>
      <c r="W50" s="64">
        <f t="shared" si="48"/>
        <v>107657.40670768244</v>
      </c>
      <c r="X50" s="64">
        <f t="shared" si="48"/>
        <v>107657.40670768244</v>
      </c>
      <c r="Y50" s="64">
        <f t="shared" si="48"/>
        <v>107657.40670768244</v>
      </c>
      <c r="Z50" s="64">
        <f t="shared" si="48"/>
        <v>108476.11180006772</v>
      </c>
      <c r="AA50" s="64">
        <f t="shared" si="48"/>
        <v>108476.11180006772</v>
      </c>
      <c r="AB50" s="64">
        <f t="shared" si="48"/>
        <v>108476.11180006772</v>
      </c>
      <c r="AC50" s="64">
        <f t="shared" si="48"/>
        <v>108476.11180006772</v>
      </c>
      <c r="AD50" s="64">
        <f t="shared" si="48"/>
        <v>108476.11180006772</v>
      </c>
      <c r="AE50" s="64">
        <f t="shared" si="48"/>
        <v>111437.73751152927</v>
      </c>
      <c r="AF50" s="64">
        <f t="shared" si="48"/>
        <v>111437.73751152927</v>
      </c>
      <c r="AG50" s="64">
        <f t="shared" si="48"/>
        <v>111437.73751152927</v>
      </c>
      <c r="AH50" s="64">
        <f t="shared" si="48"/>
        <v>111437.73751152927</v>
      </c>
      <c r="AI50" s="64">
        <f t="shared" si="48"/>
        <v>116122.4909096593</v>
      </c>
      <c r="AJ50" s="65">
        <f t="shared" si="48"/>
        <v>116122.4909096593</v>
      </c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>
      <c r="A56" s="2"/>
      <c r="B56" s="4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1:5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1:5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1:5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1:5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 spans="1:5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1:5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  <row r="310" spans="1:5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 spans="1:5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</row>
    <row r="312" spans="1:5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 spans="1:5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</row>
    <row r="314" spans="1:5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</row>
    <row r="315" spans="1:5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</row>
    <row r="316" spans="1:5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</row>
    <row r="317" spans="1:5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</row>
    <row r="318" spans="1:5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</row>
    <row r="319" spans="1:5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</row>
    <row r="320" spans="1:5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</row>
    <row r="321" spans="1:5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</row>
    <row r="322" spans="1:5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</row>
    <row r="323" spans="1:5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 spans="1:5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</row>
    <row r="325" spans="1:5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</row>
    <row r="326" spans="1:5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</row>
    <row r="327" spans="1:5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</row>
    <row r="328" spans="1:5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</row>
    <row r="329" spans="1:5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</row>
    <row r="330" spans="1:5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</row>
    <row r="331" spans="1:5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</row>
    <row r="332" spans="1:5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</row>
    <row r="333" spans="1:5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</row>
    <row r="334" spans="1:5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</row>
    <row r="335" spans="1:5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</row>
    <row r="336" spans="1:5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</row>
    <row r="337" spans="1:5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</row>
    <row r="338" spans="1:5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</row>
    <row r="339" spans="1:5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</row>
    <row r="340" spans="1:5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</row>
    <row r="341" spans="1:5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</row>
    <row r="342" spans="1:5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</row>
    <row r="343" spans="1:5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</row>
    <row r="344" spans="1:5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</row>
    <row r="345" spans="1:5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</row>
    <row r="346" spans="1:5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</row>
    <row r="347" spans="1:5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</row>
    <row r="348" spans="1:5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</row>
    <row r="349" spans="1:5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</row>
    <row r="350" spans="1:5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</row>
    <row r="351" spans="1:5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</row>
    <row r="352" spans="1: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</row>
    <row r="353" spans="1:5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</row>
    <row r="354" spans="1:5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</row>
    <row r="355" spans="1:5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</row>
    <row r="356" spans="1:5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</row>
    <row r="357" spans="1:5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</row>
    <row r="358" spans="1:5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</row>
    <row r="359" spans="1:5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</row>
    <row r="360" spans="1:5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</row>
    <row r="361" spans="1:5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</row>
    <row r="362" spans="1:5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</row>
    <row r="363" spans="1:5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</row>
    <row r="364" spans="1:5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</row>
    <row r="365" spans="1:5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</row>
    <row r="366" spans="1:5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</row>
    <row r="367" spans="1:5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</row>
    <row r="368" spans="1:5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</row>
    <row r="369" spans="1:5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</row>
    <row r="370" spans="1:5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</row>
    <row r="371" spans="1:5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</row>
    <row r="372" spans="1:5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</row>
    <row r="373" spans="1:5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</row>
    <row r="374" spans="1:5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</row>
    <row r="375" spans="1:5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</row>
    <row r="376" spans="1:5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</row>
    <row r="377" spans="1:5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</row>
    <row r="378" spans="1:5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</row>
    <row r="379" spans="1:5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</row>
    <row r="380" spans="1:5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</row>
    <row r="381" spans="1:5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</row>
    <row r="382" spans="1:5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</row>
    <row r="383" spans="1:5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</row>
    <row r="384" spans="1:5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</row>
    <row r="385" spans="1:5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</row>
    <row r="386" spans="1:5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</row>
    <row r="387" spans="1:5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</row>
    <row r="388" spans="1:5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</row>
    <row r="389" spans="1:5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</row>
    <row r="390" spans="1:5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</row>
    <row r="391" spans="1:5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</row>
    <row r="392" spans="1:5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</row>
    <row r="393" spans="1:5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</row>
    <row r="394" spans="1:5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</row>
    <row r="395" spans="1:5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</row>
    <row r="396" spans="1:5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</row>
    <row r="397" spans="1:5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</row>
    <row r="398" spans="1:5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</row>
    <row r="399" spans="1:5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</row>
    <row r="400" spans="1:5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</row>
    <row r="401" spans="1:5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</row>
    <row r="402" spans="1:5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</row>
    <row r="403" spans="1:5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</row>
    <row r="404" spans="1:5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</row>
    <row r="405" spans="1:5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</row>
    <row r="406" spans="1:5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</row>
    <row r="407" spans="1:5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</row>
    <row r="408" spans="1:5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</row>
    <row r="409" spans="1:5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</row>
    <row r="410" spans="1:5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</row>
    <row r="411" spans="1:5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</row>
    <row r="412" spans="1:5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</row>
    <row r="413" spans="1:5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</row>
    <row r="414" spans="1:5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</row>
    <row r="415" spans="1:5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</row>
    <row r="416" spans="1:5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</row>
    <row r="417" spans="1:5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</row>
    <row r="418" spans="1:5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</row>
    <row r="419" spans="1:5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</row>
    <row r="420" spans="1:5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</row>
    <row r="421" spans="1:5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</row>
    <row r="422" spans="1:5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</row>
    <row r="423" spans="1:5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</row>
    <row r="424" spans="1:5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</row>
    <row r="425" spans="1:5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</row>
    <row r="426" spans="1:5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</row>
    <row r="427" spans="1:5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</row>
    <row r="428" spans="1:5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</row>
    <row r="429" spans="1:5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</row>
    <row r="430" spans="1:5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</row>
    <row r="431" spans="1:5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</row>
    <row r="432" spans="1:5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</row>
    <row r="433" spans="1:5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</row>
    <row r="434" spans="1:5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</row>
    <row r="435" spans="1:5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</row>
    <row r="436" spans="1:5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</row>
    <row r="437" spans="1:5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</row>
    <row r="438" spans="1:5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</row>
    <row r="439" spans="1:5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</row>
    <row r="440" spans="1:5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</row>
    <row r="441" spans="1:5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</row>
    <row r="442" spans="1:5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</row>
    <row r="443" spans="1:5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</row>
    <row r="444" spans="1:5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</row>
    <row r="445" spans="1:5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</row>
    <row r="446" spans="1:5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</row>
    <row r="447" spans="1:5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</row>
    <row r="448" spans="1:5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</row>
    <row r="449" spans="1:5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</row>
    <row r="450" spans="1:5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</row>
    <row r="451" spans="1:5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</row>
    <row r="452" spans="1: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</row>
    <row r="453" spans="1:5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</row>
    <row r="454" spans="1:5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</row>
    <row r="455" spans="1:5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</row>
    <row r="456" spans="1:5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</row>
    <row r="457" spans="1:5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</row>
    <row r="458" spans="1:5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</row>
    <row r="459" spans="1:5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</row>
    <row r="460" spans="1:5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</row>
    <row r="461" spans="1:5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</row>
    <row r="462" spans="1:5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</row>
    <row r="463" spans="1:5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</row>
    <row r="464" spans="1:5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</row>
    <row r="465" spans="1:5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</row>
    <row r="466" spans="1:5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</row>
    <row r="467" spans="1:5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</row>
    <row r="468" spans="1:5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</row>
    <row r="469" spans="1:5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</row>
    <row r="470" spans="1:5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</row>
    <row r="471" spans="1:5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</row>
    <row r="472" spans="1:5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</row>
    <row r="473" spans="1:5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</row>
    <row r="474" spans="1:5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</row>
    <row r="475" spans="1:5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</row>
    <row r="476" spans="1:5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</row>
    <row r="477" spans="1:5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</row>
    <row r="478" spans="1:5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</row>
    <row r="479" spans="1:5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</row>
    <row r="480" spans="1:5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</row>
    <row r="481" spans="1:5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</row>
    <row r="482" spans="1:5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</row>
    <row r="483" spans="1:5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</row>
    <row r="484" spans="1:5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</row>
    <row r="485" spans="1:5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</row>
    <row r="486" spans="1:5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</row>
    <row r="487" spans="1:5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</row>
    <row r="488" spans="1:5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</row>
    <row r="489" spans="1:5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</row>
    <row r="490" spans="1:5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</row>
    <row r="491" spans="1:5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</row>
    <row r="492" spans="1:5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</row>
    <row r="493" spans="1:5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</row>
    <row r="494" spans="1:5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</row>
    <row r="495" spans="1:5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</row>
    <row r="496" spans="1:5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</row>
    <row r="497" spans="1:5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</row>
    <row r="498" spans="1:5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</row>
    <row r="499" spans="1:5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</row>
    <row r="500" spans="1:5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</row>
    <row r="501" spans="1:5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</row>
    <row r="502" spans="1:5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</row>
    <row r="503" spans="1:5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</row>
    <row r="504" spans="1:5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</row>
    <row r="505" spans="1:5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</row>
    <row r="506" spans="1:5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</row>
    <row r="507" spans="1:5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</row>
    <row r="508" spans="1:5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</row>
    <row r="509" spans="1:5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</row>
    <row r="510" spans="1:5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</row>
    <row r="511" spans="1:5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</row>
    <row r="512" spans="1:5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</row>
    <row r="513" spans="1:5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</row>
    <row r="514" spans="1:5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</row>
    <row r="515" spans="1:5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</row>
    <row r="516" spans="1:5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</row>
    <row r="517" spans="1:5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</row>
    <row r="518" spans="1:5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</row>
    <row r="519" spans="1:5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</row>
    <row r="520" spans="1:5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</row>
    <row r="521" spans="1:5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</row>
    <row r="522" spans="1:5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</row>
    <row r="523" spans="1:5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</row>
    <row r="524" spans="1:5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</row>
    <row r="525" spans="1:5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</row>
    <row r="526" spans="1:5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</row>
    <row r="527" spans="1:5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</row>
    <row r="528" spans="1:5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</row>
    <row r="529" spans="1:5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</row>
    <row r="530" spans="1:5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</row>
    <row r="531" spans="1:5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</row>
    <row r="532" spans="1:5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</row>
    <row r="533" spans="1:5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</row>
    <row r="534" spans="1:5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</row>
    <row r="535" spans="1:5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</row>
    <row r="536" spans="1:5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</row>
    <row r="537" spans="1:5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</row>
    <row r="538" spans="1:5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</row>
    <row r="539" spans="1:5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</row>
    <row r="540" spans="1:5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</row>
    <row r="541" spans="1:5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</row>
    <row r="542" spans="1:5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</row>
    <row r="543" spans="1:5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</row>
    <row r="544" spans="1:5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</row>
    <row r="545" spans="1:5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</row>
    <row r="546" spans="1:5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</row>
    <row r="547" spans="1:5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</row>
    <row r="548" spans="1:5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</row>
    <row r="549" spans="1:5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</row>
    <row r="550" spans="1:5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</row>
    <row r="551" spans="1:5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</row>
    <row r="552" spans="1: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</row>
    <row r="553" spans="1:5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</row>
    <row r="554" spans="1:5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</row>
    <row r="555" spans="1:5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</row>
    <row r="556" spans="1:5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</row>
    <row r="557" spans="1:5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</row>
    <row r="558" spans="1:5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</row>
    <row r="559" spans="1:5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</row>
    <row r="560" spans="1:5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</row>
    <row r="561" spans="1:5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</row>
    <row r="562" spans="1:5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</row>
    <row r="563" spans="1:5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</row>
    <row r="564" spans="1:5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</row>
    <row r="565" spans="1:5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</row>
    <row r="566" spans="1:5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</row>
    <row r="567" spans="1:5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</row>
    <row r="568" spans="1:5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</row>
    <row r="569" spans="1:5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</row>
    <row r="570" spans="1:5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</row>
    <row r="571" spans="1:5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</row>
    <row r="572" spans="1:5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</row>
    <row r="573" spans="1:5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</row>
    <row r="574" spans="1:5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</row>
    <row r="575" spans="1:5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</row>
    <row r="576" spans="1:5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</row>
    <row r="577" spans="1:5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</row>
    <row r="578" spans="1:5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</row>
    <row r="579" spans="1:5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</row>
    <row r="580" spans="1:5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</row>
    <row r="581" spans="1:5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</row>
    <row r="582" spans="1:5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</row>
    <row r="583" spans="1:5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</row>
    <row r="584" spans="1:5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</row>
    <row r="585" spans="1:5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</row>
    <row r="586" spans="1:5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</row>
    <row r="587" spans="1:5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</row>
    <row r="588" spans="1:5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</row>
    <row r="589" spans="1:5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</row>
    <row r="590" spans="1:5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</row>
    <row r="591" spans="1:5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</row>
    <row r="592" spans="1:5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</row>
    <row r="593" spans="1:5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</row>
    <row r="594" spans="1:5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</row>
    <row r="595" spans="1:5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</row>
    <row r="596" spans="1:5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</row>
    <row r="597" spans="1:5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</row>
    <row r="598" spans="1:5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</row>
    <row r="599" spans="1:5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</row>
    <row r="600" spans="1:5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</row>
    <row r="601" spans="1:5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</row>
    <row r="602" spans="1:5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</row>
    <row r="603" spans="1:5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</row>
    <row r="604" spans="1:5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</row>
    <row r="605" spans="1:5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</row>
    <row r="606" spans="1:5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</row>
    <row r="607" spans="1:5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</row>
    <row r="608" spans="1:5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</row>
    <row r="609" spans="1:5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</row>
    <row r="610" spans="1:5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</row>
    <row r="611" spans="1:5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</row>
    <row r="612" spans="1:5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</row>
    <row r="613" spans="1:5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</row>
    <row r="614" spans="1:5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</row>
    <row r="615" spans="1:5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</row>
    <row r="616" spans="1:5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</row>
    <row r="617" spans="1:5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</row>
    <row r="618" spans="1:5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</row>
    <row r="619" spans="1:5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</row>
    <row r="620" spans="1:5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</row>
    <row r="621" spans="1:5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</row>
    <row r="622" spans="1:5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</row>
    <row r="623" spans="1:5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</row>
    <row r="624" spans="1:5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</row>
    <row r="625" spans="1:5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</row>
    <row r="626" spans="1:5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</row>
    <row r="627" spans="1:5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</row>
    <row r="628" spans="1:5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</row>
    <row r="629" spans="1:5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</row>
    <row r="630" spans="1:5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</row>
    <row r="631" spans="1:5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</row>
    <row r="632" spans="1:5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</row>
    <row r="633" spans="1:5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</row>
    <row r="634" spans="1:5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</row>
    <row r="635" spans="1:5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</row>
    <row r="636" spans="1:5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</row>
    <row r="637" spans="1:5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</row>
    <row r="638" spans="1:5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</row>
    <row r="639" spans="1:5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</row>
    <row r="640" spans="1:5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</row>
    <row r="641" spans="1:5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</row>
    <row r="642" spans="1:5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</row>
    <row r="643" spans="1:5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</row>
    <row r="644" spans="1:5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</row>
    <row r="645" spans="1:5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</row>
    <row r="646" spans="1:5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</row>
    <row r="647" spans="1:5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</row>
    <row r="648" spans="1:5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</row>
    <row r="649" spans="1:5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</row>
    <row r="650" spans="1:5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</row>
    <row r="651" spans="1:5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</row>
    <row r="652" spans="1: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</row>
    <row r="653" spans="1:5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</row>
    <row r="654" spans="1:5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</row>
    <row r="655" spans="1:5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</row>
    <row r="656" spans="1:5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</row>
    <row r="657" spans="1:5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</row>
    <row r="658" spans="1:5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</row>
    <row r="659" spans="1:5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</row>
    <row r="660" spans="1:5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</row>
    <row r="661" spans="1:5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</row>
    <row r="662" spans="1:5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</row>
    <row r="663" spans="1:5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</row>
    <row r="664" spans="1:5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</row>
    <row r="665" spans="1:5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</row>
    <row r="666" spans="1:5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</row>
    <row r="667" spans="1:5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</row>
    <row r="668" spans="1:5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</row>
    <row r="669" spans="1:5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</row>
    <row r="670" spans="1:5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</row>
    <row r="671" spans="1:5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</row>
    <row r="672" spans="1:5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</row>
    <row r="673" spans="1:5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</row>
    <row r="674" spans="1:5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</row>
    <row r="675" spans="1:5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</row>
    <row r="676" spans="1:5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</row>
    <row r="677" spans="1:5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</row>
    <row r="678" spans="1:5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</row>
    <row r="679" spans="1:5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</row>
    <row r="680" spans="1:5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</row>
    <row r="681" spans="1:5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</row>
    <row r="682" spans="1:5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</row>
    <row r="683" spans="1:5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</row>
    <row r="684" spans="1:5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</row>
    <row r="685" spans="1:5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</row>
    <row r="686" spans="1:5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</row>
    <row r="687" spans="1:5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</row>
    <row r="688" spans="1:5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</row>
    <row r="689" spans="1:5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</row>
    <row r="690" spans="1:5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</row>
    <row r="691" spans="1:5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</row>
    <row r="692" spans="1:5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</row>
    <row r="693" spans="1:5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</row>
    <row r="694" spans="1:5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</row>
    <row r="695" spans="1:5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</row>
    <row r="696" spans="1:5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</row>
    <row r="697" spans="1:5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</row>
    <row r="698" spans="1:5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</row>
    <row r="699" spans="1:5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</row>
    <row r="700" spans="1:5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</row>
    <row r="701" spans="1:5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</row>
    <row r="702" spans="1:5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</row>
    <row r="703" spans="1:5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</row>
    <row r="704" spans="1:5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</row>
    <row r="705" spans="1:5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</row>
    <row r="706" spans="1:5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</row>
    <row r="707" spans="1:5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</row>
    <row r="708" spans="1:5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</row>
    <row r="709" spans="1:5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</row>
    <row r="710" spans="1:5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</row>
    <row r="711" spans="1:5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</row>
    <row r="712" spans="1:5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</row>
    <row r="713" spans="1:5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</row>
    <row r="714" spans="1:5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</row>
    <row r="715" spans="1:5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</row>
    <row r="716" spans="1:5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</row>
    <row r="717" spans="1:5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</row>
    <row r="718" spans="1:5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</row>
    <row r="719" spans="1:5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</row>
    <row r="720" spans="1:5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</row>
    <row r="721" spans="1:5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</row>
    <row r="722" spans="1:5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</row>
    <row r="723" spans="1:5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</row>
    <row r="724" spans="1:5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</row>
    <row r="725" spans="1:5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</row>
    <row r="726" spans="1:5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</row>
    <row r="727" spans="1:5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</row>
    <row r="728" spans="1:5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</row>
    <row r="729" spans="1:5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</row>
    <row r="730" spans="1:5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</row>
    <row r="731" spans="1:5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</row>
    <row r="732" spans="1:5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</row>
    <row r="733" spans="1:5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</row>
    <row r="734" spans="1:5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</row>
    <row r="735" spans="1:5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</row>
    <row r="736" spans="1:5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</row>
    <row r="737" spans="1:5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</row>
    <row r="738" spans="1:5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</row>
    <row r="739" spans="1:5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</row>
    <row r="740" spans="1:5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</row>
    <row r="741" spans="1:5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</row>
    <row r="742" spans="1:5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</row>
    <row r="743" spans="1:5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</row>
    <row r="744" spans="1:5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</row>
    <row r="745" spans="1:5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</row>
    <row r="746" spans="1:5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</row>
    <row r="747" spans="1:5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</row>
    <row r="748" spans="1:5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</row>
    <row r="749" spans="1:5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</row>
    <row r="750" spans="1:5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</row>
    <row r="751" spans="1:5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</row>
    <row r="752" spans="1: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</row>
    <row r="753" spans="1:5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</row>
    <row r="754" spans="1:5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</row>
    <row r="755" spans="1:5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</row>
    <row r="756" spans="1:5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</row>
    <row r="757" spans="1:5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</row>
    <row r="758" spans="1:5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</row>
    <row r="759" spans="1:5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</row>
    <row r="760" spans="1:5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</row>
    <row r="761" spans="1:5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</row>
    <row r="762" spans="1:5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</row>
    <row r="763" spans="1:5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</row>
    <row r="764" spans="1:5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</row>
    <row r="765" spans="1:5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</row>
    <row r="766" spans="1:5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</row>
    <row r="767" spans="1:5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</row>
    <row r="768" spans="1:5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</row>
    <row r="769" spans="1:5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</row>
    <row r="770" spans="1:5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</row>
    <row r="771" spans="1:5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</row>
    <row r="772" spans="1:5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</row>
    <row r="773" spans="1:5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</row>
    <row r="774" spans="1:5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</row>
    <row r="775" spans="1:5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</row>
    <row r="776" spans="1:5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</row>
    <row r="777" spans="1:5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</row>
    <row r="778" spans="1:5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</row>
    <row r="779" spans="1:5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</row>
    <row r="780" spans="1:5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</row>
    <row r="781" spans="1:5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</row>
    <row r="782" spans="1:5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</row>
    <row r="783" spans="1:5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</row>
    <row r="784" spans="1:5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</row>
    <row r="785" spans="1:5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</row>
    <row r="786" spans="1:5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</row>
    <row r="787" spans="1:5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</row>
    <row r="788" spans="1:5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</row>
    <row r="789" spans="1:5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</row>
    <row r="790" spans="1:5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</row>
    <row r="791" spans="1:5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</row>
    <row r="792" spans="1:5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</row>
    <row r="793" spans="1:5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</row>
    <row r="794" spans="1:5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</row>
    <row r="795" spans="1:5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</row>
    <row r="796" spans="1:5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</row>
    <row r="797" spans="1:5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</row>
    <row r="798" spans="1:5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</row>
    <row r="799" spans="1:5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</row>
    <row r="800" spans="1:5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</row>
    <row r="801" spans="1:5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</row>
    <row r="802" spans="1:5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</row>
    <row r="803" spans="1:5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</row>
    <row r="804" spans="1:5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</row>
    <row r="805" spans="1:5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</row>
    <row r="806" spans="1:5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</row>
    <row r="807" spans="1:5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</row>
    <row r="808" spans="1:5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</row>
    <row r="809" spans="1:5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</row>
    <row r="810" spans="1:5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</row>
    <row r="811" spans="1:5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</row>
    <row r="812" spans="1:5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</row>
    <row r="813" spans="1:5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</row>
    <row r="814" spans="1:5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</row>
    <row r="815" spans="1:5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</row>
    <row r="816" spans="1:5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</row>
    <row r="817" spans="1:5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</row>
    <row r="818" spans="1:5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</row>
    <row r="819" spans="1:5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</row>
    <row r="820" spans="1:5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</row>
    <row r="821" spans="1:5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</row>
    <row r="822" spans="1:5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</row>
    <row r="823" spans="1:5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</row>
    <row r="824" spans="1:5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</row>
    <row r="825" spans="1:5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</row>
    <row r="826" spans="1:5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</row>
    <row r="827" spans="1:5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</row>
    <row r="828" spans="1:5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</row>
    <row r="829" spans="1:5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</row>
    <row r="830" spans="1:5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</row>
    <row r="831" spans="1:5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</row>
    <row r="832" spans="1:5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</row>
    <row r="833" spans="1:5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</row>
    <row r="834" spans="1:5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</row>
    <row r="835" spans="1:5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</row>
    <row r="836" spans="1:5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</row>
    <row r="837" spans="1:5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</row>
    <row r="838" spans="1:5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</row>
    <row r="839" spans="1:5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</row>
    <row r="840" spans="1:5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</row>
    <row r="841" spans="1:5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</row>
    <row r="842" spans="1:5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</row>
    <row r="843" spans="1:5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</row>
    <row r="844" spans="1:5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</row>
    <row r="845" spans="1:5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</row>
    <row r="846" spans="1:5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</row>
    <row r="847" spans="1:5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</row>
    <row r="848" spans="1:5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</row>
    <row r="849" spans="1:5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</row>
    <row r="850" spans="1:5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</row>
    <row r="851" spans="1:5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</row>
    <row r="852" spans="1: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</row>
    <row r="853" spans="1:5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</row>
    <row r="854" spans="1:5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</row>
    <row r="855" spans="1:5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</row>
    <row r="856" spans="1:5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</row>
    <row r="857" spans="1:5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</row>
    <row r="858" spans="1:5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</row>
    <row r="859" spans="1:5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</row>
    <row r="860" spans="1:5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</row>
    <row r="861" spans="1:5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</row>
    <row r="862" spans="1:5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</row>
    <row r="863" spans="1:5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</row>
    <row r="864" spans="1:5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</row>
    <row r="865" spans="1:5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</row>
    <row r="866" spans="1:5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</row>
    <row r="867" spans="1:5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</row>
    <row r="868" spans="1:5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</row>
    <row r="869" spans="1:5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</row>
    <row r="870" spans="1:5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</row>
    <row r="871" spans="1:5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</row>
    <row r="872" spans="1:5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</row>
    <row r="873" spans="1:5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</row>
    <row r="874" spans="1:5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</row>
    <row r="875" spans="1:5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</row>
    <row r="876" spans="1:5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</row>
    <row r="877" spans="1:5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</row>
    <row r="878" spans="1:5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</row>
    <row r="879" spans="1:5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</row>
    <row r="880" spans="1:5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</row>
    <row r="881" spans="1:5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</row>
    <row r="882" spans="1:5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</row>
    <row r="883" spans="1:5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</row>
    <row r="884" spans="1:5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</row>
    <row r="885" spans="1:5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</row>
    <row r="886" spans="1:5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</row>
    <row r="887" spans="1:5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</row>
    <row r="888" spans="1:5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</row>
    <row r="889" spans="1:5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</row>
    <row r="890" spans="1:5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</row>
    <row r="891" spans="1:5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</row>
    <row r="892" spans="1:5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</row>
    <row r="893" spans="1:5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</row>
    <row r="894" spans="1:5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</row>
    <row r="895" spans="1:5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</row>
    <row r="896" spans="1:5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</row>
    <row r="897" spans="1:5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</row>
    <row r="898" spans="1:5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</row>
    <row r="899" spans="1:5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</row>
    <row r="900" spans="1:5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</row>
    <row r="901" spans="1:5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</row>
    <row r="902" spans="1:5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</row>
    <row r="903" spans="1:5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</row>
    <row r="904" spans="1:5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</row>
    <row r="905" spans="1:5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</row>
    <row r="906" spans="1:5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</row>
    <row r="907" spans="1:5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</row>
    <row r="908" spans="1:5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</row>
    <row r="909" spans="1:5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</row>
    <row r="910" spans="1:5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</row>
    <row r="911" spans="1:5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</row>
    <row r="912" spans="1:5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</row>
    <row r="913" spans="1:5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</row>
    <row r="914" spans="1:5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</row>
    <row r="915" spans="1:5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</row>
    <row r="916" spans="1:5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</row>
    <row r="917" spans="1:5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</row>
    <row r="918" spans="1:5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</row>
    <row r="919" spans="1:5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</row>
    <row r="920" spans="1:5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</row>
    <row r="921" spans="1:5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</row>
    <row r="922" spans="1:5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</row>
    <row r="923" spans="1:5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</row>
    <row r="924" spans="1:5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</row>
    <row r="925" spans="1:5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</row>
    <row r="926" spans="1:5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</row>
    <row r="927" spans="1:5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</row>
    <row r="928" spans="1:5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</row>
    <row r="929" spans="1:5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</row>
    <row r="930" spans="1:5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</row>
    <row r="931" spans="1:5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</row>
    <row r="932" spans="1:5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</row>
    <row r="933" spans="1:5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</row>
    <row r="934" spans="1:5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</row>
    <row r="935" spans="1:5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</row>
    <row r="936" spans="1:5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</row>
    <row r="937" spans="1:5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</row>
    <row r="938" spans="1:5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</row>
    <row r="939" spans="1:5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</row>
    <row r="940" spans="1:5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</row>
    <row r="941" spans="1:5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</row>
    <row r="942" spans="1:5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</row>
    <row r="943" spans="1:5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</row>
    <row r="944" spans="1:5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</row>
    <row r="945" spans="1:5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</row>
    <row r="946" spans="1:5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</row>
    <row r="947" spans="1:5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</row>
    <row r="948" spans="1:5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</row>
    <row r="949" spans="1:5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</row>
    <row r="950" spans="1:5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</row>
    <row r="951" spans="1:5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</row>
    <row r="952" spans="1: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</row>
    <row r="953" spans="1:5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</row>
    <row r="954" spans="1:5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</row>
    <row r="955" spans="1:5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</row>
    <row r="956" spans="1:5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</row>
    <row r="957" spans="1:5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</row>
    <row r="958" spans="1:5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</row>
    <row r="959" spans="1:5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</row>
    <row r="960" spans="1:5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</row>
    <row r="961" spans="1:5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</row>
    <row r="962" spans="1:5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</row>
    <row r="963" spans="1:5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</row>
    <row r="964" spans="1:5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</row>
    <row r="965" spans="1:5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</row>
    <row r="966" spans="1:5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</row>
    <row r="967" spans="1:5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</row>
    <row r="968" spans="1:5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</row>
    <row r="969" spans="1:5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</row>
    <row r="970" spans="1:5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</row>
    <row r="971" spans="1:5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</row>
    <row r="972" spans="1:5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</row>
    <row r="973" spans="1:5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</row>
    <row r="974" spans="1:5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</row>
    <row r="975" spans="1:5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</row>
    <row r="976" spans="1:5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</row>
    <row r="977" spans="1:5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</row>
    <row r="978" spans="1:5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</row>
    <row r="979" spans="1:5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</row>
    <row r="980" spans="1:5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</row>
    <row r="981" spans="1:5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</row>
    <row r="982" spans="1:5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</row>
    <row r="983" spans="1:5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</row>
    <row r="984" spans="1:5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</row>
    <row r="985" spans="1:5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</row>
    <row r="986" spans="1:5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</row>
    <row r="987" spans="1:5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</row>
    <row r="988" spans="1:5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</row>
    <row r="989" spans="1:5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</row>
    <row r="990" spans="1:5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</row>
    <row r="991" spans="1:5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</row>
    <row r="992" spans="1:5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</row>
    <row r="993" spans="1:5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</row>
    <row r="994" spans="1:5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</row>
    <row r="995" spans="1:5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</row>
    <row r="996" spans="1:5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</row>
    <row r="997" spans="1:5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</row>
    <row r="998" spans="1:5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</row>
    <row r="999" spans="1:5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</row>
    <row r="1000" spans="1:5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</row>
  </sheetData>
  <mergeCells count="1">
    <mergeCell ref="B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00"/>
  <sheetViews>
    <sheetView workbookViewId="0"/>
  </sheetViews>
  <sheetFormatPr defaultColWidth="15.140625" defaultRowHeight="15" customHeight="1"/>
  <cols>
    <col min="1" max="1" width="31.140625" customWidth="1"/>
    <col min="2" max="42" width="11.140625" customWidth="1"/>
  </cols>
  <sheetData>
    <row r="1" spans="1:42" ht="21" customHeight="1">
      <c r="A1" s="1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1:4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1:42" ht="15.75" customHeight="1">
      <c r="A3" s="3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</row>
    <row r="4" spans="1:42" ht="15.75" customHeight="1">
      <c r="A4" s="66"/>
      <c r="B4" s="177" t="s">
        <v>2</v>
      </c>
      <c r="C4" s="178"/>
      <c r="D4" s="178"/>
      <c r="E4" s="178"/>
      <c r="F4" s="178"/>
      <c r="G4" s="178"/>
      <c r="H4" s="178"/>
      <c r="I4" s="178"/>
      <c r="J4" s="178"/>
      <c r="K4" s="179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</row>
    <row r="5" spans="1:42" ht="15.75" customHeight="1">
      <c r="A5" s="4" t="s">
        <v>3</v>
      </c>
      <c r="B5" s="5">
        <v>2000</v>
      </c>
      <c r="C5" s="4">
        <v>2001</v>
      </c>
      <c r="D5" s="4">
        <v>2002</v>
      </c>
      <c r="E5" s="4">
        <v>2003</v>
      </c>
      <c r="F5" s="4">
        <v>2004</v>
      </c>
      <c r="G5" s="4">
        <v>2005</v>
      </c>
      <c r="H5" s="4">
        <v>2006</v>
      </c>
      <c r="I5" s="4">
        <v>2007</v>
      </c>
      <c r="J5" s="4">
        <v>2008</v>
      </c>
      <c r="K5" s="7">
        <v>2009</v>
      </c>
      <c r="L5" s="4">
        <v>2010</v>
      </c>
      <c r="M5" s="4">
        <v>2011</v>
      </c>
      <c r="N5" s="4">
        <v>2012</v>
      </c>
      <c r="O5" s="4">
        <v>2013</v>
      </c>
      <c r="P5" s="4">
        <v>2014</v>
      </c>
      <c r="Q5" s="4">
        <v>2015</v>
      </c>
      <c r="R5" s="4">
        <v>2016</v>
      </c>
      <c r="S5" s="4">
        <v>2017</v>
      </c>
      <c r="T5" s="4">
        <v>2018</v>
      </c>
      <c r="U5" s="4">
        <v>2019</v>
      </c>
      <c r="V5" s="4">
        <v>2020</v>
      </c>
      <c r="W5" s="4">
        <v>2021</v>
      </c>
      <c r="X5" s="4">
        <v>2022</v>
      </c>
      <c r="Y5" s="4">
        <v>2023</v>
      </c>
      <c r="Z5" s="4">
        <v>2024</v>
      </c>
      <c r="AA5" s="4">
        <v>2025</v>
      </c>
      <c r="AB5" s="4">
        <v>2026</v>
      </c>
      <c r="AC5" s="4">
        <v>2027</v>
      </c>
      <c r="AD5" s="4">
        <v>2028</v>
      </c>
      <c r="AE5" s="4">
        <v>2029</v>
      </c>
      <c r="AF5" s="4">
        <v>2030</v>
      </c>
      <c r="AG5" s="4">
        <v>2031</v>
      </c>
      <c r="AH5" s="4">
        <v>2032</v>
      </c>
      <c r="AI5" s="4">
        <v>2033</v>
      </c>
      <c r="AJ5" s="4">
        <v>2034</v>
      </c>
      <c r="AK5" s="4">
        <v>2035</v>
      </c>
      <c r="AL5" s="4">
        <v>2036</v>
      </c>
      <c r="AM5" s="4">
        <v>2037</v>
      </c>
      <c r="AN5" s="4">
        <v>2038</v>
      </c>
      <c r="AO5" s="4">
        <v>2039</v>
      </c>
      <c r="AP5" s="4">
        <v>2040</v>
      </c>
    </row>
    <row r="6" spans="1:42">
      <c r="A6" s="67" t="s">
        <v>52</v>
      </c>
      <c r="B6" s="3"/>
      <c r="C6" s="3"/>
      <c r="D6" s="3"/>
      <c r="E6" s="3"/>
      <c r="F6" s="3"/>
      <c r="G6" s="3"/>
      <c r="H6" s="3"/>
      <c r="I6" s="3"/>
      <c r="J6" s="3"/>
      <c r="K6" s="68"/>
      <c r="L6" s="21"/>
      <c r="M6" s="21"/>
      <c r="N6" s="2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>
      <c r="A7" s="76" t="s">
        <v>54</v>
      </c>
      <c r="B7" s="2">
        <f>1430+112</f>
        <v>1542</v>
      </c>
      <c r="C7" s="77">
        <f t="shared" ref="C7:C8" si="0">B7/10</f>
        <v>154.19999999999999</v>
      </c>
      <c r="D7" s="3"/>
      <c r="E7" s="3"/>
      <c r="F7" s="3"/>
      <c r="G7" s="3"/>
      <c r="H7" s="3"/>
      <c r="I7" s="3"/>
      <c r="J7" s="3"/>
      <c r="K7" s="68"/>
      <c r="L7" s="12">
        <f t="shared" ref="L7:AK7" si="1">L16</f>
        <v>19247.400000000001</v>
      </c>
      <c r="M7" s="12">
        <f t="shared" si="1"/>
        <v>19332.615252429736</v>
      </c>
      <c r="N7" s="12">
        <f t="shared" si="1"/>
        <v>19332.615252429736</v>
      </c>
      <c r="O7" s="12">
        <f t="shared" si="1"/>
        <v>19332.615252429736</v>
      </c>
      <c r="P7" s="12">
        <f t="shared" si="1"/>
        <v>20127.062414172859</v>
      </c>
      <c r="Q7" s="12">
        <f t="shared" si="1"/>
        <v>20127.062414172859</v>
      </c>
      <c r="R7" s="12">
        <f t="shared" si="1"/>
        <v>20127.062414172859</v>
      </c>
      <c r="S7" s="12">
        <f t="shared" si="1"/>
        <v>19691.841762964643</v>
      </c>
      <c r="T7" s="12">
        <f t="shared" si="1"/>
        <v>20888.116443772509</v>
      </c>
      <c r="U7" s="12">
        <f t="shared" si="1"/>
        <v>20888.116443772509</v>
      </c>
      <c r="V7" s="12">
        <f t="shared" si="1"/>
        <v>21071.668892970105</v>
      </c>
      <c r="W7" s="12">
        <f t="shared" si="1"/>
        <v>21321.710419070594</v>
      </c>
      <c r="X7" s="12">
        <f t="shared" si="1"/>
        <v>24338.488382897944</v>
      </c>
      <c r="Y7" s="12">
        <f t="shared" si="1"/>
        <v>24338.488382897944</v>
      </c>
      <c r="Z7" s="12">
        <f t="shared" si="1"/>
        <v>23596.21177857733</v>
      </c>
      <c r="AA7" s="12">
        <f t="shared" si="1"/>
        <v>23893.525456997115</v>
      </c>
      <c r="AB7" s="12">
        <f t="shared" si="1"/>
        <v>24190.839135416907</v>
      </c>
      <c r="AC7" s="12">
        <f t="shared" si="1"/>
        <v>24360.813876999153</v>
      </c>
      <c r="AD7" s="12">
        <f t="shared" si="1"/>
        <v>24411.119192075341</v>
      </c>
      <c r="AE7" s="12">
        <f t="shared" si="1"/>
        <v>24411.119192075341</v>
      </c>
      <c r="AF7" s="12">
        <f t="shared" si="1"/>
        <v>24583.98448914539</v>
      </c>
      <c r="AG7" s="12">
        <f t="shared" si="1"/>
        <v>24583.98448914539</v>
      </c>
      <c r="AH7" s="12">
        <f t="shared" si="1"/>
        <v>24583.98448914539</v>
      </c>
      <c r="AI7" s="12">
        <f t="shared" si="1"/>
        <v>24583.98448914539</v>
      </c>
      <c r="AJ7" s="12">
        <f t="shared" si="1"/>
        <v>24583.98448914539</v>
      </c>
      <c r="AK7" s="12">
        <f t="shared" si="1"/>
        <v>25209.309625401154</v>
      </c>
      <c r="AL7" s="21"/>
      <c r="AM7" s="21"/>
      <c r="AN7" s="21"/>
      <c r="AO7" s="21"/>
      <c r="AP7" s="21"/>
    </row>
    <row r="8" spans="1:42">
      <c r="A8" s="76" t="s">
        <v>55</v>
      </c>
      <c r="B8" s="2">
        <v>1608</v>
      </c>
      <c r="C8" s="77">
        <f t="shared" si="0"/>
        <v>160.80000000000001</v>
      </c>
      <c r="D8" s="3"/>
      <c r="E8" s="3"/>
      <c r="F8" s="3"/>
      <c r="G8" s="3"/>
      <c r="H8" s="3"/>
      <c r="I8" s="3"/>
      <c r="J8" s="3"/>
      <c r="K8" s="68"/>
      <c r="L8" s="12">
        <f t="shared" ref="L8:L10" si="2">L7-(C7)</f>
        <v>19093.2</v>
      </c>
      <c r="M8" s="12">
        <f t="shared" ref="M8:M10" si="3">M7-(2*C7)</f>
        <v>19024.215252429734</v>
      </c>
      <c r="N8" s="12">
        <f t="shared" ref="N8:N10" si="4">N7-(3*C7)</f>
        <v>18870.015252429737</v>
      </c>
      <c r="O8" s="12">
        <f t="shared" ref="O8:O10" si="5">O7-(4*C7)</f>
        <v>18715.815252429737</v>
      </c>
      <c r="P8" s="12">
        <f t="shared" ref="P8:P10" si="6">P7-(5*C7)</f>
        <v>19356.062414172859</v>
      </c>
      <c r="Q8" s="12">
        <f t="shared" ref="Q8:Q10" si="7">Q7-(6*C7)</f>
        <v>19201.862414172858</v>
      </c>
      <c r="R8" s="12">
        <f t="shared" ref="R8:R10" si="8">R7-(7*C7)</f>
        <v>19047.662414172857</v>
      </c>
      <c r="S8" s="12">
        <f t="shared" ref="S8:S10" si="9">S7-(8*C7)</f>
        <v>18458.241762964644</v>
      </c>
      <c r="T8" s="12">
        <f t="shared" ref="T8:T10" si="10">T7-(9*C7)</f>
        <v>19500.31644377251</v>
      </c>
      <c r="U8" s="12">
        <f>U7-(10*C7)</f>
        <v>19346.116443772509</v>
      </c>
      <c r="V8" s="12">
        <f>V7-(10*$C$7)</f>
        <v>19529.668892970105</v>
      </c>
      <c r="W8" s="12">
        <f>W7-(12*$C$7)</f>
        <v>19471.310419070593</v>
      </c>
      <c r="X8" s="12">
        <f>X7-(13*$C$7)</f>
        <v>22333.888382897945</v>
      </c>
      <c r="Y8" s="12">
        <f>Y7-(14*$C$7)</f>
        <v>22179.688382897944</v>
      </c>
      <c r="Z8" s="12">
        <f>Z7-(15*$C$7)</f>
        <v>21283.21177857733</v>
      </c>
      <c r="AA8" s="12">
        <f>AA7-(16*$C$7)</f>
        <v>21426.325456997114</v>
      </c>
      <c r="AB8" s="12">
        <f>AB7-(17*$C$7)</f>
        <v>21569.439135416906</v>
      </c>
      <c r="AC8" s="12">
        <f>AC7-(18*$C$7)</f>
        <v>21585.213876999154</v>
      </c>
      <c r="AD8" s="12">
        <f>AD7-(19*$C$7)</f>
        <v>21481.319192075342</v>
      </c>
      <c r="AE8" s="12">
        <f>AE7-(20*$C$7)</f>
        <v>21327.119192075341</v>
      </c>
      <c r="AF8" s="12">
        <f>AF7-(21*$C$7)</f>
        <v>21345.78448914539</v>
      </c>
      <c r="AG8" s="12">
        <f>AG7-(22*$C$7)</f>
        <v>21191.584489145389</v>
      </c>
      <c r="AH8" s="12">
        <f>AH7-(23*$C$7)</f>
        <v>21037.384489145392</v>
      </c>
      <c r="AI8" s="12">
        <f>AI7-(24*$C$7)</f>
        <v>20883.184489145391</v>
      </c>
      <c r="AJ8" s="12">
        <f>AJ7-(25*$C$7)</f>
        <v>20728.98448914539</v>
      </c>
      <c r="AK8" s="12">
        <f>AK7-(26*$C$7)</f>
        <v>21200.109625401154</v>
      </c>
      <c r="AL8" s="3"/>
      <c r="AM8" s="3"/>
      <c r="AN8" s="3"/>
      <c r="AO8" s="3"/>
      <c r="AP8" s="3"/>
    </row>
    <row r="9" spans="1:42">
      <c r="A9" s="76" t="s">
        <v>57</v>
      </c>
      <c r="B9" s="2">
        <v>2800</v>
      </c>
      <c r="C9" s="77">
        <f>B9/25</f>
        <v>112</v>
      </c>
      <c r="D9" s="3"/>
      <c r="E9" s="3"/>
      <c r="F9" s="3"/>
      <c r="G9" s="3"/>
      <c r="H9" s="3"/>
      <c r="I9" s="3"/>
      <c r="J9" s="3"/>
      <c r="K9" s="68"/>
      <c r="L9" s="12">
        <f t="shared" si="2"/>
        <v>18932.400000000001</v>
      </c>
      <c r="M9" s="12">
        <f t="shared" si="3"/>
        <v>18702.615252429736</v>
      </c>
      <c r="N9" s="12">
        <f t="shared" si="4"/>
        <v>18387.615252429736</v>
      </c>
      <c r="O9" s="12">
        <f t="shared" si="5"/>
        <v>18072.615252429736</v>
      </c>
      <c r="P9" s="12">
        <f t="shared" si="6"/>
        <v>18552.062414172859</v>
      </c>
      <c r="Q9" s="12">
        <f t="shared" si="7"/>
        <v>18237.062414172859</v>
      </c>
      <c r="R9" s="12">
        <f t="shared" si="8"/>
        <v>17922.062414172859</v>
      </c>
      <c r="S9" s="12">
        <f t="shared" si="9"/>
        <v>17171.841762964643</v>
      </c>
      <c r="T9" s="12">
        <f t="shared" si="10"/>
        <v>18053.116443772509</v>
      </c>
      <c r="U9" s="12">
        <f>U8-(10*$C$8)</f>
        <v>17738.116443772509</v>
      </c>
      <c r="V9" s="12">
        <f>V8-(11*$C$8)</f>
        <v>17760.868892970106</v>
      </c>
      <c r="W9" s="12">
        <f t="shared" ref="W9:AK9" si="11">W8-(10*$C$8)</f>
        <v>17863.310419070593</v>
      </c>
      <c r="X9" s="12">
        <f t="shared" si="11"/>
        <v>20725.888382897945</v>
      </c>
      <c r="Y9" s="12">
        <f t="shared" si="11"/>
        <v>20571.688382897944</v>
      </c>
      <c r="Z9" s="12">
        <f t="shared" si="11"/>
        <v>19675.21177857733</v>
      </c>
      <c r="AA9" s="12">
        <f t="shared" si="11"/>
        <v>19818.325456997114</v>
      </c>
      <c r="AB9" s="12">
        <f t="shared" si="11"/>
        <v>19961.439135416906</v>
      </c>
      <c r="AC9" s="12">
        <f t="shared" si="11"/>
        <v>19977.213876999154</v>
      </c>
      <c r="AD9" s="12">
        <f t="shared" si="11"/>
        <v>19873.319192075342</v>
      </c>
      <c r="AE9" s="12">
        <f t="shared" si="11"/>
        <v>19719.119192075341</v>
      </c>
      <c r="AF9" s="12">
        <f t="shared" si="11"/>
        <v>19737.78448914539</v>
      </c>
      <c r="AG9" s="12">
        <f t="shared" si="11"/>
        <v>19583.584489145389</v>
      </c>
      <c r="AH9" s="12">
        <f t="shared" si="11"/>
        <v>19429.384489145392</v>
      </c>
      <c r="AI9" s="12">
        <f t="shared" si="11"/>
        <v>19275.184489145391</v>
      </c>
      <c r="AJ9" s="12">
        <f t="shared" si="11"/>
        <v>19120.98448914539</v>
      </c>
      <c r="AK9" s="12">
        <f t="shared" si="11"/>
        <v>19592.109625401154</v>
      </c>
      <c r="AL9" s="3"/>
      <c r="AM9" s="3"/>
      <c r="AN9" s="3"/>
      <c r="AO9" s="3"/>
      <c r="AP9" s="3"/>
    </row>
    <row r="10" spans="1:42">
      <c r="A10" s="76" t="s">
        <v>58</v>
      </c>
      <c r="B10" s="2">
        <v>8750</v>
      </c>
      <c r="C10" s="77">
        <f t="shared" ref="C10:C13" si="12">B10/10</f>
        <v>875</v>
      </c>
      <c r="D10" s="3"/>
      <c r="E10" s="3"/>
      <c r="F10" s="3"/>
      <c r="G10" s="3"/>
      <c r="H10" s="3"/>
      <c r="I10" s="3"/>
      <c r="J10" s="3"/>
      <c r="K10" s="11">
        <f>K16-K15</f>
        <v>8486.0000000000018</v>
      </c>
      <c r="L10" s="12">
        <f t="shared" si="2"/>
        <v>18820.400000000001</v>
      </c>
      <c r="M10" s="12">
        <f t="shared" si="3"/>
        <v>18478.615252429736</v>
      </c>
      <c r="N10" s="12">
        <f t="shared" si="4"/>
        <v>18051.615252429736</v>
      </c>
      <c r="O10" s="12">
        <f t="shared" si="5"/>
        <v>17624.615252429736</v>
      </c>
      <c r="P10" s="12">
        <f t="shared" si="6"/>
        <v>17992.062414172859</v>
      </c>
      <c r="Q10" s="12">
        <f t="shared" si="7"/>
        <v>17565.062414172859</v>
      </c>
      <c r="R10" s="12">
        <f t="shared" si="8"/>
        <v>17138.062414172859</v>
      </c>
      <c r="S10" s="12">
        <f t="shared" si="9"/>
        <v>16275.841762964643</v>
      </c>
      <c r="T10" s="12">
        <f t="shared" si="10"/>
        <v>17045.116443772509</v>
      </c>
      <c r="U10" s="12">
        <f t="shared" ref="U10:AK10" si="13">U9-(10*$C$9)</f>
        <v>16618.116443772509</v>
      </c>
      <c r="V10" s="12">
        <f t="shared" si="13"/>
        <v>16640.868892970106</v>
      </c>
      <c r="W10" s="12">
        <f t="shared" si="13"/>
        <v>16743.310419070593</v>
      </c>
      <c r="X10" s="12">
        <f t="shared" si="13"/>
        <v>19605.888382897945</v>
      </c>
      <c r="Y10" s="12">
        <f t="shared" si="13"/>
        <v>19451.688382897944</v>
      </c>
      <c r="Z10" s="12">
        <f t="shared" si="13"/>
        <v>18555.21177857733</v>
      </c>
      <c r="AA10" s="12">
        <f t="shared" si="13"/>
        <v>18698.325456997114</v>
      </c>
      <c r="AB10" s="12">
        <f t="shared" si="13"/>
        <v>18841.439135416906</v>
      </c>
      <c r="AC10" s="12">
        <f t="shared" si="13"/>
        <v>18857.213876999154</v>
      </c>
      <c r="AD10" s="12">
        <f t="shared" si="13"/>
        <v>18753.319192075342</v>
      </c>
      <c r="AE10" s="12">
        <f t="shared" si="13"/>
        <v>18599.119192075341</v>
      </c>
      <c r="AF10" s="12">
        <f t="shared" si="13"/>
        <v>18617.78448914539</v>
      </c>
      <c r="AG10" s="12">
        <f t="shared" si="13"/>
        <v>18463.584489145389</v>
      </c>
      <c r="AH10" s="12">
        <f t="shared" si="13"/>
        <v>18309.384489145392</v>
      </c>
      <c r="AI10" s="12">
        <f t="shared" si="13"/>
        <v>18155.184489145391</v>
      </c>
      <c r="AJ10" s="12">
        <f t="shared" si="13"/>
        <v>18000.98448914539</v>
      </c>
      <c r="AK10" s="12">
        <f t="shared" si="13"/>
        <v>18472.109625401154</v>
      </c>
      <c r="AL10" s="3"/>
      <c r="AM10" s="3"/>
      <c r="AN10" s="3"/>
      <c r="AO10" s="3"/>
      <c r="AP10" s="3"/>
    </row>
    <row r="11" spans="1:42">
      <c r="A11" s="76" t="s">
        <v>59</v>
      </c>
      <c r="B11" s="2">
        <v>1882</v>
      </c>
      <c r="C11" s="77">
        <f t="shared" si="12"/>
        <v>188.2</v>
      </c>
      <c r="D11" s="3"/>
      <c r="E11" s="3"/>
      <c r="F11" s="3"/>
      <c r="G11" s="3"/>
      <c r="H11" s="3"/>
      <c r="I11" s="3"/>
      <c r="J11" s="3"/>
      <c r="K11" s="68"/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f t="shared" ref="V11:AK11" si="14">U11</f>
        <v>0</v>
      </c>
      <c r="W11" s="12">
        <f t="shared" si="14"/>
        <v>0</v>
      </c>
      <c r="X11" s="12">
        <f t="shared" si="14"/>
        <v>0</v>
      </c>
      <c r="Y11" s="12">
        <f t="shared" si="14"/>
        <v>0</v>
      </c>
      <c r="Z11" s="12">
        <f t="shared" si="14"/>
        <v>0</v>
      </c>
      <c r="AA11" s="12">
        <f t="shared" si="14"/>
        <v>0</v>
      </c>
      <c r="AB11" s="12">
        <f t="shared" si="14"/>
        <v>0</v>
      </c>
      <c r="AC11" s="12">
        <f t="shared" si="14"/>
        <v>0</v>
      </c>
      <c r="AD11" s="12">
        <f t="shared" si="14"/>
        <v>0</v>
      </c>
      <c r="AE11" s="12">
        <f t="shared" si="14"/>
        <v>0</v>
      </c>
      <c r="AF11" s="12">
        <f t="shared" si="14"/>
        <v>0</v>
      </c>
      <c r="AG11" s="12">
        <f t="shared" si="14"/>
        <v>0</v>
      </c>
      <c r="AH11" s="12">
        <f t="shared" si="14"/>
        <v>0</v>
      </c>
      <c r="AI11" s="12">
        <f t="shared" si="14"/>
        <v>0</v>
      </c>
      <c r="AJ11" s="12">
        <f t="shared" si="14"/>
        <v>0</v>
      </c>
      <c r="AK11" s="12">
        <f t="shared" si="14"/>
        <v>0</v>
      </c>
      <c r="AL11" s="3"/>
      <c r="AM11" s="3"/>
      <c r="AN11" s="3"/>
      <c r="AO11" s="3"/>
      <c r="AP11" s="3"/>
    </row>
    <row r="12" spans="1:42">
      <c r="A12" s="76" t="s">
        <v>61</v>
      </c>
      <c r="B12" s="2">
        <v>816</v>
      </c>
      <c r="C12" s="77">
        <f t="shared" si="12"/>
        <v>81.599999999999994</v>
      </c>
      <c r="D12" s="3"/>
      <c r="E12" s="3"/>
      <c r="F12" s="3"/>
      <c r="G12" s="3"/>
      <c r="H12" s="3"/>
      <c r="I12" s="3"/>
      <c r="J12" s="3"/>
      <c r="K12" s="68"/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f t="shared" ref="V12:AK12" si="15">U12</f>
        <v>0</v>
      </c>
      <c r="W12" s="12">
        <f t="shared" si="15"/>
        <v>0</v>
      </c>
      <c r="X12" s="12">
        <f t="shared" si="15"/>
        <v>0</v>
      </c>
      <c r="Y12" s="12">
        <f t="shared" si="15"/>
        <v>0</v>
      </c>
      <c r="Z12" s="12">
        <f t="shared" si="15"/>
        <v>0</v>
      </c>
      <c r="AA12" s="12">
        <f t="shared" si="15"/>
        <v>0</v>
      </c>
      <c r="AB12" s="12">
        <f t="shared" si="15"/>
        <v>0</v>
      </c>
      <c r="AC12" s="12">
        <f t="shared" si="15"/>
        <v>0</v>
      </c>
      <c r="AD12" s="12">
        <f t="shared" si="15"/>
        <v>0</v>
      </c>
      <c r="AE12" s="12">
        <f t="shared" si="15"/>
        <v>0</v>
      </c>
      <c r="AF12" s="12">
        <f t="shared" si="15"/>
        <v>0</v>
      </c>
      <c r="AG12" s="12">
        <f t="shared" si="15"/>
        <v>0</v>
      </c>
      <c r="AH12" s="12">
        <f t="shared" si="15"/>
        <v>0</v>
      </c>
      <c r="AI12" s="12">
        <f t="shared" si="15"/>
        <v>0</v>
      </c>
      <c r="AJ12" s="12">
        <f t="shared" si="15"/>
        <v>0</v>
      </c>
      <c r="AK12" s="12">
        <f t="shared" si="15"/>
        <v>0</v>
      </c>
      <c r="AL12" s="3"/>
      <c r="AM12" s="3"/>
      <c r="AN12" s="3"/>
      <c r="AO12" s="3"/>
      <c r="AP12" s="3"/>
    </row>
    <row r="13" spans="1:42">
      <c r="A13" s="76" t="s">
        <v>62</v>
      </c>
      <c r="B13" s="2">
        <v>7502</v>
      </c>
      <c r="C13" s="77">
        <f t="shared" si="12"/>
        <v>750.2</v>
      </c>
      <c r="D13" s="3"/>
      <c r="E13" s="3"/>
      <c r="F13" s="3"/>
      <c r="G13" s="3"/>
      <c r="H13" s="3"/>
      <c r="I13" s="3"/>
      <c r="J13" s="3"/>
      <c r="K13" s="68"/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9400</v>
      </c>
      <c r="S13" s="12">
        <f t="shared" ref="S13:W13" si="16">R13</f>
        <v>9400</v>
      </c>
      <c r="T13" s="12">
        <f t="shared" si="16"/>
        <v>9400</v>
      </c>
      <c r="U13" s="12">
        <f t="shared" si="16"/>
        <v>9400</v>
      </c>
      <c r="V13" s="12">
        <f t="shared" si="16"/>
        <v>9400</v>
      </c>
      <c r="W13" s="12">
        <f t="shared" si="16"/>
        <v>9400</v>
      </c>
      <c r="X13" s="12">
        <f>W13+2210</f>
        <v>11610</v>
      </c>
      <c r="Y13" s="12">
        <f t="shared" ref="Y13:AK13" si="17">Y10-7832</f>
        <v>11619.688382897944</v>
      </c>
      <c r="Z13" s="12">
        <f t="shared" si="17"/>
        <v>10723.21177857733</v>
      </c>
      <c r="AA13" s="12">
        <f t="shared" si="17"/>
        <v>10866.325456997114</v>
      </c>
      <c r="AB13" s="12">
        <f t="shared" si="17"/>
        <v>11009.439135416906</v>
      </c>
      <c r="AC13" s="12">
        <f t="shared" si="17"/>
        <v>11025.213876999154</v>
      </c>
      <c r="AD13" s="12">
        <f t="shared" si="17"/>
        <v>10921.319192075342</v>
      </c>
      <c r="AE13" s="12">
        <f t="shared" si="17"/>
        <v>10767.119192075341</v>
      </c>
      <c r="AF13" s="12">
        <f t="shared" si="17"/>
        <v>10785.78448914539</v>
      </c>
      <c r="AG13" s="12">
        <f t="shared" si="17"/>
        <v>10631.584489145389</v>
      </c>
      <c r="AH13" s="12">
        <f t="shared" si="17"/>
        <v>10477.384489145392</v>
      </c>
      <c r="AI13" s="12">
        <f t="shared" si="17"/>
        <v>10323.184489145391</v>
      </c>
      <c r="AJ13" s="12">
        <f t="shared" si="17"/>
        <v>10168.98448914539</v>
      </c>
      <c r="AK13" s="12">
        <f t="shared" si="17"/>
        <v>10640.109625401154</v>
      </c>
      <c r="AL13" s="3"/>
      <c r="AM13" s="3"/>
      <c r="AN13" s="3"/>
      <c r="AO13" s="3"/>
      <c r="AP13" s="3"/>
    </row>
    <row r="14" spans="1:42">
      <c r="A14" s="76" t="s">
        <v>63</v>
      </c>
      <c r="B14" s="3"/>
      <c r="C14" s="3"/>
      <c r="D14" s="3"/>
      <c r="E14" s="3"/>
      <c r="F14" s="3"/>
      <c r="G14" s="3"/>
      <c r="H14" s="3"/>
      <c r="I14" s="3"/>
      <c r="J14" s="3"/>
      <c r="K14" s="68"/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2870</v>
      </c>
      <c r="V14" s="12">
        <v>2784</v>
      </c>
      <c r="W14" s="12">
        <v>2769</v>
      </c>
      <c r="X14" s="12">
        <v>2786</v>
      </c>
      <c r="Y14" s="12">
        <v>2786</v>
      </c>
      <c r="Z14" s="12">
        <v>2721</v>
      </c>
      <c r="AA14" s="12">
        <v>2736</v>
      </c>
      <c r="AB14" s="12">
        <v>2750</v>
      </c>
      <c r="AC14" s="12">
        <v>2758</v>
      </c>
      <c r="AD14" s="12">
        <v>2758</v>
      </c>
      <c r="AE14" s="12">
        <v>2758</v>
      </c>
      <c r="AF14" s="12">
        <v>2762</v>
      </c>
      <c r="AG14" s="12">
        <v>2762</v>
      </c>
      <c r="AH14" s="12">
        <v>2762</v>
      </c>
      <c r="AI14" s="12">
        <v>2762</v>
      </c>
      <c r="AJ14" s="12">
        <v>2762</v>
      </c>
      <c r="AK14" s="12">
        <v>2792</v>
      </c>
      <c r="AL14" s="12">
        <f t="shared" ref="AL14:AP14" si="18">AL15</f>
        <v>0</v>
      </c>
      <c r="AM14" s="12">
        <f t="shared" si="18"/>
        <v>9571.5806595444501</v>
      </c>
      <c r="AN14" s="12">
        <f t="shared" si="18"/>
        <v>9571.5806595444501</v>
      </c>
      <c r="AO14" s="12">
        <f t="shared" si="18"/>
        <v>9911.4435124192405</v>
      </c>
      <c r="AP14" s="12">
        <f t="shared" si="18"/>
        <v>9911.4435124192405</v>
      </c>
    </row>
    <row r="15" spans="1:42">
      <c r="A15" s="76" t="s">
        <v>64</v>
      </c>
      <c r="B15" s="3"/>
      <c r="C15" s="3"/>
      <c r="D15" s="3"/>
      <c r="E15" s="3"/>
      <c r="F15" s="3"/>
      <c r="G15" s="3"/>
      <c r="H15" s="3"/>
      <c r="I15" s="3"/>
      <c r="J15" s="3"/>
      <c r="K15" s="11">
        <f t="shared" ref="K15:U15" si="19">K27</f>
        <v>10761.4</v>
      </c>
      <c r="L15" s="12">
        <f t="shared" si="19"/>
        <v>9648.8374000000003</v>
      </c>
      <c r="M15" s="12">
        <f t="shared" si="19"/>
        <v>9607.1912121901132</v>
      </c>
      <c r="N15" s="12">
        <f t="shared" si="19"/>
        <v>9590.772866968573</v>
      </c>
      <c r="O15" s="12">
        <f t="shared" si="19"/>
        <v>9576.8988669685732</v>
      </c>
      <c r="P15" s="12">
        <f t="shared" si="19"/>
        <v>9728.3121927688735</v>
      </c>
      <c r="Q15" s="12">
        <f t="shared" si="19"/>
        <v>9714.4381927688737</v>
      </c>
      <c r="R15" s="12">
        <f t="shared" si="19"/>
        <v>9700.5641927688739</v>
      </c>
      <c r="S15" s="12">
        <f t="shared" si="19"/>
        <v>9409.8356873498124</v>
      </c>
      <c r="T15" s="12">
        <f t="shared" si="19"/>
        <v>9662.8765714348538</v>
      </c>
      <c r="U15" s="12">
        <f t="shared" si="19"/>
        <v>9630.9046515160389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f t="shared" ref="AM15:AP15" si="20">AM27</f>
        <v>9571.5806595444501</v>
      </c>
      <c r="AN15" s="12">
        <f t="shared" si="20"/>
        <v>9571.5806595444501</v>
      </c>
      <c r="AO15" s="12">
        <f t="shared" si="20"/>
        <v>9911.4435124192405</v>
      </c>
      <c r="AP15" s="12">
        <f t="shared" si="20"/>
        <v>9911.4435124192405</v>
      </c>
    </row>
    <row r="16" spans="1:42">
      <c r="A16" s="76" t="s">
        <v>65</v>
      </c>
      <c r="B16" s="3"/>
      <c r="C16" s="3"/>
      <c r="D16" s="3"/>
      <c r="E16" s="3"/>
      <c r="F16" s="3"/>
      <c r="G16" s="3"/>
      <c r="H16" s="3"/>
      <c r="I16" s="3"/>
      <c r="J16" s="3"/>
      <c r="K16" s="11">
        <f t="shared" ref="K16:AP16" si="21">K28</f>
        <v>19247.400000000001</v>
      </c>
      <c r="L16" s="12">
        <f t="shared" si="21"/>
        <v>19247.400000000001</v>
      </c>
      <c r="M16" s="12">
        <f t="shared" si="21"/>
        <v>19332.615252429736</v>
      </c>
      <c r="N16" s="12">
        <f t="shared" si="21"/>
        <v>19332.615252429736</v>
      </c>
      <c r="O16" s="12">
        <f t="shared" si="21"/>
        <v>19332.615252429736</v>
      </c>
      <c r="P16" s="12">
        <f t="shared" si="21"/>
        <v>20127.062414172859</v>
      </c>
      <c r="Q16" s="12">
        <f t="shared" si="21"/>
        <v>20127.062414172859</v>
      </c>
      <c r="R16" s="12">
        <f t="shared" si="21"/>
        <v>20127.062414172859</v>
      </c>
      <c r="S16" s="12">
        <f t="shared" si="21"/>
        <v>19691.841762964643</v>
      </c>
      <c r="T16" s="12">
        <f t="shared" si="21"/>
        <v>20888.116443772509</v>
      </c>
      <c r="U16" s="12">
        <f t="shared" si="21"/>
        <v>20888.116443772509</v>
      </c>
      <c r="V16" s="12">
        <f t="shared" si="21"/>
        <v>21071.668892970105</v>
      </c>
      <c r="W16" s="12">
        <f t="shared" si="21"/>
        <v>21321.710419070594</v>
      </c>
      <c r="X16" s="12">
        <f t="shared" si="21"/>
        <v>24338.488382897944</v>
      </c>
      <c r="Y16" s="12">
        <f t="shared" si="21"/>
        <v>24338.488382897944</v>
      </c>
      <c r="Z16" s="12">
        <f t="shared" si="21"/>
        <v>23596.21177857733</v>
      </c>
      <c r="AA16" s="12">
        <f t="shared" si="21"/>
        <v>23893.525456997115</v>
      </c>
      <c r="AB16" s="12">
        <f t="shared" si="21"/>
        <v>24190.839135416907</v>
      </c>
      <c r="AC16" s="12">
        <f t="shared" si="21"/>
        <v>24360.813876999153</v>
      </c>
      <c r="AD16" s="12">
        <f t="shared" si="21"/>
        <v>24411.119192075341</v>
      </c>
      <c r="AE16" s="12">
        <f t="shared" si="21"/>
        <v>24411.119192075341</v>
      </c>
      <c r="AF16" s="12">
        <f t="shared" si="21"/>
        <v>24583.98448914539</v>
      </c>
      <c r="AG16" s="12">
        <f t="shared" si="21"/>
        <v>24583.98448914539</v>
      </c>
      <c r="AH16" s="12">
        <f t="shared" si="21"/>
        <v>24583.98448914539</v>
      </c>
      <c r="AI16" s="12">
        <f t="shared" si="21"/>
        <v>24583.98448914539</v>
      </c>
      <c r="AJ16" s="12">
        <f t="shared" si="21"/>
        <v>24583.98448914539</v>
      </c>
      <c r="AK16" s="12">
        <f t="shared" si="21"/>
        <v>25209.309625401154</v>
      </c>
      <c r="AL16" s="12">
        <f t="shared" si="21"/>
        <v>25209.309625401154</v>
      </c>
      <c r="AM16" s="12">
        <f t="shared" si="21"/>
        <v>25209.309625401154</v>
      </c>
      <c r="AN16" s="12">
        <f t="shared" si="21"/>
        <v>25209.309625401154</v>
      </c>
      <c r="AO16" s="12">
        <f t="shared" si="21"/>
        <v>26198.46029547846</v>
      </c>
      <c r="AP16" s="12">
        <f t="shared" si="21"/>
        <v>26198.46029547846</v>
      </c>
    </row>
    <row r="17" spans="1:42">
      <c r="A17" s="3"/>
      <c r="B17" s="3"/>
      <c r="C17" s="3"/>
      <c r="D17" s="3"/>
      <c r="E17" s="3"/>
      <c r="F17" s="3"/>
      <c r="G17" s="3"/>
      <c r="H17" s="3"/>
      <c r="I17" s="3"/>
      <c r="J17" s="3"/>
      <c r="K17" s="6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15.75" customHeight="1">
      <c r="A18" s="3" t="s">
        <v>51</v>
      </c>
      <c r="B18" s="3"/>
      <c r="C18" s="3"/>
      <c r="D18" s="3"/>
      <c r="E18" s="3"/>
      <c r="F18" s="3"/>
      <c r="G18" s="3"/>
      <c r="H18" s="3"/>
      <c r="I18" s="3"/>
      <c r="J18" s="3"/>
      <c r="K18" s="6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15.75" customHeight="1">
      <c r="A19" s="57" t="s">
        <v>7</v>
      </c>
      <c r="B19" s="69">
        <f t="shared" ref="B19:AP19" si="22">B37</f>
        <v>727.9</v>
      </c>
      <c r="C19" s="69">
        <f t="shared" si="22"/>
        <v>720.2</v>
      </c>
      <c r="D19" s="69">
        <f t="shared" si="22"/>
        <v>725.5</v>
      </c>
      <c r="E19" s="69">
        <f t="shared" si="22"/>
        <v>715.6</v>
      </c>
      <c r="F19" s="69">
        <f t="shared" si="22"/>
        <v>723</v>
      </c>
      <c r="G19" s="69">
        <f t="shared" si="22"/>
        <v>713.2</v>
      </c>
      <c r="H19" s="69">
        <f t="shared" si="22"/>
        <v>729.6</v>
      </c>
      <c r="I19" s="69">
        <f t="shared" si="22"/>
        <v>754</v>
      </c>
      <c r="J19" s="69">
        <f t="shared" si="22"/>
        <v>725.6</v>
      </c>
      <c r="K19" s="70">
        <f t="shared" si="22"/>
        <v>725.6</v>
      </c>
      <c r="L19" s="25">
        <f t="shared" si="22"/>
        <v>725.6</v>
      </c>
      <c r="M19" s="25">
        <f t="shared" si="22"/>
        <v>725.6</v>
      </c>
      <c r="N19" s="25">
        <f t="shared" si="22"/>
        <v>725.6</v>
      </c>
      <c r="O19" s="25">
        <f t="shared" si="22"/>
        <v>725.6</v>
      </c>
      <c r="P19" s="25">
        <f t="shared" si="22"/>
        <v>725.6</v>
      </c>
      <c r="Q19" s="25">
        <f t="shared" si="22"/>
        <v>725.6</v>
      </c>
      <c r="R19" s="25">
        <f t="shared" si="22"/>
        <v>725.6</v>
      </c>
      <c r="S19" s="25">
        <f t="shared" si="22"/>
        <v>725.6</v>
      </c>
      <c r="T19" s="25">
        <f t="shared" si="22"/>
        <v>725.6</v>
      </c>
      <c r="U19" s="25">
        <f t="shared" si="22"/>
        <v>725.6</v>
      </c>
      <c r="V19" s="25">
        <f t="shared" si="22"/>
        <v>725.6</v>
      </c>
      <c r="W19" s="25">
        <f t="shared" si="22"/>
        <v>725.6</v>
      </c>
      <c r="X19" s="25">
        <f t="shared" si="22"/>
        <v>725.6</v>
      </c>
      <c r="Y19" s="25">
        <f t="shared" si="22"/>
        <v>725.6</v>
      </c>
      <c r="Z19" s="25">
        <f t="shared" si="22"/>
        <v>725.6</v>
      </c>
      <c r="AA19" s="25">
        <f t="shared" si="22"/>
        <v>725.6</v>
      </c>
      <c r="AB19" s="25">
        <f t="shared" si="22"/>
        <v>725.6</v>
      </c>
      <c r="AC19" s="25">
        <f t="shared" si="22"/>
        <v>725.6</v>
      </c>
      <c r="AD19" s="25">
        <f t="shared" si="22"/>
        <v>725.6</v>
      </c>
      <c r="AE19" s="25">
        <f t="shared" si="22"/>
        <v>725.6</v>
      </c>
      <c r="AF19" s="25">
        <f t="shared" si="22"/>
        <v>725.6</v>
      </c>
      <c r="AG19" s="25">
        <f t="shared" si="22"/>
        <v>725.6</v>
      </c>
      <c r="AH19" s="25">
        <f t="shared" si="22"/>
        <v>725.6</v>
      </c>
      <c r="AI19" s="25">
        <f t="shared" si="22"/>
        <v>725.6</v>
      </c>
      <c r="AJ19" s="25">
        <f t="shared" si="22"/>
        <v>725.6</v>
      </c>
      <c r="AK19" s="25">
        <f t="shared" si="22"/>
        <v>725.6</v>
      </c>
      <c r="AL19" s="25">
        <f t="shared" si="22"/>
        <v>725.6</v>
      </c>
      <c r="AM19" s="25">
        <f t="shared" si="22"/>
        <v>725.6</v>
      </c>
      <c r="AN19" s="25">
        <f t="shared" si="22"/>
        <v>725.6</v>
      </c>
      <c r="AO19" s="25">
        <f t="shared" si="22"/>
        <v>725.6</v>
      </c>
      <c r="AP19" s="27">
        <f t="shared" si="22"/>
        <v>725.6</v>
      </c>
    </row>
    <row r="20" spans="1:42">
      <c r="A20" s="71" t="s">
        <v>9</v>
      </c>
      <c r="B20" s="72">
        <f t="shared" ref="B20:K20" si="23">B36</f>
        <v>1000</v>
      </c>
      <c r="C20" s="72">
        <f t="shared" si="23"/>
        <v>1000</v>
      </c>
      <c r="D20" s="72">
        <f t="shared" si="23"/>
        <v>1000</v>
      </c>
      <c r="E20" s="72">
        <f t="shared" si="23"/>
        <v>1000</v>
      </c>
      <c r="F20" s="72">
        <f t="shared" si="23"/>
        <v>1000</v>
      </c>
      <c r="G20" s="72">
        <f t="shared" si="23"/>
        <v>1000</v>
      </c>
      <c r="H20" s="72">
        <f t="shared" si="23"/>
        <v>1000</v>
      </c>
      <c r="I20" s="72">
        <f t="shared" si="23"/>
        <v>1000</v>
      </c>
      <c r="J20" s="72">
        <f t="shared" si="23"/>
        <v>1000</v>
      </c>
      <c r="K20" s="73">
        <f t="shared" si="23"/>
        <v>1022.5</v>
      </c>
      <c r="L20" s="72">
        <f>'BAU Data'!L11</f>
        <v>1022.5</v>
      </c>
      <c r="M20" s="72">
        <f>'BAU Data'!M11</f>
        <v>1022.5</v>
      </c>
      <c r="N20" s="72">
        <f>'BAU Data'!N11</f>
        <v>1022.5</v>
      </c>
      <c r="O20" s="72">
        <f>'BAU Data'!O11</f>
        <v>1022.5</v>
      </c>
      <c r="P20" s="72">
        <f>'BAU Data'!P11</f>
        <v>1022.5</v>
      </c>
      <c r="Q20" s="72">
        <f>'BAU Data'!Q11</f>
        <v>1022.5</v>
      </c>
      <c r="R20" s="72">
        <f>'BAU Data'!R11</f>
        <v>1022.5</v>
      </c>
      <c r="S20" s="72">
        <f>'BAU Data'!S11</f>
        <v>1022.5</v>
      </c>
      <c r="T20" s="72">
        <f>'BAU Data'!T11</f>
        <v>1022.5</v>
      </c>
      <c r="U20" s="72">
        <f>'BAU Data'!U11</f>
        <v>1022.5</v>
      </c>
      <c r="V20" s="72">
        <f>'BAU Data'!V11</f>
        <v>1022.5</v>
      </c>
      <c r="W20" s="72">
        <f>'BAU Data'!W11</f>
        <v>1022.5</v>
      </c>
      <c r="X20" s="72">
        <f>'BAU Data'!X11</f>
        <v>1022.5</v>
      </c>
      <c r="Y20" s="72">
        <f>'BAU Data'!Y11</f>
        <v>1022.5</v>
      </c>
      <c r="Z20" s="72">
        <f>'BAU Data'!Z11</f>
        <v>1022.5</v>
      </c>
      <c r="AA20" s="72">
        <f>'BAU Data'!AA11</f>
        <v>1022.5</v>
      </c>
      <c r="AB20" s="72">
        <f>'BAU Data'!AB11</f>
        <v>1022.5</v>
      </c>
      <c r="AC20" s="72">
        <f>'BAU Data'!AC11</f>
        <v>1022.5</v>
      </c>
      <c r="AD20" s="72">
        <f>'BAU Data'!AD11</f>
        <v>1022.5</v>
      </c>
      <c r="AE20" s="72">
        <f>'BAU Data'!AE11</f>
        <v>1022.5</v>
      </c>
      <c r="AF20" s="72">
        <f>'BAU Data'!AF11</f>
        <v>1022.5</v>
      </c>
      <c r="AG20" s="72">
        <f>'BAU Data'!AG11</f>
        <v>1022.5</v>
      </c>
      <c r="AH20" s="72">
        <f>'BAU Data'!AH11</f>
        <v>1022.5</v>
      </c>
      <c r="AI20" s="72">
        <f>'BAU Data'!AI11</f>
        <v>1022.5</v>
      </c>
      <c r="AJ20" s="72">
        <f>'BAU Data'!AJ11</f>
        <v>1022.5</v>
      </c>
      <c r="AK20" s="72">
        <f>'BAU Data'!AK11</f>
        <v>1022.5</v>
      </c>
      <c r="AL20" s="72">
        <f>'BAU Data'!AL11</f>
        <v>1022.5</v>
      </c>
      <c r="AM20" s="72">
        <f>'BAU Data'!AM11</f>
        <v>1022.5</v>
      </c>
      <c r="AN20" s="72">
        <f>'BAU Data'!AN11</f>
        <v>1022.5</v>
      </c>
      <c r="AO20" s="72">
        <f>'BAU Data'!AO11</f>
        <v>1022.5</v>
      </c>
      <c r="AP20" s="74">
        <f>'BAU Data'!AP11</f>
        <v>1022.5</v>
      </c>
    </row>
    <row r="21" spans="1:42">
      <c r="A21" s="75" t="s">
        <v>67</v>
      </c>
      <c r="B21" s="18">
        <f t="shared" ref="B21:K21" si="24">B34</f>
        <v>295</v>
      </c>
      <c r="C21" s="18">
        <f t="shared" si="24"/>
        <v>346.1</v>
      </c>
      <c r="D21" s="18">
        <f t="shared" si="24"/>
        <v>404.2</v>
      </c>
      <c r="E21" s="18">
        <f t="shared" si="24"/>
        <v>424.3</v>
      </c>
      <c r="F21" s="18">
        <f t="shared" si="24"/>
        <v>423.5</v>
      </c>
      <c r="G21" s="18">
        <f t="shared" si="24"/>
        <v>441.7</v>
      </c>
      <c r="H21" s="18">
        <f t="shared" si="24"/>
        <v>421.4</v>
      </c>
      <c r="I21" s="18">
        <f t="shared" si="24"/>
        <v>289.8</v>
      </c>
      <c r="J21" s="18">
        <f t="shared" si="24"/>
        <v>297.8</v>
      </c>
      <c r="K21" s="19">
        <f t="shared" si="24"/>
        <v>294.10000000000002</v>
      </c>
      <c r="L21" s="18">
        <v>7.5</v>
      </c>
      <c r="M21" s="18">
        <v>7.5</v>
      </c>
      <c r="N21" s="18">
        <v>7.5</v>
      </c>
      <c r="O21" s="18">
        <v>7.5</v>
      </c>
      <c r="P21" s="18">
        <v>7.5</v>
      </c>
      <c r="Q21" s="18">
        <v>7.5</v>
      </c>
      <c r="R21" s="18">
        <v>7.5</v>
      </c>
      <c r="S21" s="18">
        <v>7.5</v>
      </c>
      <c r="T21" s="18">
        <v>7.5</v>
      </c>
      <c r="U21" s="18">
        <v>7.5</v>
      </c>
      <c r="V21" s="18">
        <v>7.5</v>
      </c>
      <c r="W21" s="18">
        <v>7.5</v>
      </c>
      <c r="X21" s="18">
        <v>7.5</v>
      </c>
      <c r="Y21" s="18">
        <v>7.5</v>
      </c>
      <c r="Z21" s="18">
        <v>7.5</v>
      </c>
      <c r="AA21" s="18">
        <v>7.5</v>
      </c>
      <c r="AB21" s="18">
        <v>7.5</v>
      </c>
      <c r="AC21" s="18">
        <v>7.5</v>
      </c>
      <c r="AD21" s="18">
        <v>7.5</v>
      </c>
      <c r="AE21" s="18">
        <v>7.5</v>
      </c>
      <c r="AF21" s="18">
        <v>7.5</v>
      </c>
      <c r="AG21" s="18">
        <v>7.5</v>
      </c>
      <c r="AH21" s="18">
        <v>7.5</v>
      </c>
      <c r="AI21" s="18">
        <v>7.5</v>
      </c>
      <c r="AJ21" s="18">
        <v>7.5</v>
      </c>
      <c r="AK21" s="18">
        <v>7.5</v>
      </c>
      <c r="AL21" s="18">
        <v>7.5</v>
      </c>
      <c r="AM21" s="18">
        <v>7.5</v>
      </c>
      <c r="AN21" s="18">
        <v>7.5</v>
      </c>
      <c r="AO21" s="18">
        <v>7.5</v>
      </c>
      <c r="AP21" s="78">
        <v>7.5</v>
      </c>
    </row>
    <row r="22" spans="1:42">
      <c r="A22" s="47" t="s">
        <v>6</v>
      </c>
      <c r="B22" s="77">
        <f t="shared" ref="B22:AP22" si="25">B33</f>
        <v>160</v>
      </c>
      <c r="C22" s="77">
        <f t="shared" si="25"/>
        <v>160</v>
      </c>
      <c r="D22" s="77">
        <f t="shared" si="25"/>
        <v>160</v>
      </c>
      <c r="E22" s="77">
        <f t="shared" si="25"/>
        <v>160</v>
      </c>
      <c r="F22" s="77">
        <f t="shared" si="25"/>
        <v>160</v>
      </c>
      <c r="G22" s="77">
        <f t="shared" si="25"/>
        <v>160</v>
      </c>
      <c r="H22" s="77">
        <f t="shared" si="25"/>
        <v>160</v>
      </c>
      <c r="I22" s="77">
        <f t="shared" si="25"/>
        <v>160</v>
      </c>
      <c r="J22" s="77">
        <f t="shared" si="25"/>
        <v>160</v>
      </c>
      <c r="K22" s="79">
        <f t="shared" si="25"/>
        <v>160</v>
      </c>
      <c r="L22" s="12">
        <f t="shared" si="25"/>
        <v>160</v>
      </c>
      <c r="M22" s="12">
        <f t="shared" si="25"/>
        <v>160.78010878617025</v>
      </c>
      <c r="N22" s="12">
        <f t="shared" si="25"/>
        <v>160.78010878617025</v>
      </c>
      <c r="O22" s="12">
        <f t="shared" si="25"/>
        <v>160.78010878617025</v>
      </c>
      <c r="P22" s="12">
        <f t="shared" si="25"/>
        <v>168.04812231065623</v>
      </c>
      <c r="Q22" s="12">
        <f t="shared" si="25"/>
        <v>168.04812231065623</v>
      </c>
      <c r="R22" s="12">
        <f t="shared" si="25"/>
        <v>168.04812231065623</v>
      </c>
      <c r="S22" s="12">
        <f t="shared" si="25"/>
        <v>164.06748721109159</v>
      </c>
      <c r="T22" s="12">
        <f t="shared" si="25"/>
        <v>175.01293355358405</v>
      </c>
      <c r="U22" s="12">
        <f t="shared" si="25"/>
        <v>175.01293355358405</v>
      </c>
      <c r="V22" s="12">
        <f t="shared" si="25"/>
        <v>176.69276780647061</v>
      </c>
      <c r="W22" s="12">
        <f t="shared" si="25"/>
        <v>178.98108691256996</v>
      </c>
      <c r="X22" s="12">
        <f t="shared" si="25"/>
        <v>186.66391028228887</v>
      </c>
      <c r="Y22" s="12">
        <f t="shared" si="25"/>
        <v>186.66391028228887</v>
      </c>
      <c r="Z22" s="12">
        <f t="shared" si="25"/>
        <v>179.8752996105307</v>
      </c>
      <c r="AA22" s="12">
        <f t="shared" si="25"/>
        <v>182.59527891164424</v>
      </c>
      <c r="AB22" s="12">
        <f t="shared" si="25"/>
        <v>185.31525821275778</v>
      </c>
      <c r="AC22" s="12">
        <f t="shared" si="25"/>
        <v>186.87027505985711</v>
      </c>
      <c r="AD22" s="12">
        <f t="shared" si="25"/>
        <v>186.87027505985711</v>
      </c>
      <c r="AE22" s="12">
        <f t="shared" si="25"/>
        <v>186.87027505985711</v>
      </c>
      <c r="AF22" s="12">
        <f t="shared" si="25"/>
        <v>188.4522316637055</v>
      </c>
      <c r="AG22" s="12">
        <f t="shared" si="25"/>
        <v>188.4522316637055</v>
      </c>
      <c r="AH22" s="12">
        <f t="shared" si="25"/>
        <v>188.4522316637055</v>
      </c>
      <c r="AI22" s="12">
        <f t="shared" si="25"/>
        <v>188.4522316637055</v>
      </c>
      <c r="AJ22" s="12">
        <f t="shared" si="25"/>
        <v>188.4522316637055</v>
      </c>
      <c r="AK22" s="12">
        <f t="shared" si="25"/>
        <v>194.17302942895387</v>
      </c>
      <c r="AL22" s="12">
        <f t="shared" si="25"/>
        <v>194.17302942895387</v>
      </c>
      <c r="AM22" s="12">
        <f t="shared" si="25"/>
        <v>194.17302942895387</v>
      </c>
      <c r="AN22" s="12">
        <f t="shared" si="25"/>
        <v>194.17302942895387</v>
      </c>
      <c r="AO22" s="12">
        <f t="shared" si="25"/>
        <v>203.22229134852856</v>
      </c>
      <c r="AP22" s="30">
        <f t="shared" si="25"/>
        <v>203.22229134852856</v>
      </c>
    </row>
    <row r="23" spans="1:42">
      <c r="A23" s="80" t="s">
        <v>5</v>
      </c>
      <c r="B23" s="77">
        <f t="shared" ref="B23:AP23" si="26">B32</f>
        <v>127.5</v>
      </c>
      <c r="C23" s="77">
        <f t="shared" si="26"/>
        <v>178.6</v>
      </c>
      <c r="D23" s="77">
        <f t="shared" si="26"/>
        <v>236.7</v>
      </c>
      <c r="E23" s="77">
        <f t="shared" si="26"/>
        <v>256.8</v>
      </c>
      <c r="F23" s="77">
        <f t="shared" si="26"/>
        <v>256</v>
      </c>
      <c r="G23" s="77">
        <f t="shared" si="26"/>
        <v>274.2</v>
      </c>
      <c r="H23" s="77">
        <f t="shared" si="26"/>
        <v>253.9</v>
      </c>
      <c r="I23" s="77">
        <f t="shared" si="26"/>
        <v>122.3</v>
      </c>
      <c r="J23" s="77">
        <f t="shared" si="26"/>
        <v>130.30000000000001</v>
      </c>
      <c r="K23" s="79">
        <f t="shared" si="26"/>
        <v>126.6</v>
      </c>
      <c r="L23" s="77">
        <f t="shared" si="26"/>
        <v>126.59999999999998</v>
      </c>
      <c r="M23" s="77">
        <f t="shared" si="26"/>
        <v>127.21726107705717</v>
      </c>
      <c r="N23" s="77">
        <f t="shared" si="26"/>
        <v>124.67291585551602</v>
      </c>
      <c r="O23" s="77">
        <f t="shared" si="26"/>
        <v>124.67291585551602</v>
      </c>
      <c r="P23" s="77">
        <f t="shared" si="26"/>
        <v>130.30871524274056</v>
      </c>
      <c r="Q23" s="77">
        <f t="shared" si="26"/>
        <v>130.30871524274056</v>
      </c>
      <c r="R23" s="77">
        <f t="shared" si="26"/>
        <v>130.30871524274056</v>
      </c>
      <c r="S23" s="77">
        <f t="shared" si="26"/>
        <v>127.22203127066068</v>
      </c>
      <c r="T23" s="77">
        <f t="shared" si="26"/>
        <v>135.70940400078788</v>
      </c>
      <c r="U23" s="77">
        <f t="shared" si="26"/>
        <v>135.70940400078788</v>
      </c>
      <c r="V23" s="77">
        <f t="shared" si="26"/>
        <v>137.01198947633247</v>
      </c>
      <c r="W23" s="77">
        <f t="shared" si="26"/>
        <v>138.78640931917954</v>
      </c>
      <c r="X23" s="77">
        <f t="shared" si="26"/>
        <v>144.74386263064383</v>
      </c>
      <c r="Y23" s="77">
        <f t="shared" si="26"/>
        <v>144.74386263064383</v>
      </c>
      <c r="Z23" s="77">
        <f t="shared" si="26"/>
        <v>139.47980420049572</v>
      </c>
      <c r="AA23" s="77">
        <f t="shared" si="26"/>
        <v>141.58894415006171</v>
      </c>
      <c r="AB23" s="77">
        <f t="shared" si="26"/>
        <v>143.69808409962766</v>
      </c>
      <c r="AC23" s="77">
        <f t="shared" si="26"/>
        <v>144.90388303828968</v>
      </c>
      <c r="AD23" s="77">
        <f t="shared" si="26"/>
        <v>144.90388303828968</v>
      </c>
      <c r="AE23" s="77">
        <f t="shared" si="26"/>
        <v>144.90388303828968</v>
      </c>
      <c r="AF23" s="77">
        <f t="shared" si="26"/>
        <v>146.1305717378288</v>
      </c>
      <c r="AG23" s="77">
        <f t="shared" si="26"/>
        <v>146.1305717378288</v>
      </c>
      <c r="AH23" s="77">
        <f t="shared" si="26"/>
        <v>146.1305717378288</v>
      </c>
      <c r="AI23" s="77">
        <f t="shared" si="26"/>
        <v>146.1305717378288</v>
      </c>
      <c r="AJ23" s="77">
        <f t="shared" si="26"/>
        <v>146.1305717378288</v>
      </c>
      <c r="AK23" s="77">
        <f t="shared" si="26"/>
        <v>150.56662134494653</v>
      </c>
      <c r="AL23" s="77">
        <f t="shared" si="26"/>
        <v>150.56662134494653</v>
      </c>
      <c r="AM23" s="77">
        <f t="shared" si="26"/>
        <v>150.56662134494653</v>
      </c>
      <c r="AN23" s="77">
        <f t="shared" si="26"/>
        <v>150.56662134494653</v>
      </c>
      <c r="AO23" s="77">
        <f t="shared" si="26"/>
        <v>157.58364526893274</v>
      </c>
      <c r="AP23" s="81">
        <f t="shared" si="26"/>
        <v>157.58364526893274</v>
      </c>
    </row>
    <row r="24" spans="1:42">
      <c r="A24" s="80" t="s">
        <v>56</v>
      </c>
      <c r="B24" s="77">
        <f>'Mitigation Data Scenario 3 '!B12</f>
        <v>887.1</v>
      </c>
      <c r="C24" s="77">
        <f>'Mitigation Data Scenario 3 '!C12</f>
        <v>857.8</v>
      </c>
      <c r="D24" s="77">
        <f>'Mitigation Data Scenario 3 '!D12</f>
        <v>887</v>
      </c>
      <c r="E24" s="77">
        <f>'Mitigation Data Scenario 3 '!E12</f>
        <v>881.9</v>
      </c>
      <c r="F24" s="77">
        <f>'Mitigation Data Scenario 3 '!F12</f>
        <v>853.1</v>
      </c>
      <c r="G24" s="77">
        <f>'Mitigation Data Scenario 3 '!G12</f>
        <v>872</v>
      </c>
      <c r="H24" s="77">
        <f>'Mitigation Data Scenario 3 '!H12</f>
        <v>874.3</v>
      </c>
      <c r="I24" s="77">
        <f>'Mitigation Data Scenario 3 '!I12</f>
        <v>795.2</v>
      </c>
      <c r="J24" s="77">
        <f>'Mitigation Data Scenario 3 '!J12</f>
        <v>840.8</v>
      </c>
      <c r="K24" s="79">
        <f>'Mitigation Data Scenario 3 '!K12</f>
        <v>847.6</v>
      </c>
      <c r="L24" s="77">
        <f>'Mitigation Data Scenario 3 '!L12</f>
        <v>744.63739999999996</v>
      </c>
      <c r="M24" s="77">
        <f>'Mitigation Data Scenario 3 '!M12</f>
        <v>727.84399480093828</v>
      </c>
      <c r="N24" s="77">
        <f>'Mitigation Data Scenario 3 '!N12</f>
        <v>713.96999480093825</v>
      </c>
      <c r="O24" s="77">
        <f>'Mitigation Data Scenario 3 '!O12</f>
        <v>700.09599480093834</v>
      </c>
      <c r="P24" s="77">
        <f>'Mitigation Data Scenario 3 '!P12</f>
        <v>605.09263856042537</v>
      </c>
      <c r="Q24" s="77">
        <f>'Mitigation Data Scenario 3 '!Q12</f>
        <v>591.21863856042546</v>
      </c>
      <c r="R24" s="77">
        <f>'Mitigation Data Scenario 3 '!R12</f>
        <v>577.34463856042544</v>
      </c>
      <c r="S24" s="77">
        <f>'Mitigation Data Scenario 3 '!S12</f>
        <v>518.98695193622461</v>
      </c>
      <c r="T24" s="77">
        <f>'Mitigation Data Scenario 3 '!T12</f>
        <v>530.28126000658347</v>
      </c>
      <c r="U24" s="77">
        <f>'Mitigation Data Scenario 3 '!U12</f>
        <v>498.30934008776893</v>
      </c>
      <c r="V24" s="77">
        <f>'Mitigation Data Scenario 3 '!V12</f>
        <v>408.80589689141885</v>
      </c>
      <c r="W24" s="77">
        <f>'Mitigation Data Scenario 3 '!W12</f>
        <v>390.09874856284023</v>
      </c>
      <c r="X24" s="77">
        <f>'Mitigation Data Scenario 3 '!X12</f>
        <v>392.80568258129</v>
      </c>
      <c r="Y24" s="77">
        <f>'Mitigation Data Scenario 3 '!Y12</f>
        <v>392.80568258129</v>
      </c>
      <c r="Z24" s="77">
        <f>'Mitigation Data Scenario 3 '!Z12</f>
        <v>339.70824997597833</v>
      </c>
      <c r="AA24" s="77">
        <f>'Mitigation Data Scenario 3 '!AA12</f>
        <v>349.58598678185444</v>
      </c>
      <c r="AB24" s="77">
        <f>'Mitigation Data Scenario 3 '!AB12</f>
        <v>359.4637235877305</v>
      </c>
      <c r="AC24" s="77">
        <f>'Mitigation Data Scenario 3 '!AC12</f>
        <v>365.1108427176672</v>
      </c>
      <c r="AD24" s="77">
        <f>'Mitigation Data Scenario 3 '!AD12</f>
        <v>365.1108427176672</v>
      </c>
      <c r="AE24" s="77">
        <f>'Mitigation Data Scenario 3 '!AE12</f>
        <v>365.1108427176672</v>
      </c>
      <c r="AF24" s="77">
        <f>'Mitigation Data Scenario 3 '!AF12</f>
        <v>365.32790500587589</v>
      </c>
      <c r="AG24" s="77">
        <f>'Mitigation Data Scenario 3 '!AG12</f>
        <v>365.32790500587589</v>
      </c>
      <c r="AH24" s="77">
        <f>'Mitigation Data Scenario 3 '!AH12</f>
        <v>365.32790500587589</v>
      </c>
      <c r="AI24" s="77">
        <f>'Mitigation Data Scenario 3 '!AI12</f>
        <v>365.32790500587589</v>
      </c>
      <c r="AJ24" s="77">
        <f>'Mitigation Data Scenario 3 '!AJ12</f>
        <v>365.32790500587589</v>
      </c>
      <c r="AK24" s="77">
        <f>'Mitigation Data Scenario 3 '!AK12</f>
        <v>386.10325966450625</v>
      </c>
      <c r="AL24" s="77">
        <f>'Mitigation Data Scenario 3 '!AL12</f>
        <v>371.33735966450621</v>
      </c>
      <c r="AM24" s="77">
        <f>'Mitigation Data Scenario 3 '!AM12</f>
        <v>371.33735966450621</v>
      </c>
      <c r="AN24" s="77">
        <f>'Mitigation Data Scenario 3 '!AN12</f>
        <v>371.33735966450621</v>
      </c>
      <c r="AO24" s="77">
        <f>'Mitigation Data Scenario 3 '!AO12</f>
        <v>404.20019339724848</v>
      </c>
      <c r="AP24" s="81">
        <f>'Mitigation Data Scenario 3 '!AP12</f>
        <v>404.20019339724848</v>
      </c>
    </row>
    <row r="25" spans="1:42">
      <c r="A25" s="80" t="s">
        <v>4</v>
      </c>
      <c r="B25" s="77">
        <f t="shared" ref="B25:AP25" si="27">B31</f>
        <v>8261.9</v>
      </c>
      <c r="C25" s="77">
        <f t="shared" si="27"/>
        <v>8092.7</v>
      </c>
      <c r="D25" s="77">
        <f t="shared" si="27"/>
        <v>7895.3</v>
      </c>
      <c r="E25" s="77">
        <f t="shared" si="27"/>
        <v>9424.6</v>
      </c>
      <c r="F25" s="77">
        <f t="shared" si="27"/>
        <v>9347.7000000000007</v>
      </c>
      <c r="G25" s="77">
        <f t="shared" si="27"/>
        <v>8348.5</v>
      </c>
      <c r="H25" s="77">
        <f t="shared" si="27"/>
        <v>6962.6</v>
      </c>
      <c r="I25" s="77">
        <f t="shared" si="27"/>
        <v>6845.1</v>
      </c>
      <c r="J25" s="77">
        <f t="shared" si="27"/>
        <v>7690.1</v>
      </c>
      <c r="K25" s="79">
        <f t="shared" si="27"/>
        <v>7502</v>
      </c>
      <c r="L25" s="77">
        <f t="shared" si="27"/>
        <v>6779</v>
      </c>
      <c r="M25" s="77">
        <f t="shared" si="27"/>
        <v>6753.2090321784372</v>
      </c>
      <c r="N25" s="77">
        <f t="shared" si="27"/>
        <v>6753.2090321784372</v>
      </c>
      <c r="O25" s="77">
        <f t="shared" si="27"/>
        <v>6753.2090321784372</v>
      </c>
      <c r="P25" s="77">
        <f t="shared" si="27"/>
        <v>6986.3834173571149</v>
      </c>
      <c r="Q25" s="77">
        <f t="shared" si="27"/>
        <v>6986.3834173571149</v>
      </c>
      <c r="R25" s="77">
        <f t="shared" si="27"/>
        <v>6986.3834173571149</v>
      </c>
      <c r="S25" s="77">
        <f t="shared" si="27"/>
        <v>6761.242427068797</v>
      </c>
      <c r="T25" s="77">
        <f t="shared" si="27"/>
        <v>6983.5873841081448</v>
      </c>
      <c r="U25" s="77">
        <f t="shared" si="27"/>
        <v>6983.5873841081448</v>
      </c>
      <c r="V25" s="77">
        <f t="shared" si="27"/>
        <v>6978.1918815827094</v>
      </c>
      <c r="W25" s="77">
        <f t="shared" si="27"/>
        <v>6971.777989253932</v>
      </c>
      <c r="X25" s="77">
        <f t="shared" si="27"/>
        <v>7076.2362056350303</v>
      </c>
      <c r="Y25" s="77">
        <f t="shared" si="27"/>
        <v>7076.2362056350303</v>
      </c>
      <c r="Z25" s="77">
        <f t="shared" si="27"/>
        <v>6607.1563478025673</v>
      </c>
      <c r="AA25" s="77">
        <f t="shared" si="27"/>
        <v>6694.4194629714029</v>
      </c>
      <c r="AB25" s="77">
        <f t="shared" si="27"/>
        <v>6781.6825781402395</v>
      </c>
      <c r="AC25" s="77">
        <f t="shared" si="27"/>
        <v>6831.5710512482356</v>
      </c>
      <c r="AD25" s="77">
        <f t="shared" si="27"/>
        <v>6831.5710512482356</v>
      </c>
      <c r="AE25" s="77">
        <f t="shared" si="27"/>
        <v>6831.5710512482356</v>
      </c>
      <c r="AF25" s="77">
        <f t="shared" si="27"/>
        <v>6833.4886495632145</v>
      </c>
      <c r="AG25" s="77">
        <f t="shared" si="27"/>
        <v>6833.4886495632145</v>
      </c>
      <c r="AH25" s="77">
        <f t="shared" si="27"/>
        <v>6833.4886495632145</v>
      </c>
      <c r="AI25" s="77">
        <f t="shared" si="27"/>
        <v>6833.4886495632145</v>
      </c>
      <c r="AJ25" s="77">
        <f t="shared" si="27"/>
        <v>6833.4886495632145</v>
      </c>
      <c r="AK25" s="77">
        <f t="shared" si="27"/>
        <v>7017.0248382548398</v>
      </c>
      <c r="AL25" s="77">
        <f t="shared" si="27"/>
        <v>7017.0248382548398</v>
      </c>
      <c r="AM25" s="77">
        <f t="shared" si="27"/>
        <v>7017.0248382548398</v>
      </c>
      <c r="AN25" s="77">
        <f t="shared" si="27"/>
        <v>7017.0248382548398</v>
      </c>
      <c r="AO25" s="77">
        <f t="shared" si="27"/>
        <v>7307.3457185488642</v>
      </c>
      <c r="AP25" s="81">
        <f t="shared" si="27"/>
        <v>7307.3457185488642</v>
      </c>
    </row>
    <row r="26" spans="1:42">
      <c r="A26" s="47" t="s">
        <v>8</v>
      </c>
      <c r="B26" s="12">
        <f t="shared" ref="B26:J26" si="28">B35</f>
        <v>8969.9</v>
      </c>
      <c r="C26" s="12">
        <f t="shared" si="28"/>
        <v>8673.7000000000007</v>
      </c>
      <c r="D26" s="12">
        <f t="shared" si="28"/>
        <v>8968.9</v>
      </c>
      <c r="E26" s="12">
        <f t="shared" si="28"/>
        <v>8916.7999999999993</v>
      </c>
      <c r="F26" s="12">
        <f t="shared" si="28"/>
        <v>8625.7999999999993</v>
      </c>
      <c r="G26" s="12">
        <f t="shared" si="28"/>
        <v>8817.2999999999993</v>
      </c>
      <c r="H26" s="12">
        <f t="shared" si="28"/>
        <v>8840.1</v>
      </c>
      <c r="I26" s="12">
        <f t="shared" si="28"/>
        <v>8040.8</v>
      </c>
      <c r="J26" s="12">
        <f t="shared" si="28"/>
        <v>8501.4</v>
      </c>
      <c r="K26" s="11">
        <v>83</v>
      </c>
      <c r="L26" s="12">
        <f t="shared" ref="L26:AP26" si="29">L35</f>
        <v>83</v>
      </c>
      <c r="M26" s="12">
        <f t="shared" si="29"/>
        <v>82.540815347510943</v>
      </c>
      <c r="N26" s="12">
        <f t="shared" si="29"/>
        <v>82.540815347510943</v>
      </c>
      <c r="O26" s="12">
        <f t="shared" si="29"/>
        <v>82.540815347510943</v>
      </c>
      <c r="P26" s="12">
        <f t="shared" si="29"/>
        <v>82.879299297936086</v>
      </c>
      <c r="Q26" s="12">
        <f t="shared" si="29"/>
        <v>82.879299297936086</v>
      </c>
      <c r="R26" s="12">
        <f t="shared" si="29"/>
        <v>82.879299297936086</v>
      </c>
      <c r="S26" s="12">
        <f t="shared" si="29"/>
        <v>82.716789863039594</v>
      </c>
      <c r="T26" s="12">
        <f t="shared" si="29"/>
        <v>82.685589765753321</v>
      </c>
      <c r="U26" s="12">
        <f t="shared" si="29"/>
        <v>82.685589765753321</v>
      </c>
      <c r="V26" s="12">
        <f t="shared" si="29"/>
        <v>82.522691719839713</v>
      </c>
      <c r="W26" s="12">
        <f t="shared" si="29"/>
        <v>83.196559573039849</v>
      </c>
      <c r="X26" s="12">
        <f t="shared" si="29"/>
        <v>82.511736348516934</v>
      </c>
      <c r="Y26" s="12">
        <f t="shared" si="29"/>
        <v>82.511736348516934</v>
      </c>
      <c r="Z26" s="12">
        <f t="shared" si="29"/>
        <v>82.715241844867705</v>
      </c>
      <c r="AA26" s="12">
        <f t="shared" si="29"/>
        <v>83.389679845635328</v>
      </c>
      <c r="AB26" s="12">
        <f t="shared" si="29"/>
        <v>83.064117846402951</v>
      </c>
      <c r="AC26" s="12">
        <f t="shared" si="29"/>
        <v>83.048165575330131</v>
      </c>
      <c r="AD26" s="12">
        <f t="shared" si="29"/>
        <v>83.048165575330131</v>
      </c>
      <c r="AE26" s="12">
        <f t="shared" si="29"/>
        <v>83.048165575330131</v>
      </c>
      <c r="AF26" s="12">
        <f t="shared" si="29"/>
        <v>83.238501480564082</v>
      </c>
      <c r="AG26" s="12">
        <f t="shared" si="29"/>
        <v>83.238501480564082</v>
      </c>
      <c r="AH26" s="12">
        <f t="shared" si="29"/>
        <v>83.238501480564082</v>
      </c>
      <c r="AI26" s="12">
        <f t="shared" si="29"/>
        <v>83.238501480564082</v>
      </c>
      <c r="AJ26" s="12">
        <f t="shared" si="29"/>
        <v>83.238501480564082</v>
      </c>
      <c r="AK26" s="12">
        <f t="shared" si="29"/>
        <v>82.878810851203525</v>
      </c>
      <c r="AL26" s="12">
        <f t="shared" si="29"/>
        <v>82.878810851203525</v>
      </c>
      <c r="AM26" s="12">
        <f t="shared" si="29"/>
        <v>82.878810851203525</v>
      </c>
      <c r="AN26" s="12">
        <f t="shared" si="29"/>
        <v>82.878810851203525</v>
      </c>
      <c r="AO26" s="12">
        <f t="shared" si="29"/>
        <v>83.491663855666047</v>
      </c>
      <c r="AP26" s="30">
        <f t="shared" si="29"/>
        <v>83.491663855666047</v>
      </c>
    </row>
    <row r="27" spans="1:42">
      <c r="A27" s="47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1">
        <f t="shared" ref="K27:AP27" si="30">SUM(K19:K26)</f>
        <v>10761.4</v>
      </c>
      <c r="L27" s="12">
        <f t="shared" si="30"/>
        <v>9648.8374000000003</v>
      </c>
      <c r="M27" s="12">
        <f t="shared" si="30"/>
        <v>9607.1912121901132</v>
      </c>
      <c r="N27" s="12">
        <f t="shared" si="30"/>
        <v>9590.772866968573</v>
      </c>
      <c r="O27" s="12">
        <f t="shared" si="30"/>
        <v>9576.8988669685732</v>
      </c>
      <c r="P27" s="12">
        <f t="shared" si="30"/>
        <v>9728.3121927688735</v>
      </c>
      <c r="Q27" s="12">
        <f t="shared" si="30"/>
        <v>9714.4381927688737</v>
      </c>
      <c r="R27" s="12">
        <f t="shared" si="30"/>
        <v>9700.5641927688739</v>
      </c>
      <c r="S27" s="12">
        <f t="shared" si="30"/>
        <v>9409.8356873498124</v>
      </c>
      <c r="T27" s="12">
        <f t="shared" si="30"/>
        <v>9662.8765714348538</v>
      </c>
      <c r="U27" s="12">
        <f t="shared" si="30"/>
        <v>9630.9046515160389</v>
      </c>
      <c r="V27" s="12">
        <f t="shared" si="30"/>
        <v>9538.825227476771</v>
      </c>
      <c r="W27" s="12">
        <f t="shared" si="30"/>
        <v>9518.4407936215612</v>
      </c>
      <c r="X27" s="12">
        <f t="shared" si="30"/>
        <v>9638.5613974777698</v>
      </c>
      <c r="Y27" s="12">
        <f t="shared" si="30"/>
        <v>9638.5613974777698</v>
      </c>
      <c r="Z27" s="12">
        <f t="shared" si="30"/>
        <v>9104.5349434344389</v>
      </c>
      <c r="AA27" s="12">
        <f t="shared" si="30"/>
        <v>9207.1793526605998</v>
      </c>
      <c r="AB27" s="12">
        <f t="shared" si="30"/>
        <v>9308.823761886757</v>
      </c>
      <c r="AC27" s="12">
        <f t="shared" si="30"/>
        <v>9367.1042176393803</v>
      </c>
      <c r="AD27" s="12">
        <f t="shared" si="30"/>
        <v>9367.1042176393803</v>
      </c>
      <c r="AE27" s="12">
        <f t="shared" si="30"/>
        <v>9367.1042176393803</v>
      </c>
      <c r="AF27" s="12">
        <f t="shared" si="30"/>
        <v>9372.2378594511883</v>
      </c>
      <c r="AG27" s="12">
        <f t="shared" si="30"/>
        <v>9372.2378594511883</v>
      </c>
      <c r="AH27" s="12">
        <f t="shared" si="30"/>
        <v>9372.2378594511883</v>
      </c>
      <c r="AI27" s="12">
        <f t="shared" si="30"/>
        <v>9372.2378594511883</v>
      </c>
      <c r="AJ27" s="12">
        <f t="shared" si="30"/>
        <v>9372.2378594511883</v>
      </c>
      <c r="AK27" s="12">
        <f t="shared" si="30"/>
        <v>9586.3465595444504</v>
      </c>
      <c r="AL27" s="12">
        <f t="shared" si="30"/>
        <v>9571.5806595444501</v>
      </c>
      <c r="AM27" s="12">
        <f t="shared" si="30"/>
        <v>9571.5806595444501</v>
      </c>
      <c r="AN27" s="12">
        <f t="shared" si="30"/>
        <v>9571.5806595444501</v>
      </c>
      <c r="AO27" s="12">
        <f t="shared" si="30"/>
        <v>9911.4435124192405</v>
      </c>
      <c r="AP27" s="30">
        <f t="shared" si="30"/>
        <v>9911.4435124192405</v>
      </c>
    </row>
    <row r="28" spans="1:42" ht="15.75" customHeight="1">
      <c r="A28" s="52" t="s">
        <v>60</v>
      </c>
      <c r="B28" s="38"/>
      <c r="C28" s="38"/>
      <c r="D28" s="38"/>
      <c r="E28" s="38"/>
      <c r="F28" s="38"/>
      <c r="G28" s="38"/>
      <c r="H28" s="38"/>
      <c r="I28" s="38"/>
      <c r="J28" s="38"/>
      <c r="K28" s="82">
        <f>'BAU Data'!K14</f>
        <v>19247.400000000001</v>
      </c>
      <c r="L28" s="38">
        <f>'BAU Data'!L14</f>
        <v>19247.400000000001</v>
      </c>
      <c r="M28" s="38">
        <f>'BAU Data'!M14</f>
        <v>19332.615252429736</v>
      </c>
      <c r="N28" s="38">
        <f>'BAU Data'!N14</f>
        <v>19332.615252429736</v>
      </c>
      <c r="O28" s="38">
        <f>'BAU Data'!O14</f>
        <v>19332.615252429736</v>
      </c>
      <c r="P28" s="38">
        <f>'BAU Data'!P14</f>
        <v>20127.062414172859</v>
      </c>
      <c r="Q28" s="38">
        <f>'BAU Data'!Q14</f>
        <v>20127.062414172859</v>
      </c>
      <c r="R28" s="38">
        <f>'BAU Data'!R14</f>
        <v>20127.062414172859</v>
      </c>
      <c r="S28" s="38">
        <f>'BAU Data'!S14</f>
        <v>19691.841762964643</v>
      </c>
      <c r="T28" s="38">
        <f>'BAU Data'!T14</f>
        <v>20888.116443772509</v>
      </c>
      <c r="U28" s="38">
        <f>'BAU Data'!U14</f>
        <v>20888.116443772509</v>
      </c>
      <c r="V28" s="38">
        <f>'BAU Data'!V14</f>
        <v>21071.668892970105</v>
      </c>
      <c r="W28" s="38">
        <f>'BAU Data'!W14</f>
        <v>21321.710419070594</v>
      </c>
      <c r="X28" s="38">
        <f>'BAU Data'!X14</f>
        <v>24338.488382897944</v>
      </c>
      <c r="Y28" s="38">
        <f>'BAU Data'!Y14</f>
        <v>24338.488382897944</v>
      </c>
      <c r="Z28" s="38">
        <f>'BAU Data'!Z14</f>
        <v>23596.21177857733</v>
      </c>
      <c r="AA28" s="38">
        <f>'BAU Data'!AA14</f>
        <v>23893.525456997115</v>
      </c>
      <c r="AB28" s="38">
        <f>'BAU Data'!AB14</f>
        <v>24190.839135416907</v>
      </c>
      <c r="AC28" s="38">
        <f>'BAU Data'!AC14</f>
        <v>24360.813876999153</v>
      </c>
      <c r="AD28" s="38">
        <f>'BAU Data'!AD14</f>
        <v>24411.119192075341</v>
      </c>
      <c r="AE28" s="38">
        <f>'BAU Data'!AE14</f>
        <v>24411.119192075341</v>
      </c>
      <c r="AF28" s="38">
        <f>'BAU Data'!AF14</f>
        <v>24583.98448914539</v>
      </c>
      <c r="AG28" s="38">
        <f>'BAU Data'!AG14</f>
        <v>24583.98448914539</v>
      </c>
      <c r="AH28" s="38">
        <f>'BAU Data'!AH14</f>
        <v>24583.98448914539</v>
      </c>
      <c r="AI28" s="38">
        <f>'BAU Data'!AI14</f>
        <v>24583.98448914539</v>
      </c>
      <c r="AJ28" s="38">
        <f>'BAU Data'!AJ14</f>
        <v>24583.98448914539</v>
      </c>
      <c r="AK28" s="38">
        <f>'BAU Data'!AK14</f>
        <v>25209.309625401154</v>
      </c>
      <c r="AL28" s="38">
        <f>'BAU Data'!AL14</f>
        <v>25209.309625401154</v>
      </c>
      <c r="AM28" s="38">
        <f>'BAU Data'!AM14</f>
        <v>25209.309625401154</v>
      </c>
      <c r="AN28" s="38">
        <f>'BAU Data'!AN14</f>
        <v>25209.309625401154</v>
      </c>
      <c r="AO28" s="38">
        <f>'BAU Data'!AO14</f>
        <v>26198.46029547846</v>
      </c>
      <c r="AP28" s="39">
        <f>'BAU Data'!AP14</f>
        <v>26198.46029547846</v>
      </c>
    </row>
    <row r="29" spans="1:42" ht="15.75" customHeight="1">
      <c r="A29" s="66"/>
      <c r="B29" s="12"/>
      <c r="C29" s="12"/>
      <c r="D29" s="12"/>
      <c r="E29" s="12"/>
      <c r="F29" s="12"/>
      <c r="G29" s="12"/>
      <c r="H29" s="12"/>
      <c r="I29" s="12"/>
      <c r="J29" s="12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42" ht="15.75" customHeight="1">
      <c r="A30" s="3" t="s">
        <v>66</v>
      </c>
      <c r="B30" s="3"/>
      <c r="C30" s="3"/>
      <c r="D30" s="3"/>
      <c r="E30" s="3"/>
      <c r="F30" s="3"/>
      <c r="G30" s="3"/>
      <c r="H30" s="3"/>
      <c r="I30" s="3"/>
      <c r="J30" s="3"/>
      <c r="K30" s="6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ht="15.75" customHeight="1">
      <c r="A31" s="57" t="s">
        <v>4</v>
      </c>
      <c r="B31" s="23">
        <f>'BAU Data'!B6</f>
        <v>8261.9</v>
      </c>
      <c r="C31" s="23">
        <f>'BAU Data'!C6</f>
        <v>8092.7</v>
      </c>
      <c r="D31" s="23">
        <f>'BAU Data'!D6</f>
        <v>7895.3</v>
      </c>
      <c r="E31" s="23">
        <f>'BAU Data'!E6</f>
        <v>9424.6</v>
      </c>
      <c r="F31" s="23">
        <f>'BAU Data'!F6</f>
        <v>9347.7000000000007</v>
      </c>
      <c r="G31" s="23">
        <f>'BAU Data'!G6</f>
        <v>8348.5</v>
      </c>
      <c r="H31" s="23">
        <f>'BAU Data'!H6</f>
        <v>6962.6</v>
      </c>
      <c r="I31" s="83">
        <f>'BAU Data'!I6</f>
        <v>6845.1</v>
      </c>
      <c r="J31" s="83">
        <f>'BAU Data'!J6</f>
        <v>7690.1</v>
      </c>
      <c r="K31" s="26">
        <f>'BAU Data'!K6</f>
        <v>7502</v>
      </c>
      <c r="L31" s="25">
        <f t="shared" ref="L31:AP31" si="31">(L75*$B$87*$B$89)-L43</f>
        <v>6779</v>
      </c>
      <c r="M31" s="25">
        <f t="shared" si="31"/>
        <v>6753.2090321784372</v>
      </c>
      <c r="N31" s="25">
        <f t="shared" si="31"/>
        <v>6753.2090321784372</v>
      </c>
      <c r="O31" s="25">
        <f t="shared" si="31"/>
        <v>6753.2090321784372</v>
      </c>
      <c r="P31" s="25">
        <f t="shared" si="31"/>
        <v>6986.3834173571149</v>
      </c>
      <c r="Q31" s="25">
        <f t="shared" si="31"/>
        <v>6986.3834173571149</v>
      </c>
      <c r="R31" s="25">
        <f t="shared" si="31"/>
        <v>6986.3834173571149</v>
      </c>
      <c r="S31" s="25">
        <f t="shared" si="31"/>
        <v>6761.242427068797</v>
      </c>
      <c r="T31" s="25">
        <f t="shared" si="31"/>
        <v>6983.5873841081448</v>
      </c>
      <c r="U31" s="25">
        <f t="shared" si="31"/>
        <v>6983.5873841081448</v>
      </c>
      <c r="V31" s="25">
        <f t="shared" si="31"/>
        <v>6978.1918815827094</v>
      </c>
      <c r="W31" s="25">
        <f t="shared" si="31"/>
        <v>6971.777989253932</v>
      </c>
      <c r="X31" s="25">
        <f t="shared" si="31"/>
        <v>7076.2362056350303</v>
      </c>
      <c r="Y31" s="25">
        <f t="shared" si="31"/>
        <v>7076.2362056350303</v>
      </c>
      <c r="Z31" s="25">
        <f t="shared" si="31"/>
        <v>6607.1563478025673</v>
      </c>
      <c r="AA31" s="25">
        <f t="shared" si="31"/>
        <v>6694.4194629714029</v>
      </c>
      <c r="AB31" s="25">
        <f t="shared" si="31"/>
        <v>6781.6825781402395</v>
      </c>
      <c r="AC31" s="25">
        <f t="shared" si="31"/>
        <v>6831.5710512482356</v>
      </c>
      <c r="AD31" s="25">
        <f t="shared" si="31"/>
        <v>6831.5710512482356</v>
      </c>
      <c r="AE31" s="25">
        <f t="shared" si="31"/>
        <v>6831.5710512482356</v>
      </c>
      <c r="AF31" s="25">
        <f t="shared" si="31"/>
        <v>6833.4886495632145</v>
      </c>
      <c r="AG31" s="25">
        <f t="shared" si="31"/>
        <v>6833.4886495632145</v>
      </c>
      <c r="AH31" s="25">
        <f t="shared" si="31"/>
        <v>6833.4886495632145</v>
      </c>
      <c r="AI31" s="25">
        <f t="shared" si="31"/>
        <v>6833.4886495632145</v>
      </c>
      <c r="AJ31" s="25">
        <f t="shared" si="31"/>
        <v>6833.4886495632145</v>
      </c>
      <c r="AK31" s="25">
        <f t="shared" si="31"/>
        <v>7017.0248382548398</v>
      </c>
      <c r="AL31" s="25">
        <f t="shared" si="31"/>
        <v>7017.0248382548398</v>
      </c>
      <c r="AM31" s="25">
        <f t="shared" si="31"/>
        <v>7017.0248382548398</v>
      </c>
      <c r="AN31" s="25">
        <f t="shared" si="31"/>
        <v>7017.0248382548398</v>
      </c>
      <c r="AO31" s="25">
        <f t="shared" si="31"/>
        <v>7307.3457185488642</v>
      </c>
      <c r="AP31" s="27">
        <f t="shared" si="31"/>
        <v>7307.3457185488642</v>
      </c>
    </row>
    <row r="32" spans="1:42">
      <c r="A32" s="80" t="s">
        <v>5</v>
      </c>
      <c r="B32" s="77">
        <f>'BAU Data'!B7</f>
        <v>127.5</v>
      </c>
      <c r="C32" s="77">
        <f>'BAU Data'!C7</f>
        <v>178.6</v>
      </c>
      <c r="D32" s="77">
        <f>'BAU Data'!D7</f>
        <v>236.7</v>
      </c>
      <c r="E32" s="77">
        <f>'BAU Data'!E7</f>
        <v>256.8</v>
      </c>
      <c r="F32" s="77">
        <f>'BAU Data'!F7</f>
        <v>256</v>
      </c>
      <c r="G32" s="77">
        <f>'BAU Data'!G7</f>
        <v>274.2</v>
      </c>
      <c r="H32" s="77">
        <f>'BAU Data'!H7</f>
        <v>253.9</v>
      </c>
      <c r="I32" s="77">
        <f>'BAU Data'!I7</f>
        <v>122.3</v>
      </c>
      <c r="J32" s="77">
        <f>'BAU Data'!J7</f>
        <v>130.30000000000001</v>
      </c>
      <c r="K32" s="79">
        <f>'BAU Data'!K7</f>
        <v>126.6</v>
      </c>
      <c r="L32" s="77">
        <f t="shared" ref="L32:M32" si="32">L65*$B$92</f>
        <v>126.59999999999998</v>
      </c>
      <c r="M32" s="77">
        <f t="shared" si="32"/>
        <v>127.21726107705717</v>
      </c>
      <c r="N32" s="77">
        <f t="shared" ref="N32:AP32" si="33">N65*$B$92*(0.98)</f>
        <v>124.67291585551602</v>
      </c>
      <c r="O32" s="77">
        <f t="shared" si="33"/>
        <v>124.67291585551602</v>
      </c>
      <c r="P32" s="77">
        <f t="shared" si="33"/>
        <v>130.30871524274056</v>
      </c>
      <c r="Q32" s="77">
        <f t="shared" si="33"/>
        <v>130.30871524274056</v>
      </c>
      <c r="R32" s="77">
        <f t="shared" si="33"/>
        <v>130.30871524274056</v>
      </c>
      <c r="S32" s="77">
        <f t="shared" si="33"/>
        <v>127.22203127066068</v>
      </c>
      <c r="T32" s="77">
        <f t="shared" si="33"/>
        <v>135.70940400078788</v>
      </c>
      <c r="U32" s="77">
        <f t="shared" si="33"/>
        <v>135.70940400078788</v>
      </c>
      <c r="V32" s="77">
        <f t="shared" si="33"/>
        <v>137.01198947633247</v>
      </c>
      <c r="W32" s="77">
        <f t="shared" si="33"/>
        <v>138.78640931917954</v>
      </c>
      <c r="X32" s="77">
        <f t="shared" si="33"/>
        <v>144.74386263064383</v>
      </c>
      <c r="Y32" s="77">
        <f t="shared" si="33"/>
        <v>144.74386263064383</v>
      </c>
      <c r="Z32" s="77">
        <f t="shared" si="33"/>
        <v>139.47980420049572</v>
      </c>
      <c r="AA32" s="77">
        <f t="shared" si="33"/>
        <v>141.58894415006171</v>
      </c>
      <c r="AB32" s="77">
        <f t="shared" si="33"/>
        <v>143.69808409962766</v>
      </c>
      <c r="AC32" s="77">
        <f t="shared" si="33"/>
        <v>144.90388303828968</v>
      </c>
      <c r="AD32" s="77">
        <f t="shared" si="33"/>
        <v>144.90388303828968</v>
      </c>
      <c r="AE32" s="77">
        <f t="shared" si="33"/>
        <v>144.90388303828968</v>
      </c>
      <c r="AF32" s="77">
        <f t="shared" si="33"/>
        <v>146.1305717378288</v>
      </c>
      <c r="AG32" s="77">
        <f t="shared" si="33"/>
        <v>146.1305717378288</v>
      </c>
      <c r="AH32" s="77">
        <f t="shared" si="33"/>
        <v>146.1305717378288</v>
      </c>
      <c r="AI32" s="77">
        <f t="shared" si="33"/>
        <v>146.1305717378288</v>
      </c>
      <c r="AJ32" s="77">
        <f t="shared" si="33"/>
        <v>146.1305717378288</v>
      </c>
      <c r="AK32" s="77">
        <f t="shared" si="33"/>
        <v>150.56662134494653</v>
      </c>
      <c r="AL32" s="77">
        <f t="shared" si="33"/>
        <v>150.56662134494653</v>
      </c>
      <c r="AM32" s="77">
        <f t="shared" si="33"/>
        <v>150.56662134494653</v>
      </c>
      <c r="AN32" s="77">
        <f t="shared" si="33"/>
        <v>150.56662134494653</v>
      </c>
      <c r="AO32" s="77">
        <f t="shared" si="33"/>
        <v>157.58364526893274</v>
      </c>
      <c r="AP32" s="81">
        <f t="shared" si="33"/>
        <v>157.58364526893274</v>
      </c>
    </row>
    <row r="33" spans="1:42">
      <c r="A33" s="80" t="s">
        <v>6</v>
      </c>
      <c r="B33" s="77">
        <f>'BAU Data'!B8</f>
        <v>160</v>
      </c>
      <c r="C33" s="77">
        <f>'BAU Data'!C8</f>
        <v>160</v>
      </c>
      <c r="D33" s="77">
        <f>'BAU Data'!D8</f>
        <v>160</v>
      </c>
      <c r="E33" s="77">
        <f>'BAU Data'!E8</f>
        <v>160</v>
      </c>
      <c r="F33" s="77">
        <f>'BAU Data'!F8</f>
        <v>160</v>
      </c>
      <c r="G33" s="77">
        <f>'BAU Data'!G8</f>
        <v>160</v>
      </c>
      <c r="H33" s="77">
        <f>'BAU Data'!H8</f>
        <v>160</v>
      </c>
      <c r="I33" s="77">
        <f>'BAU Data'!I8</f>
        <v>160</v>
      </c>
      <c r="J33" s="77">
        <f>'BAU Data'!J8</f>
        <v>160</v>
      </c>
      <c r="K33" s="79">
        <f>'BAU Data'!K8</f>
        <v>160</v>
      </c>
      <c r="L33" s="77">
        <f t="shared" ref="L33:AP33" si="34">L65*$B$93</f>
        <v>160</v>
      </c>
      <c r="M33" s="77">
        <f t="shared" si="34"/>
        <v>160.78010878617025</v>
      </c>
      <c r="N33" s="77">
        <f t="shared" si="34"/>
        <v>160.78010878617025</v>
      </c>
      <c r="O33" s="77">
        <f t="shared" si="34"/>
        <v>160.78010878617025</v>
      </c>
      <c r="P33" s="77">
        <f t="shared" si="34"/>
        <v>168.04812231065623</v>
      </c>
      <c r="Q33" s="77">
        <f t="shared" si="34"/>
        <v>168.04812231065623</v>
      </c>
      <c r="R33" s="77">
        <f t="shared" si="34"/>
        <v>168.04812231065623</v>
      </c>
      <c r="S33" s="77">
        <f t="shared" si="34"/>
        <v>164.06748721109159</v>
      </c>
      <c r="T33" s="77">
        <f t="shared" si="34"/>
        <v>175.01293355358405</v>
      </c>
      <c r="U33" s="77">
        <f t="shared" si="34"/>
        <v>175.01293355358405</v>
      </c>
      <c r="V33" s="77">
        <f t="shared" si="34"/>
        <v>176.69276780647061</v>
      </c>
      <c r="W33" s="77">
        <f t="shared" si="34"/>
        <v>178.98108691256996</v>
      </c>
      <c r="X33" s="77">
        <f t="shared" si="34"/>
        <v>186.66391028228887</v>
      </c>
      <c r="Y33" s="77">
        <f t="shared" si="34"/>
        <v>186.66391028228887</v>
      </c>
      <c r="Z33" s="77">
        <f t="shared" si="34"/>
        <v>179.8752996105307</v>
      </c>
      <c r="AA33" s="77">
        <f t="shared" si="34"/>
        <v>182.59527891164424</v>
      </c>
      <c r="AB33" s="77">
        <f t="shared" si="34"/>
        <v>185.31525821275778</v>
      </c>
      <c r="AC33" s="77">
        <f t="shared" si="34"/>
        <v>186.87027505985711</v>
      </c>
      <c r="AD33" s="77">
        <f t="shared" si="34"/>
        <v>186.87027505985711</v>
      </c>
      <c r="AE33" s="77">
        <f t="shared" si="34"/>
        <v>186.87027505985711</v>
      </c>
      <c r="AF33" s="77">
        <f t="shared" si="34"/>
        <v>188.4522316637055</v>
      </c>
      <c r="AG33" s="77">
        <f t="shared" si="34"/>
        <v>188.4522316637055</v>
      </c>
      <c r="AH33" s="77">
        <f t="shared" si="34"/>
        <v>188.4522316637055</v>
      </c>
      <c r="AI33" s="77">
        <f t="shared" si="34"/>
        <v>188.4522316637055</v>
      </c>
      <c r="AJ33" s="77">
        <f t="shared" si="34"/>
        <v>188.4522316637055</v>
      </c>
      <c r="AK33" s="77">
        <f t="shared" si="34"/>
        <v>194.17302942895387</v>
      </c>
      <c r="AL33" s="77">
        <f t="shared" si="34"/>
        <v>194.17302942895387</v>
      </c>
      <c r="AM33" s="77">
        <f t="shared" si="34"/>
        <v>194.17302942895387</v>
      </c>
      <c r="AN33" s="77">
        <f t="shared" si="34"/>
        <v>194.17302942895387</v>
      </c>
      <c r="AO33" s="77">
        <f t="shared" si="34"/>
        <v>203.22229134852856</v>
      </c>
      <c r="AP33" s="81">
        <f t="shared" si="34"/>
        <v>203.22229134852856</v>
      </c>
    </row>
    <row r="34" spans="1:42">
      <c r="A34" s="75" t="s">
        <v>67</v>
      </c>
      <c r="B34" s="18">
        <f>'BAU Data'!B9</f>
        <v>295</v>
      </c>
      <c r="C34" s="18">
        <f>'BAU Data'!C9</f>
        <v>346.1</v>
      </c>
      <c r="D34" s="18">
        <f>'BAU Data'!D9</f>
        <v>404.2</v>
      </c>
      <c r="E34" s="18">
        <f>'BAU Data'!E9</f>
        <v>424.3</v>
      </c>
      <c r="F34" s="18">
        <f>'BAU Data'!F9</f>
        <v>423.5</v>
      </c>
      <c r="G34" s="18">
        <f>'BAU Data'!G9</f>
        <v>441.7</v>
      </c>
      <c r="H34" s="18">
        <f>'BAU Data'!H9</f>
        <v>421.4</v>
      </c>
      <c r="I34" s="18">
        <f>'BAU Data'!I9</f>
        <v>289.8</v>
      </c>
      <c r="J34" s="18">
        <f>'BAU Data'!J9</f>
        <v>297.8</v>
      </c>
      <c r="K34" s="19">
        <f>'BAU Data'!K9</f>
        <v>294.10000000000002</v>
      </c>
      <c r="L34" s="18">
        <v>7.5</v>
      </c>
      <c r="M34" s="18">
        <v>7.5</v>
      </c>
      <c r="N34" s="18">
        <v>7.5</v>
      </c>
      <c r="O34" s="18">
        <v>7.5</v>
      </c>
      <c r="P34" s="18">
        <v>7.5</v>
      </c>
      <c r="Q34" s="18">
        <v>7.5</v>
      </c>
      <c r="R34" s="18">
        <v>7.5</v>
      </c>
      <c r="S34" s="18">
        <v>7.5</v>
      </c>
      <c r="T34" s="18">
        <v>7.5</v>
      </c>
      <c r="U34" s="18">
        <v>7.5</v>
      </c>
      <c r="V34" s="18">
        <v>7.5</v>
      </c>
      <c r="W34" s="18">
        <v>7.5</v>
      </c>
      <c r="X34" s="18">
        <v>7.5</v>
      </c>
      <c r="Y34" s="18">
        <v>7.5</v>
      </c>
      <c r="Z34" s="18">
        <v>7.5</v>
      </c>
      <c r="AA34" s="18">
        <v>7.5</v>
      </c>
      <c r="AB34" s="18">
        <v>7.5</v>
      </c>
      <c r="AC34" s="18">
        <v>7.5</v>
      </c>
      <c r="AD34" s="18">
        <v>7.5</v>
      </c>
      <c r="AE34" s="18">
        <v>7.5</v>
      </c>
      <c r="AF34" s="18">
        <v>7.5</v>
      </c>
      <c r="AG34" s="18">
        <v>7.5</v>
      </c>
      <c r="AH34" s="18">
        <v>7.5</v>
      </c>
      <c r="AI34" s="18">
        <v>7.5</v>
      </c>
      <c r="AJ34" s="18">
        <v>7.5</v>
      </c>
      <c r="AK34" s="18">
        <v>7.5</v>
      </c>
      <c r="AL34" s="18">
        <v>7.5</v>
      </c>
      <c r="AM34" s="18">
        <v>7.5</v>
      </c>
      <c r="AN34" s="18">
        <v>7.5</v>
      </c>
      <c r="AO34" s="18">
        <v>7.5</v>
      </c>
      <c r="AP34" s="78">
        <v>7.5</v>
      </c>
    </row>
    <row r="35" spans="1:42">
      <c r="A35" s="47" t="s">
        <v>8</v>
      </c>
      <c r="B35" s="12">
        <f>'BAU Data'!B10-B38</f>
        <v>8969.9</v>
      </c>
      <c r="C35" s="12">
        <f>'BAU Data'!C10-C38</f>
        <v>8673.7000000000007</v>
      </c>
      <c r="D35" s="12">
        <f>'BAU Data'!D10-D38</f>
        <v>8968.9</v>
      </c>
      <c r="E35" s="12">
        <f>'BAU Data'!E10-E38</f>
        <v>8916.7999999999993</v>
      </c>
      <c r="F35" s="12">
        <f>'BAU Data'!F10-F38</f>
        <v>8625.7999999999993</v>
      </c>
      <c r="G35" s="12">
        <f>'BAU Data'!G10-G38</f>
        <v>8817.2999999999993</v>
      </c>
      <c r="H35" s="12">
        <f>'BAU Data'!H10-H38</f>
        <v>8840.1</v>
      </c>
      <c r="I35" s="12">
        <f>'BAU Data'!I10-I38</f>
        <v>8040.8</v>
      </c>
      <c r="J35" s="12">
        <f>'BAU Data'!J10-J38</f>
        <v>8501.4</v>
      </c>
      <c r="K35" s="11">
        <f>'BAU Data'!K10-K38</f>
        <v>8569</v>
      </c>
      <c r="L35" s="12">
        <f t="shared" ref="L35:AP35" si="35">(L75*$B$88*$B$90)-L46</f>
        <v>83</v>
      </c>
      <c r="M35" s="12">
        <f t="shared" si="35"/>
        <v>82.540815347510943</v>
      </c>
      <c r="N35" s="12">
        <f t="shared" si="35"/>
        <v>82.540815347510943</v>
      </c>
      <c r="O35" s="12">
        <f t="shared" si="35"/>
        <v>82.540815347510943</v>
      </c>
      <c r="P35" s="12">
        <f t="shared" si="35"/>
        <v>82.879299297936086</v>
      </c>
      <c r="Q35" s="12">
        <f t="shared" si="35"/>
        <v>82.879299297936086</v>
      </c>
      <c r="R35" s="12">
        <f t="shared" si="35"/>
        <v>82.879299297936086</v>
      </c>
      <c r="S35" s="12">
        <f t="shared" si="35"/>
        <v>82.716789863039594</v>
      </c>
      <c r="T35" s="12">
        <f t="shared" si="35"/>
        <v>82.685589765753321</v>
      </c>
      <c r="U35" s="12">
        <f t="shared" si="35"/>
        <v>82.685589765753321</v>
      </c>
      <c r="V35" s="12">
        <f t="shared" si="35"/>
        <v>82.522691719839713</v>
      </c>
      <c r="W35" s="12">
        <f t="shared" si="35"/>
        <v>83.196559573039849</v>
      </c>
      <c r="X35" s="12">
        <f t="shared" si="35"/>
        <v>82.511736348516934</v>
      </c>
      <c r="Y35" s="12">
        <f t="shared" si="35"/>
        <v>82.511736348516934</v>
      </c>
      <c r="Z35" s="12">
        <f t="shared" si="35"/>
        <v>82.715241844867705</v>
      </c>
      <c r="AA35" s="12">
        <f t="shared" si="35"/>
        <v>83.389679845635328</v>
      </c>
      <c r="AB35" s="12">
        <f t="shared" si="35"/>
        <v>83.064117846402951</v>
      </c>
      <c r="AC35" s="12">
        <f t="shared" si="35"/>
        <v>83.048165575330131</v>
      </c>
      <c r="AD35" s="12">
        <f t="shared" si="35"/>
        <v>83.048165575330131</v>
      </c>
      <c r="AE35" s="12">
        <f t="shared" si="35"/>
        <v>83.048165575330131</v>
      </c>
      <c r="AF35" s="12">
        <f t="shared" si="35"/>
        <v>83.238501480564082</v>
      </c>
      <c r="AG35" s="12">
        <f t="shared" si="35"/>
        <v>83.238501480564082</v>
      </c>
      <c r="AH35" s="12">
        <f t="shared" si="35"/>
        <v>83.238501480564082</v>
      </c>
      <c r="AI35" s="12">
        <f t="shared" si="35"/>
        <v>83.238501480564082</v>
      </c>
      <c r="AJ35" s="12">
        <f t="shared" si="35"/>
        <v>83.238501480564082</v>
      </c>
      <c r="AK35" s="12">
        <f t="shared" si="35"/>
        <v>82.878810851203525</v>
      </c>
      <c r="AL35" s="12">
        <f t="shared" si="35"/>
        <v>82.878810851203525</v>
      </c>
      <c r="AM35" s="12">
        <f t="shared" si="35"/>
        <v>82.878810851203525</v>
      </c>
      <c r="AN35" s="12">
        <f t="shared" si="35"/>
        <v>82.878810851203525</v>
      </c>
      <c r="AO35" s="12">
        <f t="shared" si="35"/>
        <v>83.491663855666047</v>
      </c>
      <c r="AP35" s="30">
        <f t="shared" si="35"/>
        <v>83.491663855666047</v>
      </c>
    </row>
    <row r="36" spans="1:42">
      <c r="A36" s="71" t="s">
        <v>9</v>
      </c>
      <c r="B36" s="72">
        <f>'BAU Data'!B11</f>
        <v>1000</v>
      </c>
      <c r="C36" s="72">
        <f>'BAU Data'!C11</f>
        <v>1000</v>
      </c>
      <c r="D36" s="72">
        <f>'BAU Data'!D11</f>
        <v>1000</v>
      </c>
      <c r="E36" s="72">
        <f>'BAU Data'!E11</f>
        <v>1000</v>
      </c>
      <c r="F36" s="72">
        <f>'BAU Data'!F11</f>
        <v>1000</v>
      </c>
      <c r="G36" s="72">
        <f>'BAU Data'!G11</f>
        <v>1000</v>
      </c>
      <c r="H36" s="72">
        <f>'BAU Data'!H11</f>
        <v>1000</v>
      </c>
      <c r="I36" s="72">
        <f>'BAU Data'!I11</f>
        <v>1000</v>
      </c>
      <c r="J36" s="72">
        <f>'BAU Data'!J11</f>
        <v>1000</v>
      </c>
      <c r="K36" s="73">
        <f>'BAU Data'!K11</f>
        <v>1022.5</v>
      </c>
      <c r="L36" s="72">
        <v>1022.5</v>
      </c>
      <c r="M36" s="72">
        <f t="shared" ref="M36:AP36" si="36">L36</f>
        <v>1022.5</v>
      </c>
      <c r="N36" s="72">
        <f t="shared" si="36"/>
        <v>1022.5</v>
      </c>
      <c r="O36" s="72">
        <f t="shared" si="36"/>
        <v>1022.5</v>
      </c>
      <c r="P36" s="72">
        <f t="shared" si="36"/>
        <v>1022.5</v>
      </c>
      <c r="Q36" s="72">
        <f t="shared" si="36"/>
        <v>1022.5</v>
      </c>
      <c r="R36" s="72">
        <f t="shared" si="36"/>
        <v>1022.5</v>
      </c>
      <c r="S36" s="72">
        <f t="shared" si="36"/>
        <v>1022.5</v>
      </c>
      <c r="T36" s="72">
        <f t="shared" si="36"/>
        <v>1022.5</v>
      </c>
      <c r="U36" s="72">
        <f t="shared" si="36"/>
        <v>1022.5</v>
      </c>
      <c r="V36" s="72">
        <f t="shared" si="36"/>
        <v>1022.5</v>
      </c>
      <c r="W36" s="72">
        <f t="shared" si="36"/>
        <v>1022.5</v>
      </c>
      <c r="X36" s="72">
        <f t="shared" si="36"/>
        <v>1022.5</v>
      </c>
      <c r="Y36" s="72">
        <f t="shared" si="36"/>
        <v>1022.5</v>
      </c>
      <c r="Z36" s="72">
        <f t="shared" si="36"/>
        <v>1022.5</v>
      </c>
      <c r="AA36" s="72">
        <f t="shared" si="36"/>
        <v>1022.5</v>
      </c>
      <c r="AB36" s="72">
        <f t="shared" si="36"/>
        <v>1022.5</v>
      </c>
      <c r="AC36" s="72">
        <f t="shared" si="36"/>
        <v>1022.5</v>
      </c>
      <c r="AD36" s="72">
        <f t="shared" si="36"/>
        <v>1022.5</v>
      </c>
      <c r="AE36" s="72">
        <f t="shared" si="36"/>
        <v>1022.5</v>
      </c>
      <c r="AF36" s="72">
        <f t="shared" si="36"/>
        <v>1022.5</v>
      </c>
      <c r="AG36" s="72">
        <f t="shared" si="36"/>
        <v>1022.5</v>
      </c>
      <c r="AH36" s="72">
        <f t="shared" si="36"/>
        <v>1022.5</v>
      </c>
      <c r="AI36" s="72">
        <f t="shared" si="36"/>
        <v>1022.5</v>
      </c>
      <c r="AJ36" s="72">
        <f t="shared" si="36"/>
        <v>1022.5</v>
      </c>
      <c r="AK36" s="72">
        <f t="shared" si="36"/>
        <v>1022.5</v>
      </c>
      <c r="AL36" s="72">
        <f t="shared" si="36"/>
        <v>1022.5</v>
      </c>
      <c r="AM36" s="72">
        <f t="shared" si="36"/>
        <v>1022.5</v>
      </c>
      <c r="AN36" s="72">
        <f t="shared" si="36"/>
        <v>1022.5</v>
      </c>
      <c r="AO36" s="72">
        <f t="shared" si="36"/>
        <v>1022.5</v>
      </c>
      <c r="AP36" s="74">
        <f t="shared" si="36"/>
        <v>1022.5</v>
      </c>
    </row>
    <row r="37" spans="1:42">
      <c r="A37" s="80" t="s">
        <v>68</v>
      </c>
      <c r="B37" s="77">
        <f>'BAU Data'!B12</f>
        <v>727.9</v>
      </c>
      <c r="C37" s="77">
        <f>'BAU Data'!C12</f>
        <v>720.2</v>
      </c>
      <c r="D37" s="77">
        <f>'BAU Data'!D12</f>
        <v>725.5</v>
      </c>
      <c r="E37" s="77">
        <f>'BAU Data'!E12</f>
        <v>715.6</v>
      </c>
      <c r="F37" s="77">
        <f>'BAU Data'!F12</f>
        <v>723</v>
      </c>
      <c r="G37" s="77">
        <f>'BAU Data'!G12</f>
        <v>713.2</v>
      </c>
      <c r="H37" s="77">
        <f>'BAU Data'!H12</f>
        <v>729.6</v>
      </c>
      <c r="I37" s="77">
        <f>'BAU Data'!I12</f>
        <v>754</v>
      </c>
      <c r="J37" s="77">
        <f>'BAU Data'!J12</f>
        <v>725.6</v>
      </c>
      <c r="K37" s="79">
        <f>'BAU Data'!K12</f>
        <v>725.6</v>
      </c>
      <c r="L37" s="77">
        <v>725.6</v>
      </c>
      <c r="M37" s="77">
        <v>725.6</v>
      </c>
      <c r="N37" s="77">
        <v>725.6</v>
      </c>
      <c r="O37" s="77">
        <v>725.6</v>
      </c>
      <c r="P37" s="77">
        <v>725.6</v>
      </c>
      <c r="Q37" s="77">
        <v>725.6</v>
      </c>
      <c r="R37" s="77">
        <v>725.6</v>
      </c>
      <c r="S37" s="77">
        <v>725.6</v>
      </c>
      <c r="T37" s="77">
        <v>725.6</v>
      </c>
      <c r="U37" s="77">
        <v>725.6</v>
      </c>
      <c r="V37" s="77">
        <v>725.6</v>
      </c>
      <c r="W37" s="77">
        <v>725.6</v>
      </c>
      <c r="X37" s="77">
        <v>725.6</v>
      </c>
      <c r="Y37" s="77">
        <v>725.6</v>
      </c>
      <c r="Z37" s="77">
        <v>725.6</v>
      </c>
      <c r="AA37" s="77">
        <v>725.6</v>
      </c>
      <c r="AB37" s="77">
        <v>725.6</v>
      </c>
      <c r="AC37" s="77">
        <v>725.6</v>
      </c>
      <c r="AD37" s="77">
        <v>725.6</v>
      </c>
      <c r="AE37" s="77">
        <v>725.6</v>
      </c>
      <c r="AF37" s="77">
        <v>725.6</v>
      </c>
      <c r="AG37" s="77">
        <v>725.6</v>
      </c>
      <c r="AH37" s="77">
        <v>725.6</v>
      </c>
      <c r="AI37" s="77">
        <v>725.6</v>
      </c>
      <c r="AJ37" s="77">
        <v>725.6</v>
      </c>
      <c r="AK37" s="77">
        <v>725.6</v>
      </c>
      <c r="AL37" s="77">
        <v>725.6</v>
      </c>
      <c r="AM37" s="77">
        <v>725.6</v>
      </c>
      <c r="AN37" s="77">
        <v>725.6</v>
      </c>
      <c r="AO37" s="77">
        <v>725.6</v>
      </c>
      <c r="AP37" s="81">
        <v>725.6</v>
      </c>
    </row>
    <row r="38" spans="1:42">
      <c r="A38" s="47" t="s">
        <v>56</v>
      </c>
      <c r="B38" s="2">
        <v>887.1</v>
      </c>
      <c r="C38" s="2">
        <v>857.8</v>
      </c>
      <c r="D38" s="2">
        <v>887</v>
      </c>
      <c r="E38" s="2">
        <v>881.9</v>
      </c>
      <c r="F38" s="2">
        <v>853.1</v>
      </c>
      <c r="G38" s="2">
        <v>872</v>
      </c>
      <c r="H38" s="2">
        <v>874.3</v>
      </c>
      <c r="I38" s="2">
        <v>795.2</v>
      </c>
      <c r="J38" s="2">
        <v>840.8</v>
      </c>
      <c r="K38" s="20">
        <v>847.6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32"/>
    </row>
    <row r="39" spans="1:42" ht="15.75" customHeight="1">
      <c r="A39" s="84" t="s">
        <v>11</v>
      </c>
      <c r="B39" s="85">
        <f t="shared" ref="B39:AP39" si="37">SUM(B31:B37)</f>
        <v>19542.2</v>
      </c>
      <c r="C39" s="85">
        <f t="shared" si="37"/>
        <v>19171.3</v>
      </c>
      <c r="D39" s="85">
        <f t="shared" si="37"/>
        <v>19390.599999999999</v>
      </c>
      <c r="E39" s="85">
        <f t="shared" si="37"/>
        <v>20898.099999999999</v>
      </c>
      <c r="F39" s="85">
        <f t="shared" si="37"/>
        <v>20536</v>
      </c>
      <c r="G39" s="85">
        <f t="shared" si="37"/>
        <v>19754.900000000001</v>
      </c>
      <c r="H39" s="85">
        <f t="shared" si="37"/>
        <v>18367.599999999999</v>
      </c>
      <c r="I39" s="85">
        <f t="shared" si="37"/>
        <v>17212</v>
      </c>
      <c r="J39" s="85">
        <f t="shared" si="37"/>
        <v>18505.199999999997</v>
      </c>
      <c r="K39" s="86">
        <f t="shared" si="37"/>
        <v>18399.8</v>
      </c>
      <c r="L39" s="85">
        <f t="shared" si="37"/>
        <v>8904.2000000000007</v>
      </c>
      <c r="M39" s="85">
        <f t="shared" si="37"/>
        <v>8879.3472173891751</v>
      </c>
      <c r="N39" s="85">
        <f t="shared" si="37"/>
        <v>8876.8028721676346</v>
      </c>
      <c r="O39" s="85">
        <f t="shared" si="37"/>
        <v>8876.8028721676346</v>
      </c>
      <c r="P39" s="85">
        <f t="shared" si="37"/>
        <v>9123.2195542084482</v>
      </c>
      <c r="Q39" s="85">
        <f t="shared" si="37"/>
        <v>9123.2195542084482</v>
      </c>
      <c r="R39" s="85">
        <f t="shared" si="37"/>
        <v>9123.2195542084482</v>
      </c>
      <c r="S39" s="85">
        <f t="shared" si="37"/>
        <v>8890.8487354135887</v>
      </c>
      <c r="T39" s="85">
        <f t="shared" si="37"/>
        <v>9132.5953114282693</v>
      </c>
      <c r="U39" s="85">
        <f t="shared" si="37"/>
        <v>9132.5953114282693</v>
      </c>
      <c r="V39" s="85">
        <f t="shared" si="37"/>
        <v>9130.0193305853518</v>
      </c>
      <c r="W39" s="85">
        <f t="shared" si="37"/>
        <v>9128.3420450587219</v>
      </c>
      <c r="X39" s="85">
        <f t="shared" si="37"/>
        <v>9245.7557148964806</v>
      </c>
      <c r="Y39" s="85">
        <f t="shared" si="37"/>
        <v>9245.7557148964806</v>
      </c>
      <c r="Z39" s="85">
        <f t="shared" si="37"/>
        <v>8764.8266934584608</v>
      </c>
      <c r="AA39" s="85">
        <f t="shared" si="37"/>
        <v>8857.5933658787435</v>
      </c>
      <c r="AB39" s="85">
        <f t="shared" si="37"/>
        <v>8949.360038299028</v>
      </c>
      <c r="AC39" s="85">
        <f t="shared" si="37"/>
        <v>9001.9933749217125</v>
      </c>
      <c r="AD39" s="85">
        <f t="shared" si="37"/>
        <v>9001.9933749217125</v>
      </c>
      <c r="AE39" s="85">
        <f t="shared" si="37"/>
        <v>9001.9933749217125</v>
      </c>
      <c r="AF39" s="85">
        <f t="shared" si="37"/>
        <v>9006.9099544453147</v>
      </c>
      <c r="AG39" s="85">
        <f t="shared" si="37"/>
        <v>9006.9099544453147</v>
      </c>
      <c r="AH39" s="85">
        <f t="shared" si="37"/>
        <v>9006.9099544453147</v>
      </c>
      <c r="AI39" s="85">
        <f t="shared" si="37"/>
        <v>9006.9099544453147</v>
      </c>
      <c r="AJ39" s="85">
        <f t="shared" si="37"/>
        <v>9006.9099544453147</v>
      </c>
      <c r="AK39" s="85">
        <f t="shared" si="37"/>
        <v>9200.2432998799432</v>
      </c>
      <c r="AL39" s="85">
        <f t="shared" si="37"/>
        <v>9200.2432998799432</v>
      </c>
      <c r="AM39" s="85">
        <f t="shared" si="37"/>
        <v>9200.2432998799432</v>
      </c>
      <c r="AN39" s="85">
        <f t="shared" si="37"/>
        <v>9200.2432998799432</v>
      </c>
      <c r="AO39" s="85">
        <f t="shared" si="37"/>
        <v>9507.2433190219908</v>
      </c>
      <c r="AP39" s="87">
        <f t="shared" si="37"/>
        <v>9507.2433190219908</v>
      </c>
    </row>
    <row r="40" spans="1:42" ht="15.75" customHeight="1">
      <c r="A40" s="66"/>
      <c r="B40" s="66"/>
      <c r="C40" s="66"/>
      <c r="D40" s="66"/>
      <c r="E40" s="66"/>
      <c r="F40" s="66"/>
      <c r="G40" s="66"/>
      <c r="H40" s="66"/>
      <c r="I40" s="66"/>
      <c r="J40" s="2"/>
      <c r="K40" s="2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</row>
    <row r="41" spans="1:42" ht="15.75" customHeight="1">
      <c r="A41" s="3" t="s">
        <v>69</v>
      </c>
      <c r="B41" s="66"/>
      <c r="C41" s="66"/>
      <c r="D41" s="66"/>
      <c r="E41" s="66"/>
      <c r="F41" s="66"/>
      <c r="G41" s="66"/>
      <c r="H41" s="66"/>
      <c r="I41" s="66"/>
      <c r="J41" s="2"/>
      <c r="K41" s="2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</row>
    <row r="42" spans="1:42" ht="15.75" customHeight="1">
      <c r="A42" s="57" t="s">
        <v>70</v>
      </c>
      <c r="B42" s="23"/>
      <c r="C42" s="23"/>
      <c r="D42" s="23"/>
      <c r="E42" s="23"/>
      <c r="F42" s="23"/>
      <c r="G42" s="23"/>
      <c r="H42" s="23"/>
      <c r="I42" s="23"/>
      <c r="J42" s="23"/>
      <c r="K42" s="23">
        <f>'Mitigation Data Scenario 3 '!K29</f>
        <v>0</v>
      </c>
      <c r="L42" s="23">
        <f>'Mitigation Data Scenario 3 '!L29</f>
        <v>723</v>
      </c>
      <c r="M42" s="25">
        <f>'Mitigation Data Scenario 3 '!M29</f>
        <v>0</v>
      </c>
      <c r="N42" s="25">
        <f>'Mitigation Data Scenario 3 '!N29</f>
        <v>0</v>
      </c>
      <c r="O42" s="25">
        <f>'Mitigation Data Scenario 3 '!O29</f>
        <v>0</v>
      </c>
      <c r="P42" s="25">
        <f>'Mitigation Data Scenario 3 '!P29</f>
        <v>0</v>
      </c>
      <c r="Q42" s="25">
        <f>'Mitigation Data Scenario 3 '!Q29</f>
        <v>0</v>
      </c>
      <c r="R42" s="25">
        <f>'Mitigation Data Scenario 3 '!R29</f>
        <v>0</v>
      </c>
      <c r="S42" s="25">
        <f>'Mitigation Data Scenario 3 '!S29</f>
        <v>0</v>
      </c>
      <c r="T42" s="23">
        <v>0</v>
      </c>
      <c r="U42" s="25">
        <f>'Mitigation Data Scenario 3 '!U29</f>
        <v>0</v>
      </c>
      <c r="V42" s="23">
        <v>0</v>
      </c>
      <c r="W42" s="23">
        <v>0</v>
      </c>
      <c r="X42" s="23">
        <v>0</v>
      </c>
      <c r="Y42" s="25">
        <f>'Mitigation Data Scenario 3 '!Y29</f>
        <v>0</v>
      </c>
      <c r="Z42" s="23">
        <v>0</v>
      </c>
      <c r="AA42" s="23">
        <v>0</v>
      </c>
      <c r="AB42" s="23">
        <v>0</v>
      </c>
      <c r="AC42" s="23">
        <v>0</v>
      </c>
      <c r="AD42" s="25">
        <f>'Mitigation Data Scenario 3 '!AD29</f>
        <v>0</v>
      </c>
      <c r="AE42" s="25">
        <f>'Mitigation Data Scenario 3 '!AE29</f>
        <v>0</v>
      </c>
      <c r="AF42" s="23">
        <v>0</v>
      </c>
      <c r="AG42" s="25">
        <f>'Mitigation Data Scenario 3 '!AG29</f>
        <v>0</v>
      </c>
      <c r="AH42" s="25">
        <f>'Mitigation Data Scenario 3 '!AH29</f>
        <v>0</v>
      </c>
      <c r="AI42" s="25">
        <f>'Mitigation Data Scenario 3 '!AI29</f>
        <v>0</v>
      </c>
      <c r="AJ42" s="25">
        <f>'Mitigation Data Scenario 3 '!AJ29</f>
        <v>0</v>
      </c>
      <c r="AK42" s="23">
        <v>0</v>
      </c>
      <c r="AL42" s="25">
        <f>'Mitigation Data Scenario 3 '!AL29</f>
        <v>0</v>
      </c>
      <c r="AM42" s="25">
        <f>'Mitigation Data Scenario 3 '!AM29</f>
        <v>0</v>
      </c>
      <c r="AN42" s="25">
        <f>'Mitigation Data Scenario 3 '!AN29</f>
        <v>0</v>
      </c>
      <c r="AO42" s="23">
        <v>0</v>
      </c>
      <c r="AP42" s="27">
        <f>'Mitigation Data Scenario 3 '!AP29</f>
        <v>0</v>
      </c>
    </row>
    <row r="43" spans="1:42">
      <c r="A43" s="47" t="s">
        <v>71</v>
      </c>
      <c r="B43" s="2"/>
      <c r="C43" s="2"/>
      <c r="D43" s="2"/>
      <c r="E43" s="2"/>
      <c r="F43" s="2"/>
      <c r="G43" s="2"/>
      <c r="H43" s="2"/>
      <c r="I43" s="2"/>
      <c r="J43" s="2"/>
      <c r="K43" s="2">
        <f>'Mitigation Data Scenario 3 '!K30</f>
        <v>0</v>
      </c>
      <c r="L43" s="2">
        <f t="shared" ref="L43:AP43" si="38">K43+L42</f>
        <v>723</v>
      </c>
      <c r="M43" s="12">
        <f t="shared" si="38"/>
        <v>723</v>
      </c>
      <c r="N43" s="12">
        <f t="shared" si="38"/>
        <v>723</v>
      </c>
      <c r="O43" s="12">
        <f t="shared" si="38"/>
        <v>723</v>
      </c>
      <c r="P43" s="12">
        <f t="shared" si="38"/>
        <v>723</v>
      </c>
      <c r="Q43" s="12">
        <f t="shared" si="38"/>
        <v>723</v>
      </c>
      <c r="R43" s="12">
        <f t="shared" si="38"/>
        <v>723</v>
      </c>
      <c r="S43" s="12">
        <f t="shared" si="38"/>
        <v>723</v>
      </c>
      <c r="T43" s="12">
        <f t="shared" si="38"/>
        <v>723</v>
      </c>
      <c r="U43" s="12">
        <f t="shared" si="38"/>
        <v>723</v>
      </c>
      <c r="V43" s="12">
        <f t="shared" si="38"/>
        <v>723</v>
      </c>
      <c r="W43" s="12">
        <f t="shared" si="38"/>
        <v>723</v>
      </c>
      <c r="X43" s="12">
        <f t="shared" si="38"/>
        <v>723</v>
      </c>
      <c r="Y43" s="12">
        <f t="shared" si="38"/>
        <v>723</v>
      </c>
      <c r="Z43" s="12">
        <f t="shared" si="38"/>
        <v>723</v>
      </c>
      <c r="AA43" s="12">
        <f t="shared" si="38"/>
        <v>723</v>
      </c>
      <c r="AB43" s="12">
        <f t="shared" si="38"/>
        <v>723</v>
      </c>
      <c r="AC43" s="12">
        <f t="shared" si="38"/>
        <v>723</v>
      </c>
      <c r="AD43" s="12">
        <f t="shared" si="38"/>
        <v>723</v>
      </c>
      <c r="AE43" s="12">
        <f t="shared" si="38"/>
        <v>723</v>
      </c>
      <c r="AF43" s="12">
        <f t="shared" si="38"/>
        <v>723</v>
      </c>
      <c r="AG43" s="12">
        <f t="shared" si="38"/>
        <v>723</v>
      </c>
      <c r="AH43" s="12">
        <f t="shared" si="38"/>
        <v>723</v>
      </c>
      <c r="AI43" s="12">
        <f t="shared" si="38"/>
        <v>723</v>
      </c>
      <c r="AJ43" s="12">
        <f t="shared" si="38"/>
        <v>723</v>
      </c>
      <c r="AK43" s="12">
        <f t="shared" si="38"/>
        <v>723</v>
      </c>
      <c r="AL43" s="12">
        <f t="shared" si="38"/>
        <v>723</v>
      </c>
      <c r="AM43" s="12">
        <f t="shared" si="38"/>
        <v>723</v>
      </c>
      <c r="AN43" s="12">
        <f t="shared" si="38"/>
        <v>723</v>
      </c>
      <c r="AO43" s="12">
        <f t="shared" si="38"/>
        <v>723</v>
      </c>
      <c r="AP43" s="12">
        <f t="shared" si="38"/>
        <v>723</v>
      </c>
    </row>
    <row r="44" spans="1:42" ht="5.25" customHeight="1">
      <c r="A44" s="4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32"/>
    </row>
    <row r="45" spans="1:42">
      <c r="A45" s="47" t="s">
        <v>72</v>
      </c>
      <c r="B45" s="2"/>
      <c r="C45" s="2"/>
      <c r="D45" s="2"/>
      <c r="E45" s="2"/>
      <c r="F45" s="2"/>
      <c r="G45" s="2"/>
      <c r="H45" s="2"/>
      <c r="I45" s="2"/>
      <c r="J45" s="2"/>
      <c r="K45" s="2">
        <f>'Mitigation Data Scenario 3 '!K32</f>
        <v>0</v>
      </c>
      <c r="L45" s="12">
        <f>'Mitigation Data Scenario 3 '!L32+7431</f>
        <v>8486</v>
      </c>
      <c r="M45" s="12">
        <f>'Mitigation Data Scenario 3 '!M32-169</f>
        <v>-29</v>
      </c>
      <c r="N45" s="2">
        <v>0</v>
      </c>
      <c r="O45" s="2">
        <v>0</v>
      </c>
      <c r="P45" s="2">
        <f>349-83</f>
        <v>266</v>
      </c>
      <c r="Q45" s="2">
        <v>0</v>
      </c>
      <c r="R45" s="2">
        <v>0</v>
      </c>
      <c r="S45" s="2">
        <f>-174-83</f>
        <v>-257</v>
      </c>
      <c r="T45" s="2">
        <f>337-83</f>
        <v>254</v>
      </c>
      <c r="U45" s="2">
        <v>0</v>
      </c>
      <c r="V45" s="2">
        <v>-6</v>
      </c>
      <c r="W45" s="2">
        <v>-8</v>
      </c>
      <c r="X45" s="2">
        <v>120</v>
      </c>
      <c r="Y45" s="2">
        <v>0</v>
      </c>
      <c r="Z45" s="2">
        <v>-536</v>
      </c>
      <c r="AA45" s="2">
        <v>99</v>
      </c>
      <c r="AB45" s="2">
        <v>100</v>
      </c>
      <c r="AC45" s="2">
        <v>57</v>
      </c>
      <c r="AD45" s="2">
        <v>0</v>
      </c>
      <c r="AE45" s="2">
        <v>0</v>
      </c>
      <c r="AF45" s="2">
        <v>2</v>
      </c>
      <c r="AG45" s="2">
        <v>0</v>
      </c>
      <c r="AH45" s="2">
        <v>0</v>
      </c>
      <c r="AI45" s="2">
        <v>0</v>
      </c>
      <c r="AJ45" s="2">
        <v>0</v>
      </c>
      <c r="AK45" s="2">
        <v>210</v>
      </c>
      <c r="AL45" s="2">
        <v>0</v>
      </c>
      <c r="AM45" s="2">
        <v>0</v>
      </c>
      <c r="AN45" s="2">
        <v>0</v>
      </c>
      <c r="AO45" s="2">
        <v>331</v>
      </c>
      <c r="AP45" s="32">
        <v>0</v>
      </c>
    </row>
    <row r="46" spans="1:42" ht="15.75" customHeight="1">
      <c r="A46" s="52" t="s">
        <v>73</v>
      </c>
      <c r="B46" s="33"/>
      <c r="C46" s="33"/>
      <c r="D46" s="33"/>
      <c r="E46" s="33"/>
      <c r="F46" s="33"/>
      <c r="G46" s="33"/>
      <c r="H46" s="33"/>
      <c r="I46" s="33"/>
      <c r="J46" s="33"/>
      <c r="K46" s="33">
        <f>'Mitigation Data Scenario 3 '!K33</f>
        <v>0</v>
      </c>
      <c r="L46" s="38">
        <f>L45</f>
        <v>8486</v>
      </c>
      <c r="M46" s="38">
        <f t="shared" ref="M46:AP46" si="39">L46+M45</f>
        <v>8457</v>
      </c>
      <c r="N46" s="38">
        <f t="shared" si="39"/>
        <v>8457</v>
      </c>
      <c r="O46" s="38">
        <f t="shared" si="39"/>
        <v>8457</v>
      </c>
      <c r="P46" s="38">
        <f t="shared" si="39"/>
        <v>8723</v>
      </c>
      <c r="Q46" s="38">
        <f t="shared" si="39"/>
        <v>8723</v>
      </c>
      <c r="R46" s="38">
        <f t="shared" si="39"/>
        <v>8723</v>
      </c>
      <c r="S46" s="38">
        <f t="shared" si="39"/>
        <v>8466</v>
      </c>
      <c r="T46" s="94">
        <f t="shared" si="39"/>
        <v>8720</v>
      </c>
      <c r="U46" s="94">
        <f t="shared" si="39"/>
        <v>8720</v>
      </c>
      <c r="V46" s="94">
        <f t="shared" si="39"/>
        <v>8714</v>
      </c>
      <c r="W46" s="94">
        <f t="shared" si="39"/>
        <v>8706</v>
      </c>
      <c r="X46" s="94">
        <f t="shared" si="39"/>
        <v>8826</v>
      </c>
      <c r="Y46" s="94">
        <f t="shared" si="39"/>
        <v>8826</v>
      </c>
      <c r="Z46" s="94">
        <f t="shared" si="39"/>
        <v>8290</v>
      </c>
      <c r="AA46" s="94">
        <f t="shared" si="39"/>
        <v>8389</v>
      </c>
      <c r="AB46" s="94">
        <f t="shared" si="39"/>
        <v>8489</v>
      </c>
      <c r="AC46" s="94">
        <f t="shared" si="39"/>
        <v>8546</v>
      </c>
      <c r="AD46" s="94">
        <f t="shared" si="39"/>
        <v>8546</v>
      </c>
      <c r="AE46" s="94">
        <f t="shared" si="39"/>
        <v>8546</v>
      </c>
      <c r="AF46" s="94">
        <f t="shared" si="39"/>
        <v>8548</v>
      </c>
      <c r="AG46" s="94">
        <f t="shared" si="39"/>
        <v>8548</v>
      </c>
      <c r="AH46" s="94">
        <f t="shared" si="39"/>
        <v>8548</v>
      </c>
      <c r="AI46" s="94">
        <f t="shared" si="39"/>
        <v>8548</v>
      </c>
      <c r="AJ46" s="94">
        <f t="shared" si="39"/>
        <v>8548</v>
      </c>
      <c r="AK46" s="94">
        <f t="shared" si="39"/>
        <v>8758</v>
      </c>
      <c r="AL46" s="94">
        <f t="shared" si="39"/>
        <v>8758</v>
      </c>
      <c r="AM46" s="94">
        <f t="shared" si="39"/>
        <v>8758</v>
      </c>
      <c r="AN46" s="94">
        <f t="shared" si="39"/>
        <v>8758</v>
      </c>
      <c r="AO46" s="94">
        <f t="shared" si="39"/>
        <v>9089</v>
      </c>
      <c r="AP46" s="95">
        <f t="shared" si="39"/>
        <v>9089</v>
      </c>
    </row>
    <row r="47" spans="1:42" ht="4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</row>
    <row r="48" spans="1:42">
      <c r="A48" s="66"/>
      <c r="B48" s="66"/>
      <c r="C48" s="66"/>
      <c r="D48" s="66"/>
      <c r="E48" s="66"/>
      <c r="F48" s="66"/>
      <c r="G48" s="66"/>
      <c r="H48" s="66"/>
      <c r="I48" s="66"/>
      <c r="J48" s="2"/>
      <c r="K48" s="2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</row>
    <row r="49" spans="1:42" ht="15.75" customHeight="1">
      <c r="A49" s="3" t="s">
        <v>12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</row>
    <row r="50" spans="1:42" ht="15.75" customHeight="1">
      <c r="A50" s="57" t="s">
        <v>13</v>
      </c>
      <c r="B50" s="24">
        <v>1538247</v>
      </c>
      <c r="C50" s="25">
        <f>B50</f>
        <v>1538247</v>
      </c>
      <c r="D50" s="25">
        <f>B50</f>
        <v>1538247</v>
      </c>
      <c r="E50" s="25">
        <f t="shared" ref="E50:K50" si="40">D50</f>
        <v>1538247</v>
      </c>
      <c r="F50" s="25">
        <f t="shared" si="40"/>
        <v>1538247</v>
      </c>
      <c r="G50" s="25">
        <f t="shared" si="40"/>
        <v>1538247</v>
      </c>
      <c r="H50" s="25">
        <f t="shared" si="40"/>
        <v>1538247</v>
      </c>
      <c r="I50" s="25">
        <f t="shared" si="40"/>
        <v>1538247</v>
      </c>
      <c r="J50" s="26">
        <f t="shared" si="40"/>
        <v>1538247</v>
      </c>
      <c r="K50" s="88">
        <f t="shared" si="40"/>
        <v>1538247</v>
      </c>
      <c r="L50" s="25">
        <f t="shared" ref="L50:AP50" si="41">L65</f>
        <v>1538247</v>
      </c>
      <c r="M50" s="25">
        <f t="shared" si="41"/>
        <v>1545747</v>
      </c>
      <c r="N50" s="25">
        <f t="shared" si="41"/>
        <v>1545747</v>
      </c>
      <c r="O50" s="25">
        <f t="shared" si="41"/>
        <v>1545747</v>
      </c>
      <c r="P50" s="25">
        <f t="shared" si="41"/>
        <v>1615622</v>
      </c>
      <c r="Q50" s="25">
        <f t="shared" si="41"/>
        <v>1615622</v>
      </c>
      <c r="R50" s="25">
        <f t="shared" si="41"/>
        <v>1615622</v>
      </c>
      <c r="S50" s="25">
        <f t="shared" si="41"/>
        <v>1577352</v>
      </c>
      <c r="T50" s="25">
        <f t="shared" si="41"/>
        <v>1682582</v>
      </c>
      <c r="U50" s="25">
        <f t="shared" si="41"/>
        <v>1682582</v>
      </c>
      <c r="V50" s="25">
        <f t="shared" si="41"/>
        <v>1698732</v>
      </c>
      <c r="W50" s="25">
        <f t="shared" si="41"/>
        <v>1720732</v>
      </c>
      <c r="X50" s="25">
        <f t="shared" si="41"/>
        <v>1794595</v>
      </c>
      <c r="Y50" s="25">
        <f t="shared" si="41"/>
        <v>1794595</v>
      </c>
      <c r="Z50" s="25">
        <f t="shared" si="41"/>
        <v>1729329</v>
      </c>
      <c r="AA50" s="25">
        <f t="shared" si="41"/>
        <v>1755479</v>
      </c>
      <c r="AB50" s="25">
        <f t="shared" si="41"/>
        <v>1781629</v>
      </c>
      <c r="AC50" s="25">
        <f t="shared" si="41"/>
        <v>1796579</v>
      </c>
      <c r="AD50" s="25">
        <f t="shared" si="41"/>
        <v>1796579</v>
      </c>
      <c r="AE50" s="25">
        <f t="shared" si="41"/>
        <v>1796579</v>
      </c>
      <c r="AF50" s="25">
        <f t="shared" si="41"/>
        <v>1811788</v>
      </c>
      <c r="AG50" s="25">
        <f t="shared" si="41"/>
        <v>1811788</v>
      </c>
      <c r="AH50" s="25">
        <f t="shared" si="41"/>
        <v>1811788</v>
      </c>
      <c r="AI50" s="25">
        <f t="shared" si="41"/>
        <v>1811788</v>
      </c>
      <c r="AJ50" s="25">
        <f t="shared" si="41"/>
        <v>1811788</v>
      </c>
      <c r="AK50" s="25">
        <f t="shared" si="41"/>
        <v>1866788</v>
      </c>
      <c r="AL50" s="25">
        <f t="shared" si="41"/>
        <v>1866788</v>
      </c>
      <c r="AM50" s="25">
        <f t="shared" si="41"/>
        <v>1866788</v>
      </c>
      <c r="AN50" s="25">
        <f t="shared" si="41"/>
        <v>1866788</v>
      </c>
      <c r="AO50" s="25">
        <f t="shared" si="41"/>
        <v>1953788</v>
      </c>
      <c r="AP50" s="27">
        <f t="shared" si="41"/>
        <v>1953788</v>
      </c>
    </row>
    <row r="51" spans="1:42">
      <c r="A51" s="47" t="s">
        <v>14</v>
      </c>
      <c r="B51" s="28">
        <f t="shared" ref="B51:J51" si="42">B39/B50</f>
        <v>1.2704201600913248E-2</v>
      </c>
      <c r="C51" s="28">
        <f t="shared" si="42"/>
        <v>1.2463082976921131E-2</v>
      </c>
      <c r="D51" s="28">
        <f t="shared" si="42"/>
        <v>1.260564785759374E-2</v>
      </c>
      <c r="E51" s="28">
        <f t="shared" si="42"/>
        <v>1.3585659520220094E-2</v>
      </c>
      <c r="F51" s="28">
        <f t="shared" si="42"/>
        <v>1.3350261693993228E-2</v>
      </c>
      <c r="G51" s="28">
        <f t="shared" si="42"/>
        <v>1.2842475883261921E-2</v>
      </c>
      <c r="H51" s="28">
        <f t="shared" si="42"/>
        <v>1.1940605117383618E-2</v>
      </c>
      <c r="I51" s="28">
        <f t="shared" si="42"/>
        <v>1.1189360356301687E-2</v>
      </c>
      <c r="J51" s="29">
        <f t="shared" si="42"/>
        <v>1.2030057591531137E-2</v>
      </c>
      <c r="K51" s="89">
        <f t="shared" ref="K51:AP51" si="43">K50*$B$52</f>
        <v>19264.211111111112</v>
      </c>
      <c r="L51" s="12">
        <f t="shared" si="43"/>
        <v>19264.211111111112</v>
      </c>
      <c r="M51" s="12">
        <f t="shared" si="43"/>
        <v>19358.137238276213</v>
      </c>
      <c r="N51" s="12">
        <f t="shared" si="43"/>
        <v>19358.137238276213</v>
      </c>
      <c r="O51" s="12">
        <f t="shared" si="43"/>
        <v>19358.137238276213</v>
      </c>
      <c r="P51" s="12">
        <f t="shared" si="43"/>
        <v>20233.215656364391</v>
      </c>
      <c r="Q51" s="12">
        <f t="shared" si="43"/>
        <v>20233.215656364391</v>
      </c>
      <c r="R51" s="12">
        <f t="shared" si="43"/>
        <v>20233.215656364391</v>
      </c>
      <c r="S51" s="12">
        <f t="shared" si="43"/>
        <v>19753.941938149943</v>
      </c>
      <c r="T51" s="12">
        <f t="shared" si="43"/>
        <v>21071.788119694404</v>
      </c>
      <c r="U51" s="12">
        <f t="shared" si="43"/>
        <v>21071.788119694404</v>
      </c>
      <c r="V51" s="12">
        <f t="shared" si="43"/>
        <v>21274.04238018992</v>
      </c>
      <c r="W51" s="12">
        <f t="shared" si="43"/>
        <v>21549.55901987421</v>
      </c>
      <c r="X51" s="12">
        <f t="shared" si="43"/>
        <v>22474.581090646981</v>
      </c>
      <c r="Y51" s="12">
        <f t="shared" si="43"/>
        <v>22474.581090646981</v>
      </c>
      <c r="Z51" s="12">
        <f t="shared" si="43"/>
        <v>21657.22340857266</v>
      </c>
      <c r="AA51" s="12">
        <f t="shared" si="43"/>
        <v>21984.712505288309</v>
      </c>
      <c r="AB51" s="12">
        <f t="shared" si="43"/>
        <v>22312.201602003955</v>
      </c>
      <c r="AC51" s="12">
        <f t="shared" si="43"/>
        <v>22499.427682153055</v>
      </c>
      <c r="AD51" s="12">
        <f t="shared" si="43"/>
        <v>22499.427682153055</v>
      </c>
      <c r="AE51" s="12">
        <f t="shared" si="43"/>
        <v>22499.427682153055</v>
      </c>
      <c r="AF51" s="12">
        <f t="shared" si="43"/>
        <v>22689.897344560257</v>
      </c>
      <c r="AG51" s="12">
        <f t="shared" si="43"/>
        <v>22689.897344560257</v>
      </c>
      <c r="AH51" s="12">
        <f t="shared" si="43"/>
        <v>22689.897344560257</v>
      </c>
      <c r="AI51" s="12">
        <f t="shared" si="43"/>
        <v>22689.897344560257</v>
      </c>
      <c r="AJ51" s="12">
        <f t="shared" si="43"/>
        <v>22689.897344560257</v>
      </c>
      <c r="AK51" s="12">
        <f t="shared" si="43"/>
        <v>23378.688943770987</v>
      </c>
      <c r="AL51" s="12">
        <f t="shared" si="43"/>
        <v>23378.688943770987</v>
      </c>
      <c r="AM51" s="12">
        <f t="shared" si="43"/>
        <v>23378.688943770987</v>
      </c>
      <c r="AN51" s="12">
        <f t="shared" si="43"/>
        <v>23378.688943770987</v>
      </c>
      <c r="AO51" s="12">
        <f t="shared" si="43"/>
        <v>24468.232018886145</v>
      </c>
      <c r="AP51" s="30">
        <f t="shared" si="43"/>
        <v>24468.232018886145</v>
      </c>
    </row>
    <row r="52" spans="1:42">
      <c r="A52" s="47" t="s">
        <v>15</v>
      </c>
      <c r="B52" s="31">
        <f>AVERAGE(B51:J51)</f>
        <v>1.2523483622013313E-2</v>
      </c>
      <c r="C52" s="2"/>
      <c r="D52" s="2"/>
      <c r="E52" s="2"/>
      <c r="F52" s="2"/>
      <c r="G52" s="2"/>
      <c r="H52" s="2"/>
      <c r="I52" s="2"/>
      <c r="J52" s="20"/>
      <c r="K52" s="9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32"/>
    </row>
    <row r="53" spans="1:42">
      <c r="A53" s="47" t="s">
        <v>16</v>
      </c>
      <c r="B53" s="12">
        <v>179849</v>
      </c>
      <c r="C53" s="2"/>
      <c r="D53" s="2"/>
      <c r="E53" s="2"/>
      <c r="F53" s="2"/>
      <c r="G53" s="2"/>
      <c r="H53" s="2"/>
      <c r="I53" s="2"/>
      <c r="J53" s="20"/>
      <c r="K53" s="9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32"/>
    </row>
    <row r="54" spans="1:42" ht="15.75" customHeight="1">
      <c r="A54" s="52" t="s">
        <v>17</v>
      </c>
      <c r="B54" s="34">
        <f>(B53*1000)/B50</f>
        <v>116.91815423660829</v>
      </c>
      <c r="C54" s="33"/>
      <c r="D54" s="33"/>
      <c r="E54" s="33"/>
      <c r="F54" s="33"/>
      <c r="G54" s="33"/>
      <c r="H54" s="33"/>
      <c r="I54" s="33"/>
      <c r="J54" s="35"/>
      <c r="K54" s="91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6"/>
    </row>
    <row r="55" spans="1:42" ht="15.75" customHeight="1">
      <c r="A55" s="2"/>
      <c r="B55" s="3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5.75" customHeight="1">
      <c r="A56" s="3" t="s">
        <v>18</v>
      </c>
      <c r="B56" s="3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5.75" customHeight="1">
      <c r="A57" s="92" t="s">
        <v>19</v>
      </c>
      <c r="B57" s="25">
        <f>B50</f>
        <v>1538247</v>
      </c>
      <c r="C57" s="25">
        <f t="shared" ref="C57:L57" si="44">B57</f>
        <v>1538247</v>
      </c>
      <c r="D57" s="25">
        <f t="shared" si="44"/>
        <v>1538247</v>
      </c>
      <c r="E57" s="25">
        <f t="shared" si="44"/>
        <v>1538247</v>
      </c>
      <c r="F57" s="25">
        <f t="shared" si="44"/>
        <v>1538247</v>
      </c>
      <c r="G57" s="25">
        <f t="shared" si="44"/>
        <v>1538247</v>
      </c>
      <c r="H57" s="25">
        <f t="shared" si="44"/>
        <v>1538247</v>
      </c>
      <c r="I57" s="25">
        <f t="shared" si="44"/>
        <v>1538247</v>
      </c>
      <c r="J57" s="25">
        <f t="shared" si="44"/>
        <v>1538247</v>
      </c>
      <c r="K57" s="25">
        <f t="shared" si="44"/>
        <v>1538247</v>
      </c>
      <c r="L57" s="25">
        <f t="shared" si="44"/>
        <v>1538247</v>
      </c>
      <c r="M57" s="25">
        <f t="shared" ref="M57:AP57" si="45">$B$57+M58-M59-M60-M61</f>
        <v>1505247</v>
      </c>
      <c r="N57" s="25">
        <f t="shared" si="45"/>
        <v>1505247</v>
      </c>
      <c r="O57" s="25">
        <f t="shared" si="45"/>
        <v>1505247</v>
      </c>
      <c r="P57" s="25">
        <f t="shared" si="45"/>
        <v>1505247</v>
      </c>
      <c r="Q57" s="25">
        <f t="shared" si="45"/>
        <v>1505247</v>
      </c>
      <c r="R57" s="25">
        <f t="shared" si="45"/>
        <v>1505247</v>
      </c>
      <c r="S57" s="25">
        <f t="shared" si="45"/>
        <v>1441977</v>
      </c>
      <c r="T57" s="25">
        <f t="shared" si="45"/>
        <v>1358332</v>
      </c>
      <c r="U57" s="25">
        <f t="shared" si="45"/>
        <v>1358332</v>
      </c>
      <c r="V57" s="25">
        <f t="shared" si="45"/>
        <v>1319832</v>
      </c>
      <c r="W57" s="25">
        <f t="shared" si="45"/>
        <v>1267994</v>
      </c>
      <c r="X57" s="25">
        <f t="shared" si="45"/>
        <v>1175768</v>
      </c>
      <c r="Y57" s="25">
        <f t="shared" si="45"/>
        <v>1175768</v>
      </c>
      <c r="Z57" s="25">
        <f t="shared" si="45"/>
        <v>1012591</v>
      </c>
      <c r="AA57" s="25">
        <f t="shared" si="45"/>
        <v>1012591</v>
      </c>
      <c r="AB57" s="25">
        <f t="shared" si="45"/>
        <v>1012591</v>
      </c>
      <c r="AC57" s="25">
        <f t="shared" si="45"/>
        <v>1012591</v>
      </c>
      <c r="AD57" s="25">
        <f t="shared" si="45"/>
        <v>1012591</v>
      </c>
      <c r="AE57" s="25">
        <f t="shared" si="45"/>
        <v>1012591</v>
      </c>
      <c r="AF57" s="25">
        <f t="shared" si="45"/>
        <v>980879</v>
      </c>
      <c r="AG57" s="25">
        <f t="shared" si="45"/>
        <v>980879</v>
      </c>
      <c r="AH57" s="25">
        <f t="shared" si="45"/>
        <v>980879</v>
      </c>
      <c r="AI57" s="25">
        <f t="shared" si="45"/>
        <v>980879</v>
      </c>
      <c r="AJ57" s="25">
        <f t="shared" si="45"/>
        <v>980879</v>
      </c>
      <c r="AK57" s="25">
        <f t="shared" si="45"/>
        <v>980879</v>
      </c>
      <c r="AL57" s="25">
        <f t="shared" si="45"/>
        <v>980879</v>
      </c>
      <c r="AM57" s="25">
        <f t="shared" si="45"/>
        <v>980879</v>
      </c>
      <c r="AN57" s="25">
        <f t="shared" si="45"/>
        <v>980879</v>
      </c>
      <c r="AO57" s="25">
        <f t="shared" si="45"/>
        <v>980879</v>
      </c>
      <c r="AP57" s="27">
        <f t="shared" si="45"/>
        <v>980879</v>
      </c>
    </row>
    <row r="58" spans="1:42">
      <c r="A58" s="93" t="s">
        <v>20</v>
      </c>
      <c r="B58" s="12"/>
      <c r="C58" s="12"/>
      <c r="D58" s="12"/>
      <c r="E58" s="12"/>
      <c r="F58" s="12"/>
      <c r="G58" s="12"/>
      <c r="H58" s="12"/>
      <c r="I58" s="12"/>
      <c r="J58" s="12"/>
      <c r="K58" s="12">
        <f>'Mitigation Data Scenario 3 '!K45</f>
        <v>0</v>
      </c>
      <c r="L58" s="12">
        <f>'Mitigation Data Scenario 3 '!L45</f>
        <v>0</v>
      </c>
      <c r="M58" s="12">
        <f>'Mitigation Data Scenario 3 '!M45</f>
        <v>0</v>
      </c>
      <c r="N58" s="12">
        <f>'Mitigation Data Scenario 3 '!N45</f>
        <v>0</v>
      </c>
      <c r="O58" s="12">
        <f>'Mitigation Data Scenario 3 '!O45</f>
        <v>0</v>
      </c>
      <c r="P58" s="12">
        <f>'Mitigation Data Scenario 3 '!P45</f>
        <v>0</v>
      </c>
      <c r="Q58" s="12">
        <f>'Mitigation Data Scenario 3 '!Q45</f>
        <v>0</v>
      </c>
      <c r="R58" s="12">
        <f>'Mitigation Data Scenario 3 '!R45</f>
        <v>0</v>
      </c>
      <c r="S58" s="12">
        <f>'Mitigation Data Scenario 3 '!S45</f>
        <v>-38270</v>
      </c>
      <c r="T58" s="12">
        <f>'Mitigation Data Scenario 3 '!T45</f>
        <v>-121915</v>
      </c>
      <c r="U58" s="12">
        <f>'Mitigation Data Scenario 3 '!U45</f>
        <v>-121915</v>
      </c>
      <c r="V58" s="12">
        <f>'Mitigation Data Scenario 3 '!V45</f>
        <v>-121915</v>
      </c>
      <c r="W58" s="12">
        <f>'Mitigation Data Scenario 3 '!W45</f>
        <v>-121915</v>
      </c>
      <c r="X58" s="12">
        <f>'Mitigation Data Scenario 3 '!X45</f>
        <v>-183052</v>
      </c>
      <c r="Y58" s="12">
        <f>'Mitigation Data Scenario 3 '!Y45</f>
        <v>-183052</v>
      </c>
      <c r="Z58" s="12">
        <f>'Mitigation Data Scenario 3 '!Z45</f>
        <v>-248318</v>
      </c>
      <c r="AA58" s="12">
        <f>'Mitigation Data Scenario 3 '!AA45</f>
        <v>-248318</v>
      </c>
      <c r="AB58" s="12">
        <f>'Mitigation Data Scenario 3 '!AB45</f>
        <v>-248318</v>
      </c>
      <c r="AC58" s="12">
        <f>'Mitigation Data Scenario 3 '!AC45</f>
        <v>-248318</v>
      </c>
      <c r="AD58" s="12">
        <f>'Mitigation Data Scenario 3 '!AD45</f>
        <v>-248318</v>
      </c>
      <c r="AE58" s="12">
        <f>'Mitigation Data Scenario 3 '!AE45</f>
        <v>-248318</v>
      </c>
      <c r="AF58" s="12">
        <f>'Mitigation Data Scenario 3 '!AF45</f>
        <v>-248318</v>
      </c>
      <c r="AG58" s="12">
        <f>'Mitigation Data Scenario 3 '!AG45</f>
        <v>-248318</v>
      </c>
      <c r="AH58" s="12">
        <f>'Mitigation Data Scenario 3 '!AH45</f>
        <v>-248318</v>
      </c>
      <c r="AI58" s="12">
        <f>'Mitigation Data Scenario 3 '!AI45</f>
        <v>-248318</v>
      </c>
      <c r="AJ58" s="12">
        <f>'Mitigation Data Scenario 3 '!AJ45</f>
        <v>-248318</v>
      </c>
      <c r="AK58" s="12">
        <f>'Mitigation Data Scenario 3 '!AK45</f>
        <v>-248318</v>
      </c>
      <c r="AL58" s="12">
        <f>'Mitigation Data Scenario 3 '!AL45</f>
        <v>-248318</v>
      </c>
      <c r="AM58" s="12">
        <f>'Mitigation Data Scenario 3 '!AM45</f>
        <v>-248318</v>
      </c>
      <c r="AN58" s="12">
        <f>'Mitigation Data Scenario 3 '!AN45</f>
        <v>-248318</v>
      </c>
      <c r="AO58" s="12">
        <f>'Mitigation Data Scenario 3 '!AO45</f>
        <v>-248318</v>
      </c>
      <c r="AP58" s="30">
        <f>'Mitigation Data Scenario 3 '!AP45</f>
        <v>-248318</v>
      </c>
    </row>
    <row r="59" spans="1:42">
      <c r="A59" s="93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>
        <f>'Mitigation Data Scenario 3 '!K46</f>
        <v>0</v>
      </c>
      <c r="L59" s="12">
        <f>'Mitigation Data Scenario 3 '!L46</f>
        <v>0</v>
      </c>
      <c r="M59" s="12">
        <f>'Mitigation Data Scenario 3 '!M46</f>
        <v>33000</v>
      </c>
      <c r="N59" s="12">
        <f>'Mitigation Data Scenario 3 '!N46</f>
        <v>33000</v>
      </c>
      <c r="O59" s="12">
        <f>'Mitigation Data Scenario 3 '!O46</f>
        <v>33000</v>
      </c>
      <c r="P59" s="12">
        <f>'Mitigation Data Scenario 3 '!P46</f>
        <v>33000</v>
      </c>
      <c r="Q59" s="12">
        <f>'Mitigation Data Scenario 3 '!Q46</f>
        <v>33000</v>
      </c>
      <c r="R59" s="12">
        <f>'Mitigation Data Scenario 3 '!R46</f>
        <v>33000</v>
      </c>
      <c r="S59" s="12">
        <f>'Mitigation Data Scenario 3 '!S46</f>
        <v>58000</v>
      </c>
      <c r="T59" s="12">
        <f>'Mitigation Data Scenario 3 '!T46</f>
        <v>58000</v>
      </c>
      <c r="U59" s="12">
        <f>'Mitigation Data Scenario 3 '!U46</f>
        <v>58000</v>
      </c>
      <c r="V59" s="12">
        <f>'Mitigation Data Scenario 3 '!V46</f>
        <v>96500</v>
      </c>
      <c r="W59" s="12">
        <f>'Mitigation Data Scenario 3 '!W46</f>
        <v>148338</v>
      </c>
      <c r="X59" s="12">
        <f>'Mitigation Data Scenario 3 '!X46</f>
        <v>179427</v>
      </c>
      <c r="Y59" s="12">
        <f>'Mitigation Data Scenario 3 '!Y46</f>
        <v>179427</v>
      </c>
      <c r="Z59" s="12">
        <f>'Mitigation Data Scenario 3 '!Z46</f>
        <v>249827</v>
      </c>
      <c r="AA59" s="12">
        <f>'Mitigation Data Scenario 3 '!AA46</f>
        <v>249827</v>
      </c>
      <c r="AB59" s="12">
        <f>'Mitigation Data Scenario 3 '!AB46</f>
        <v>249827</v>
      </c>
      <c r="AC59" s="12">
        <f>'Mitigation Data Scenario 3 '!AC46</f>
        <v>249827</v>
      </c>
      <c r="AD59" s="12">
        <f>'Mitigation Data Scenario 3 '!AD46</f>
        <v>249827</v>
      </c>
      <c r="AE59" s="12">
        <f>'Mitigation Data Scenario 3 '!AE46</f>
        <v>249827</v>
      </c>
      <c r="AF59" s="12">
        <f>'Mitigation Data Scenario 3 '!AF46</f>
        <v>281539</v>
      </c>
      <c r="AG59" s="12">
        <f>'Mitigation Data Scenario 3 '!AG46</f>
        <v>281539</v>
      </c>
      <c r="AH59" s="12">
        <f>'Mitigation Data Scenario 3 '!AH46</f>
        <v>281539</v>
      </c>
      <c r="AI59" s="12">
        <f>'Mitigation Data Scenario 3 '!AI46</f>
        <v>281539</v>
      </c>
      <c r="AJ59" s="12">
        <f>'Mitigation Data Scenario 3 '!AJ46</f>
        <v>281539</v>
      </c>
      <c r="AK59" s="12">
        <f>'Mitigation Data Scenario 3 '!AK46</f>
        <v>281539</v>
      </c>
      <c r="AL59" s="12">
        <f>'Mitigation Data Scenario 3 '!AL46</f>
        <v>281539</v>
      </c>
      <c r="AM59" s="12">
        <f>'Mitigation Data Scenario 3 '!AM46</f>
        <v>281539</v>
      </c>
      <c r="AN59" s="12">
        <f>'Mitigation Data Scenario 3 '!AN46</f>
        <v>281539</v>
      </c>
      <c r="AO59" s="12">
        <f>'Mitigation Data Scenario 3 '!AO46</f>
        <v>281539</v>
      </c>
      <c r="AP59" s="30">
        <f>'Mitigation Data Scenario 3 '!AP46</f>
        <v>281539</v>
      </c>
    </row>
    <row r="60" spans="1:42">
      <c r="A60" s="93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>
        <f>'Mitigation Data Scenario 3 '!K47</f>
        <v>0</v>
      </c>
      <c r="L60" s="12">
        <f>'Mitigation Data Scenario 3 '!L47</f>
        <v>0</v>
      </c>
      <c r="M60" s="12">
        <f>'Mitigation Data Scenario 3 '!M47</f>
        <v>0</v>
      </c>
      <c r="N60" s="12">
        <f>'Mitigation Data Scenario 3 '!N47</f>
        <v>0</v>
      </c>
      <c r="O60" s="12">
        <f>'Mitigation Data Scenario 3 '!O47</f>
        <v>0</v>
      </c>
      <c r="P60" s="12">
        <f>'Mitigation Data Scenario 3 '!P47</f>
        <v>0</v>
      </c>
      <c r="Q60" s="12">
        <f>'Mitigation Data Scenario 3 '!Q47</f>
        <v>0</v>
      </c>
      <c r="R60" s="12">
        <f>'Mitigation Data Scenario 3 '!R47</f>
        <v>0</v>
      </c>
      <c r="S60" s="12">
        <f>'Mitigation Data Scenario 3 '!S47</f>
        <v>0</v>
      </c>
      <c r="T60" s="12">
        <f>'Mitigation Data Scenario 3 '!T47</f>
        <v>0</v>
      </c>
      <c r="U60" s="12">
        <f>'Mitigation Data Scenario 3 '!U47</f>
        <v>0</v>
      </c>
      <c r="V60" s="12">
        <f>'Mitigation Data Scenario 3 '!V47</f>
        <v>0</v>
      </c>
      <c r="W60" s="12">
        <f>'Mitigation Data Scenario 3 '!W47</f>
        <v>0</v>
      </c>
      <c r="X60" s="12">
        <f>'Mitigation Data Scenario 3 '!X47</f>
        <v>0</v>
      </c>
      <c r="Y60" s="12">
        <f>'Mitigation Data Scenario 3 '!Y47</f>
        <v>0</v>
      </c>
      <c r="Z60" s="12">
        <f>'Mitigation Data Scenario 3 '!Z47</f>
        <v>27511</v>
      </c>
      <c r="AA60" s="12">
        <f>'Mitigation Data Scenario 3 '!AA47</f>
        <v>27511</v>
      </c>
      <c r="AB60" s="12">
        <f>'Mitigation Data Scenario 3 '!AB47</f>
        <v>27511</v>
      </c>
      <c r="AC60" s="12">
        <f>'Mitigation Data Scenario 3 '!AC47</f>
        <v>27511</v>
      </c>
      <c r="AD60" s="12">
        <f>'Mitigation Data Scenario 3 '!AD47</f>
        <v>27511</v>
      </c>
      <c r="AE60" s="12">
        <f>'Mitigation Data Scenario 3 '!AE47</f>
        <v>27511</v>
      </c>
      <c r="AF60" s="12">
        <f>'Mitigation Data Scenario 3 '!AF47</f>
        <v>27511</v>
      </c>
      <c r="AG60" s="12">
        <f>'Mitigation Data Scenario 3 '!AG47</f>
        <v>27511</v>
      </c>
      <c r="AH60" s="12">
        <f>'Mitigation Data Scenario 3 '!AH47</f>
        <v>27511</v>
      </c>
      <c r="AI60" s="12">
        <f>'Mitigation Data Scenario 3 '!AI47</f>
        <v>27511</v>
      </c>
      <c r="AJ60" s="12">
        <f>'Mitigation Data Scenario 3 '!AJ47</f>
        <v>27511</v>
      </c>
      <c r="AK60" s="12">
        <f>'Mitigation Data Scenario 3 '!AK47</f>
        <v>27511</v>
      </c>
      <c r="AL60" s="12">
        <f>'Mitigation Data Scenario 3 '!AL47</f>
        <v>27511</v>
      </c>
      <c r="AM60" s="12">
        <f>'Mitigation Data Scenario 3 '!AM47</f>
        <v>27511</v>
      </c>
      <c r="AN60" s="12">
        <f>'Mitigation Data Scenario 3 '!AN47</f>
        <v>27511</v>
      </c>
      <c r="AO60" s="12">
        <f>'Mitigation Data Scenario 3 '!AO47</f>
        <v>27511</v>
      </c>
      <c r="AP60" s="30">
        <f>'Mitigation Data Scenario 3 '!AP47</f>
        <v>27511</v>
      </c>
    </row>
    <row r="61" spans="1:42">
      <c r="A61" s="93" t="s">
        <v>76</v>
      </c>
      <c r="B61" s="12"/>
      <c r="C61" s="12"/>
      <c r="D61" s="12"/>
      <c r="E61" s="12"/>
      <c r="F61" s="12"/>
      <c r="G61" s="12"/>
      <c r="H61" s="12"/>
      <c r="I61" s="12"/>
      <c r="J61" s="12"/>
      <c r="K61" s="12">
        <f>'Mitigation Data Scenario 3 '!K48</f>
        <v>0</v>
      </c>
      <c r="L61" s="12">
        <f>'Mitigation Data Scenario 3 '!L48</f>
        <v>0</v>
      </c>
      <c r="M61" s="12">
        <f>'Mitigation Data Scenario 3 '!M48</f>
        <v>0</v>
      </c>
      <c r="N61" s="12">
        <f>'Mitigation Data Scenario 3 '!N48</f>
        <v>0</v>
      </c>
      <c r="O61" s="12">
        <f>'Mitigation Data Scenario 3 '!O48</f>
        <v>0</v>
      </c>
      <c r="P61" s="12">
        <f>'Mitigation Data Scenario 3 '!P48</f>
        <v>0</v>
      </c>
      <c r="Q61" s="12">
        <f>'Mitigation Data Scenario 3 '!Q48</f>
        <v>0</v>
      </c>
      <c r="R61" s="12">
        <f>'Mitigation Data Scenario 3 '!R48</f>
        <v>0</v>
      </c>
      <c r="S61" s="12">
        <f>'Mitigation Data Scenario 3 '!S48</f>
        <v>0</v>
      </c>
      <c r="T61" s="12">
        <f>'Mitigation Data Scenario 3 '!T48</f>
        <v>0</v>
      </c>
      <c r="U61" s="12">
        <f>'Mitigation Data Scenario 3 '!U48</f>
        <v>0</v>
      </c>
      <c r="V61" s="12">
        <f>'Mitigation Data Scenario 3 '!V48</f>
        <v>0</v>
      </c>
      <c r="W61" s="12">
        <f>'Mitigation Data Scenario 3 '!W48</f>
        <v>0</v>
      </c>
      <c r="X61" s="12">
        <f>'Mitigation Data Scenario 3 '!X48</f>
        <v>0</v>
      </c>
      <c r="Y61" s="12">
        <f>'Mitigation Data Scenario 3 '!Y48</f>
        <v>0</v>
      </c>
      <c r="Z61" s="12">
        <f>'Mitigation Data Scenario 3 '!Z48</f>
        <v>0</v>
      </c>
      <c r="AA61" s="12">
        <f>'Mitigation Data Scenario 3 '!AA48</f>
        <v>0</v>
      </c>
      <c r="AB61" s="12">
        <f>'Mitigation Data Scenario 3 '!AB48</f>
        <v>0</v>
      </c>
      <c r="AC61" s="12">
        <f>'Mitigation Data Scenario 3 '!AC48</f>
        <v>0</v>
      </c>
      <c r="AD61" s="12">
        <f>'Mitigation Data Scenario 3 '!AD48</f>
        <v>0</v>
      </c>
      <c r="AE61" s="12">
        <f>'Mitigation Data Scenario 3 '!AE48</f>
        <v>0</v>
      </c>
      <c r="AF61" s="12">
        <f>'Mitigation Data Scenario 3 '!AF48</f>
        <v>0</v>
      </c>
      <c r="AG61" s="12">
        <f>'Mitigation Data Scenario 3 '!AG48</f>
        <v>0</v>
      </c>
      <c r="AH61" s="12">
        <f>'Mitigation Data Scenario 3 '!AH48</f>
        <v>0</v>
      </c>
      <c r="AI61" s="12">
        <f>'Mitigation Data Scenario 3 '!AI48</f>
        <v>0</v>
      </c>
      <c r="AJ61" s="12">
        <f>'Mitigation Data Scenario 3 '!AJ48</f>
        <v>0</v>
      </c>
      <c r="AK61" s="12">
        <f>'Mitigation Data Scenario 3 '!AK48</f>
        <v>0</v>
      </c>
      <c r="AL61" s="12">
        <f>'Mitigation Data Scenario 3 '!AL48</f>
        <v>0</v>
      </c>
      <c r="AM61" s="12">
        <f>'Mitigation Data Scenario 3 '!AM48</f>
        <v>0</v>
      </c>
      <c r="AN61" s="12">
        <f>'Mitigation Data Scenario 3 '!AN48</f>
        <v>0</v>
      </c>
      <c r="AO61" s="12">
        <f>'Mitigation Data Scenario 3 '!AO48</f>
        <v>0</v>
      </c>
      <c r="AP61" s="30">
        <f>'Mitigation Data Scenario 3 '!AP48</f>
        <v>0</v>
      </c>
    </row>
    <row r="62" spans="1:42">
      <c r="A62" s="93" t="s">
        <v>77</v>
      </c>
      <c r="B62" s="12"/>
      <c r="C62" s="12"/>
      <c r="D62" s="12"/>
      <c r="E62" s="12"/>
      <c r="F62" s="12"/>
      <c r="G62" s="12"/>
      <c r="H62" s="12"/>
      <c r="I62" s="12"/>
      <c r="J62" s="12"/>
      <c r="K62" s="12">
        <f>'Mitigation Data Scenario 3 '!K50</f>
        <v>0</v>
      </c>
      <c r="L62" s="12">
        <f>'Mitigation Data Scenario 3 '!L50</f>
        <v>0</v>
      </c>
      <c r="M62" s="12">
        <f>'Mitigation Data Scenario 3 '!M49</f>
        <v>7500</v>
      </c>
      <c r="N62" s="12">
        <f>'Mitigation Data Scenario 3 '!N49</f>
        <v>7500</v>
      </c>
      <c r="O62" s="12">
        <f>'Mitigation Data Scenario 3 '!O49</f>
        <v>7500</v>
      </c>
      <c r="P62" s="12">
        <f>'Mitigation Data Scenario 3 '!P49</f>
        <v>77375</v>
      </c>
      <c r="Q62" s="12">
        <f>'Mitigation Data Scenario 3 '!Q49</f>
        <v>77375</v>
      </c>
      <c r="R62" s="12">
        <f>'Mitigation Data Scenario 3 '!R49</f>
        <v>77375</v>
      </c>
      <c r="S62" s="12">
        <f>'Mitigation Data Scenario 3 '!S49</f>
        <v>77375</v>
      </c>
      <c r="T62" s="12">
        <f>'Mitigation Data Scenario 3 '!T49</f>
        <v>266250</v>
      </c>
      <c r="U62" s="12">
        <f>'Mitigation Data Scenario 3 '!U49</f>
        <v>266250</v>
      </c>
      <c r="V62" s="12">
        <f>'Mitigation Data Scenario 3 '!V49</f>
        <v>282400</v>
      </c>
      <c r="W62" s="12">
        <f>'Mitigation Data Scenario 3 '!W49</f>
        <v>304400</v>
      </c>
      <c r="X62" s="12">
        <f>'Mitigation Data Scenario 3 '!X49</f>
        <v>304400</v>
      </c>
      <c r="Y62" s="12">
        <f>'Mitigation Data Scenario 3 '!Y49</f>
        <v>304400</v>
      </c>
      <c r="Z62" s="12">
        <f>'Mitigation Data Scenario 3 '!Z49</f>
        <v>304400</v>
      </c>
      <c r="AA62" s="12">
        <f>'Mitigation Data Scenario 3 '!AA49</f>
        <v>330550</v>
      </c>
      <c r="AB62" s="12">
        <f>'Mitigation Data Scenario 3 '!AB49</f>
        <v>356700</v>
      </c>
      <c r="AC62" s="12">
        <f>'Mitigation Data Scenario 3 '!AC49</f>
        <v>371650</v>
      </c>
      <c r="AD62" s="12">
        <f>'Mitigation Data Scenario 3 '!AD49</f>
        <v>371650</v>
      </c>
      <c r="AE62" s="12">
        <f>'Mitigation Data Scenario 3 '!AE49</f>
        <v>371650</v>
      </c>
      <c r="AF62" s="12">
        <f>'Mitigation Data Scenario 3 '!AF49</f>
        <v>386859</v>
      </c>
      <c r="AG62" s="12">
        <f>'Mitigation Data Scenario 3 '!AG49</f>
        <v>386859</v>
      </c>
      <c r="AH62" s="12">
        <f>'Mitigation Data Scenario 3 '!AH49</f>
        <v>386859</v>
      </c>
      <c r="AI62" s="12">
        <f>'Mitigation Data Scenario 3 '!AI49</f>
        <v>386859</v>
      </c>
      <c r="AJ62" s="12">
        <f>'Mitigation Data Scenario 3 '!AJ49</f>
        <v>386859</v>
      </c>
      <c r="AK62" s="12">
        <f>'Mitigation Data Scenario 3 '!AK49</f>
        <v>441859</v>
      </c>
      <c r="AL62" s="12">
        <f>'Mitigation Data Scenario 3 '!AL49</f>
        <v>441859</v>
      </c>
      <c r="AM62" s="12">
        <f>'Mitigation Data Scenario 3 '!AM49</f>
        <v>441859</v>
      </c>
      <c r="AN62" s="12">
        <f>'Mitigation Data Scenario 3 '!AN49</f>
        <v>441859</v>
      </c>
      <c r="AO62" s="12">
        <f>'Mitigation Data Scenario 3 '!AO49</f>
        <v>528859</v>
      </c>
      <c r="AP62" s="12">
        <f>'Mitigation Data Scenario 3 '!AP49</f>
        <v>528859</v>
      </c>
    </row>
    <row r="63" spans="1:42">
      <c r="A63" s="93" t="s">
        <v>78</v>
      </c>
      <c r="B63" s="12"/>
      <c r="C63" s="12"/>
      <c r="D63" s="12"/>
      <c r="E63" s="12"/>
      <c r="F63" s="12"/>
      <c r="G63" s="12"/>
      <c r="H63" s="12"/>
      <c r="I63" s="12"/>
      <c r="J63" s="12"/>
      <c r="K63" s="12">
        <f>'Mitigation Data Scenario 3 '!K50</f>
        <v>0</v>
      </c>
      <c r="L63" s="12">
        <f>'Mitigation Data Scenario 3 '!L50</f>
        <v>0</v>
      </c>
      <c r="M63" s="12">
        <f>'Mitigation Data Scenario 3 '!M50</f>
        <v>0</v>
      </c>
      <c r="N63" s="12">
        <f>'Mitigation Data Scenario 3 '!N50</f>
        <v>0</v>
      </c>
      <c r="O63" s="12">
        <f>'Mitigation Data Scenario 3 '!O50</f>
        <v>0</v>
      </c>
      <c r="P63" s="12">
        <f>'Mitigation Data Scenario 3 '!P50</f>
        <v>0</v>
      </c>
      <c r="Q63" s="12">
        <f>'Mitigation Data Scenario 3 '!Q50</f>
        <v>0</v>
      </c>
      <c r="R63" s="12">
        <f>'Mitigation Data Scenario 3 '!R50</f>
        <v>0</v>
      </c>
      <c r="S63" s="12">
        <f>'Mitigation Data Scenario 3 '!S50</f>
        <v>0</v>
      </c>
      <c r="T63" s="12">
        <f>'Mitigation Data Scenario 3 '!T50</f>
        <v>0</v>
      </c>
      <c r="U63" s="12">
        <f>'Mitigation Data Scenario 3 '!U50</f>
        <v>0</v>
      </c>
      <c r="V63" s="12">
        <f>'Mitigation Data Scenario 3 '!V50</f>
        <v>0</v>
      </c>
      <c r="W63" s="12">
        <f>'Mitigation Data Scenario 3 '!W50</f>
        <v>0</v>
      </c>
      <c r="X63" s="12">
        <f>'Mitigation Data Scenario 3 '!X50</f>
        <v>0</v>
      </c>
      <c r="Y63" s="12">
        <f>'Mitigation Data Scenario 3 '!Y50</f>
        <v>0</v>
      </c>
      <c r="Z63" s="12">
        <f>'Mitigation Data Scenario 3 '!Z50</f>
        <v>0</v>
      </c>
      <c r="AA63" s="12">
        <f>'Mitigation Data Scenario 3 '!AA50</f>
        <v>0</v>
      </c>
      <c r="AB63" s="12">
        <f>'Mitigation Data Scenario 3 '!AB50</f>
        <v>0</v>
      </c>
      <c r="AC63" s="12">
        <f>'Mitigation Data Scenario 3 '!AC50</f>
        <v>0</v>
      </c>
      <c r="AD63" s="12">
        <f>'Mitigation Data Scenario 3 '!AD50</f>
        <v>0</v>
      </c>
      <c r="AE63" s="12">
        <f>'Mitigation Data Scenario 3 '!AE50</f>
        <v>0</v>
      </c>
      <c r="AF63" s="12">
        <f>'Mitigation Data Scenario 3 '!AF50</f>
        <v>0</v>
      </c>
      <c r="AG63" s="12">
        <f>'Mitigation Data Scenario 3 '!AG50</f>
        <v>0</v>
      </c>
      <c r="AH63" s="12">
        <f>'Mitigation Data Scenario 3 '!AH50</f>
        <v>0</v>
      </c>
      <c r="AI63" s="12">
        <f>'Mitigation Data Scenario 3 '!AI50</f>
        <v>0</v>
      </c>
      <c r="AJ63" s="12">
        <f>'Mitigation Data Scenario 3 '!AJ50</f>
        <v>0</v>
      </c>
      <c r="AK63" s="12">
        <f>'Mitigation Data Scenario 3 '!AK50</f>
        <v>0</v>
      </c>
      <c r="AL63" s="12">
        <f>'Mitigation Data Scenario 3 '!AL50</f>
        <v>0</v>
      </c>
      <c r="AM63" s="12">
        <f>'Mitigation Data Scenario 3 '!AM50</f>
        <v>0</v>
      </c>
      <c r="AN63" s="12">
        <f>'Mitigation Data Scenario 3 '!AN50</f>
        <v>0</v>
      </c>
      <c r="AO63" s="12">
        <f>'Mitigation Data Scenario 3 '!AO50</f>
        <v>0</v>
      </c>
      <c r="AP63" s="30">
        <f>'Mitigation Data Scenario 3 '!AP50</f>
        <v>0</v>
      </c>
    </row>
    <row r="64" spans="1:42">
      <c r="A64" s="93" t="s">
        <v>79</v>
      </c>
      <c r="B64" s="12"/>
      <c r="C64" s="12"/>
      <c r="D64" s="12"/>
      <c r="E64" s="12"/>
      <c r="F64" s="12"/>
      <c r="G64" s="12"/>
      <c r="H64" s="12"/>
      <c r="I64" s="12"/>
      <c r="J64" s="12"/>
      <c r="K64" s="12">
        <f>'Mitigation Data Scenario 3 '!K51</f>
        <v>0</v>
      </c>
      <c r="L64" s="12">
        <f>'Mitigation Data Scenario 3 '!L51</f>
        <v>0</v>
      </c>
      <c r="M64" s="12">
        <f>'Mitigation Data Scenario 3 '!M51</f>
        <v>0</v>
      </c>
      <c r="N64" s="12">
        <f>'Mitigation Data Scenario 3 '!N51</f>
        <v>0</v>
      </c>
      <c r="O64" s="12">
        <f>'Mitigation Data Scenario 3 '!O51</f>
        <v>0</v>
      </c>
      <c r="P64" s="12">
        <f>'Mitigation Data Scenario 3 '!P51</f>
        <v>0</v>
      </c>
      <c r="Q64" s="12">
        <f>'Mitigation Data Scenario 3 '!Q51</f>
        <v>0</v>
      </c>
      <c r="R64" s="12">
        <f>'Mitigation Data Scenario 3 '!R51</f>
        <v>0</v>
      </c>
      <c r="S64" s="12">
        <f>'Mitigation Data Scenario 3 '!S51</f>
        <v>0</v>
      </c>
      <c r="T64" s="12">
        <f>'Mitigation Data Scenario 3 '!T51</f>
        <v>0</v>
      </c>
      <c r="U64" s="12">
        <f>'Mitigation Data Scenario 3 '!U51</f>
        <v>0</v>
      </c>
      <c r="V64" s="12">
        <f>'Mitigation Data Scenario 3 '!V51</f>
        <v>0</v>
      </c>
      <c r="W64" s="12">
        <f>'Mitigation Data Scenario 3 '!W51</f>
        <v>0</v>
      </c>
      <c r="X64" s="12">
        <f>'Mitigation Data Scenario 3 '!X51</f>
        <v>135000</v>
      </c>
      <c r="Y64" s="12">
        <f>'Mitigation Data Scenario 3 '!Y51</f>
        <v>135000</v>
      </c>
      <c r="Z64" s="12">
        <f>'Mitigation Data Scenario 3 '!Z51</f>
        <v>135000</v>
      </c>
      <c r="AA64" s="12">
        <f>'Mitigation Data Scenario 3 '!AA51</f>
        <v>135000</v>
      </c>
      <c r="AB64" s="12">
        <f>'Mitigation Data Scenario 3 '!AB51</f>
        <v>135000</v>
      </c>
      <c r="AC64" s="12">
        <f>'Mitigation Data Scenario 3 '!AC51</f>
        <v>135000</v>
      </c>
      <c r="AD64" s="12">
        <f>'Mitigation Data Scenario 3 '!AD51</f>
        <v>135000</v>
      </c>
      <c r="AE64" s="12">
        <f>'Mitigation Data Scenario 3 '!AE51</f>
        <v>135000</v>
      </c>
      <c r="AF64" s="12">
        <f>'Mitigation Data Scenario 3 '!AF51</f>
        <v>135000</v>
      </c>
      <c r="AG64" s="12">
        <f>'Mitigation Data Scenario 3 '!AG51</f>
        <v>135000</v>
      </c>
      <c r="AH64" s="12">
        <f>'Mitigation Data Scenario 3 '!AH51</f>
        <v>135000</v>
      </c>
      <c r="AI64" s="12">
        <f>'Mitigation Data Scenario 3 '!AI51</f>
        <v>135000</v>
      </c>
      <c r="AJ64" s="12">
        <f>'Mitigation Data Scenario 3 '!AJ51</f>
        <v>135000</v>
      </c>
      <c r="AK64" s="12">
        <f>'Mitigation Data Scenario 3 '!AK51</f>
        <v>135000</v>
      </c>
      <c r="AL64" s="12">
        <f>'Mitigation Data Scenario 3 '!AL51</f>
        <v>135000</v>
      </c>
      <c r="AM64" s="12">
        <f>'Mitigation Data Scenario 3 '!AM51</f>
        <v>135000</v>
      </c>
      <c r="AN64" s="12">
        <f>'Mitigation Data Scenario 3 '!AN51</f>
        <v>135000</v>
      </c>
      <c r="AO64" s="12">
        <f>'Mitigation Data Scenario 3 '!AO51</f>
        <v>135000</v>
      </c>
      <c r="AP64" s="30">
        <f>'Mitigation Data Scenario 3 '!AP51</f>
        <v>135000</v>
      </c>
    </row>
    <row r="65" spans="1:42" ht="15.75" customHeight="1">
      <c r="A65" s="96" t="s">
        <v>24</v>
      </c>
      <c r="B65" s="38">
        <f t="shared" ref="B65:J65" si="46">SUM(B57:B64)</f>
        <v>1538247</v>
      </c>
      <c r="C65" s="38">
        <f t="shared" si="46"/>
        <v>1538247</v>
      </c>
      <c r="D65" s="38">
        <f t="shared" si="46"/>
        <v>1538247</v>
      </c>
      <c r="E65" s="38">
        <f t="shared" si="46"/>
        <v>1538247</v>
      </c>
      <c r="F65" s="38">
        <f t="shared" si="46"/>
        <v>1538247</v>
      </c>
      <c r="G65" s="38">
        <f t="shared" si="46"/>
        <v>1538247</v>
      </c>
      <c r="H65" s="38">
        <f t="shared" si="46"/>
        <v>1538247</v>
      </c>
      <c r="I65" s="38">
        <f t="shared" si="46"/>
        <v>1538247</v>
      </c>
      <c r="J65" s="38">
        <f t="shared" si="46"/>
        <v>1538247</v>
      </c>
      <c r="K65" s="38">
        <f t="shared" ref="K65:AP65" si="47">SUM(K59:K64)+K57</f>
        <v>1538247</v>
      </c>
      <c r="L65" s="38">
        <f t="shared" si="47"/>
        <v>1538247</v>
      </c>
      <c r="M65" s="38">
        <f t="shared" si="47"/>
        <v>1545747</v>
      </c>
      <c r="N65" s="38">
        <f t="shared" si="47"/>
        <v>1545747</v>
      </c>
      <c r="O65" s="38">
        <f t="shared" si="47"/>
        <v>1545747</v>
      </c>
      <c r="P65" s="38">
        <f t="shared" si="47"/>
        <v>1615622</v>
      </c>
      <c r="Q65" s="38">
        <f t="shared" si="47"/>
        <v>1615622</v>
      </c>
      <c r="R65" s="38">
        <f t="shared" si="47"/>
        <v>1615622</v>
      </c>
      <c r="S65" s="38">
        <f t="shared" si="47"/>
        <v>1577352</v>
      </c>
      <c r="T65" s="38">
        <f t="shared" si="47"/>
        <v>1682582</v>
      </c>
      <c r="U65" s="38">
        <f t="shared" si="47"/>
        <v>1682582</v>
      </c>
      <c r="V65" s="38">
        <f t="shared" si="47"/>
        <v>1698732</v>
      </c>
      <c r="W65" s="38">
        <f t="shared" si="47"/>
        <v>1720732</v>
      </c>
      <c r="X65" s="38">
        <f t="shared" si="47"/>
        <v>1794595</v>
      </c>
      <c r="Y65" s="38">
        <f t="shared" si="47"/>
        <v>1794595</v>
      </c>
      <c r="Z65" s="38">
        <f t="shared" si="47"/>
        <v>1729329</v>
      </c>
      <c r="AA65" s="38">
        <f t="shared" si="47"/>
        <v>1755479</v>
      </c>
      <c r="AB65" s="38">
        <f t="shared" si="47"/>
        <v>1781629</v>
      </c>
      <c r="AC65" s="38">
        <f t="shared" si="47"/>
        <v>1796579</v>
      </c>
      <c r="AD65" s="38">
        <f t="shared" si="47"/>
        <v>1796579</v>
      </c>
      <c r="AE65" s="38">
        <f t="shared" si="47"/>
        <v>1796579</v>
      </c>
      <c r="AF65" s="38">
        <f t="shared" si="47"/>
        <v>1811788</v>
      </c>
      <c r="AG65" s="38">
        <f t="shared" si="47"/>
        <v>1811788</v>
      </c>
      <c r="AH65" s="38">
        <f t="shared" si="47"/>
        <v>1811788</v>
      </c>
      <c r="AI65" s="38">
        <f t="shared" si="47"/>
        <v>1811788</v>
      </c>
      <c r="AJ65" s="38">
        <f t="shared" si="47"/>
        <v>1811788</v>
      </c>
      <c r="AK65" s="38">
        <f t="shared" si="47"/>
        <v>1866788</v>
      </c>
      <c r="AL65" s="38">
        <f t="shared" si="47"/>
        <v>1866788</v>
      </c>
      <c r="AM65" s="38">
        <f t="shared" si="47"/>
        <v>1866788</v>
      </c>
      <c r="AN65" s="38">
        <f t="shared" si="47"/>
        <v>1866788</v>
      </c>
      <c r="AO65" s="38">
        <f t="shared" si="47"/>
        <v>1953788</v>
      </c>
      <c r="AP65" s="39">
        <f t="shared" si="47"/>
        <v>1953788</v>
      </c>
    </row>
    <row r="66" spans="1:42" ht="15.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</row>
    <row r="67" spans="1:42" ht="15.75" customHeight="1">
      <c r="A67" s="21" t="s">
        <v>80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</row>
    <row r="68" spans="1:42" ht="15.75" customHeight="1">
      <c r="A68" s="92" t="s">
        <v>26</v>
      </c>
      <c r="B68" s="25">
        <f t="shared" ref="B68:AP68" si="48">B57*$B$80</f>
        <v>179849000</v>
      </c>
      <c r="C68" s="25">
        <f t="shared" si="48"/>
        <v>179849000</v>
      </c>
      <c r="D68" s="25">
        <f t="shared" si="48"/>
        <v>179849000</v>
      </c>
      <c r="E68" s="25">
        <f t="shared" si="48"/>
        <v>179849000</v>
      </c>
      <c r="F68" s="25">
        <f t="shared" si="48"/>
        <v>179849000</v>
      </c>
      <c r="G68" s="25">
        <f t="shared" si="48"/>
        <v>179849000</v>
      </c>
      <c r="H68" s="25">
        <f t="shared" si="48"/>
        <v>179849000</v>
      </c>
      <c r="I68" s="25">
        <f t="shared" si="48"/>
        <v>179849000</v>
      </c>
      <c r="J68" s="25">
        <f t="shared" si="48"/>
        <v>179849000</v>
      </c>
      <c r="K68" s="25">
        <f t="shared" si="48"/>
        <v>179849000</v>
      </c>
      <c r="L68" s="25">
        <f t="shared" si="48"/>
        <v>179849000</v>
      </c>
      <c r="M68" s="25">
        <f t="shared" si="48"/>
        <v>175990700.91019192</v>
      </c>
      <c r="N68" s="25">
        <f t="shared" si="48"/>
        <v>175990700.91019192</v>
      </c>
      <c r="O68" s="25">
        <f t="shared" si="48"/>
        <v>175990700.91019192</v>
      </c>
      <c r="P68" s="25">
        <f t="shared" si="48"/>
        <v>175990700.91019192</v>
      </c>
      <c r="Q68" s="25">
        <f t="shared" si="48"/>
        <v>175990700.91019192</v>
      </c>
      <c r="R68" s="25">
        <f t="shared" si="48"/>
        <v>175990700.91019192</v>
      </c>
      <c r="S68" s="25">
        <f t="shared" si="48"/>
        <v>168593289.29164171</v>
      </c>
      <c r="T68" s="25">
        <f t="shared" si="48"/>
        <v>158813670.28052062</v>
      </c>
      <c r="U68" s="25">
        <f t="shared" si="48"/>
        <v>158813670.28052062</v>
      </c>
      <c r="V68" s="25">
        <f t="shared" si="48"/>
        <v>154312321.34241119</v>
      </c>
      <c r="W68" s="25">
        <f t="shared" si="48"/>
        <v>148251518.0630939</v>
      </c>
      <c r="X68" s="25">
        <f t="shared" si="48"/>
        <v>137468624.37046847</v>
      </c>
      <c r="Y68" s="25">
        <f t="shared" si="48"/>
        <v>137468624.37046847</v>
      </c>
      <c r="Z68" s="25">
        <f t="shared" si="48"/>
        <v>118390270.71660142</v>
      </c>
      <c r="AA68" s="25">
        <f t="shared" si="48"/>
        <v>118390270.71660142</v>
      </c>
      <c r="AB68" s="25">
        <f t="shared" si="48"/>
        <v>118390270.71660142</v>
      </c>
      <c r="AC68" s="25">
        <f t="shared" si="48"/>
        <v>118390270.71660142</v>
      </c>
      <c r="AD68" s="25">
        <f t="shared" si="48"/>
        <v>118390270.71660142</v>
      </c>
      <c r="AE68" s="25">
        <f t="shared" si="48"/>
        <v>118390270.71660142</v>
      </c>
      <c r="AF68" s="25">
        <f t="shared" si="48"/>
        <v>114682562.2094501</v>
      </c>
      <c r="AG68" s="25">
        <f t="shared" si="48"/>
        <v>114682562.2094501</v>
      </c>
      <c r="AH68" s="25">
        <f t="shared" si="48"/>
        <v>114682562.2094501</v>
      </c>
      <c r="AI68" s="25">
        <f t="shared" si="48"/>
        <v>114682562.2094501</v>
      </c>
      <c r="AJ68" s="25">
        <f t="shared" si="48"/>
        <v>114682562.2094501</v>
      </c>
      <c r="AK68" s="25">
        <f t="shared" si="48"/>
        <v>114682562.2094501</v>
      </c>
      <c r="AL68" s="25">
        <f t="shared" si="48"/>
        <v>114682562.2094501</v>
      </c>
      <c r="AM68" s="25">
        <f t="shared" si="48"/>
        <v>114682562.2094501</v>
      </c>
      <c r="AN68" s="25">
        <f t="shared" si="48"/>
        <v>114682562.2094501</v>
      </c>
      <c r="AO68" s="25">
        <f t="shared" si="48"/>
        <v>114682562.2094501</v>
      </c>
      <c r="AP68" s="27">
        <f t="shared" si="48"/>
        <v>114682562.2094501</v>
      </c>
    </row>
    <row r="69" spans="1:42">
      <c r="A69" s="93" t="s">
        <v>81</v>
      </c>
      <c r="B69" s="12"/>
      <c r="C69" s="12"/>
      <c r="D69" s="12"/>
      <c r="E69" s="12"/>
      <c r="F69" s="12"/>
      <c r="G69" s="12"/>
      <c r="H69" s="12"/>
      <c r="I69" s="12"/>
      <c r="J69" s="12"/>
      <c r="K69" s="12">
        <f t="shared" ref="K69:AP69" si="49">K59*$B$81</f>
        <v>0</v>
      </c>
      <c r="L69" s="12">
        <f t="shared" si="49"/>
        <v>0</v>
      </c>
      <c r="M69" s="12">
        <f t="shared" si="49"/>
        <v>2640000</v>
      </c>
      <c r="N69" s="12">
        <f t="shared" si="49"/>
        <v>2640000</v>
      </c>
      <c r="O69" s="12">
        <f t="shared" si="49"/>
        <v>2640000</v>
      </c>
      <c r="P69" s="12">
        <f t="shared" si="49"/>
        <v>2640000</v>
      </c>
      <c r="Q69" s="12">
        <f t="shared" si="49"/>
        <v>2640000</v>
      </c>
      <c r="R69" s="12">
        <f t="shared" si="49"/>
        <v>2640000</v>
      </c>
      <c r="S69" s="12">
        <f t="shared" si="49"/>
        <v>4640000</v>
      </c>
      <c r="T69" s="12">
        <f t="shared" si="49"/>
        <v>4640000</v>
      </c>
      <c r="U69" s="12">
        <f t="shared" si="49"/>
        <v>4640000</v>
      </c>
      <c r="V69" s="12">
        <f t="shared" si="49"/>
        <v>7720000</v>
      </c>
      <c r="W69" s="12">
        <f t="shared" si="49"/>
        <v>11867040</v>
      </c>
      <c r="X69" s="12">
        <f t="shared" si="49"/>
        <v>14354160</v>
      </c>
      <c r="Y69" s="12">
        <f t="shared" si="49"/>
        <v>14354160</v>
      </c>
      <c r="Z69" s="12">
        <f t="shared" si="49"/>
        <v>19986160</v>
      </c>
      <c r="AA69" s="12">
        <f t="shared" si="49"/>
        <v>19986160</v>
      </c>
      <c r="AB69" s="12">
        <f t="shared" si="49"/>
        <v>19986160</v>
      </c>
      <c r="AC69" s="12">
        <f t="shared" si="49"/>
        <v>19986160</v>
      </c>
      <c r="AD69" s="12">
        <f t="shared" si="49"/>
        <v>19986160</v>
      </c>
      <c r="AE69" s="12">
        <f t="shared" si="49"/>
        <v>19986160</v>
      </c>
      <c r="AF69" s="12">
        <f t="shared" si="49"/>
        <v>22523120</v>
      </c>
      <c r="AG69" s="12">
        <f t="shared" si="49"/>
        <v>22523120</v>
      </c>
      <c r="AH69" s="12">
        <f t="shared" si="49"/>
        <v>22523120</v>
      </c>
      <c r="AI69" s="12">
        <f t="shared" si="49"/>
        <v>22523120</v>
      </c>
      <c r="AJ69" s="12">
        <f t="shared" si="49"/>
        <v>22523120</v>
      </c>
      <c r="AK69" s="12">
        <f t="shared" si="49"/>
        <v>22523120</v>
      </c>
      <c r="AL69" s="12">
        <f t="shared" si="49"/>
        <v>22523120</v>
      </c>
      <c r="AM69" s="12">
        <f t="shared" si="49"/>
        <v>22523120</v>
      </c>
      <c r="AN69" s="12">
        <f t="shared" si="49"/>
        <v>22523120</v>
      </c>
      <c r="AO69" s="12">
        <f t="shared" si="49"/>
        <v>22523120</v>
      </c>
      <c r="AP69" s="30">
        <f t="shared" si="49"/>
        <v>22523120</v>
      </c>
    </row>
    <row r="70" spans="1:42">
      <c r="A70" s="93" t="s">
        <v>82</v>
      </c>
      <c r="B70" s="12"/>
      <c r="C70" s="12"/>
      <c r="D70" s="12"/>
      <c r="E70" s="12"/>
      <c r="F70" s="12"/>
      <c r="G70" s="12"/>
      <c r="H70" s="12"/>
      <c r="I70" s="12"/>
      <c r="J70" s="12"/>
      <c r="K70" s="12">
        <f t="shared" ref="K70:AP70" si="50">K60*$B$82</f>
        <v>0</v>
      </c>
      <c r="L70" s="12">
        <f t="shared" si="50"/>
        <v>0</v>
      </c>
      <c r="M70" s="12">
        <f t="shared" si="50"/>
        <v>0</v>
      </c>
      <c r="N70" s="12">
        <f t="shared" si="50"/>
        <v>0</v>
      </c>
      <c r="O70" s="12">
        <f t="shared" si="50"/>
        <v>0</v>
      </c>
      <c r="P70" s="12">
        <f t="shared" si="50"/>
        <v>0</v>
      </c>
      <c r="Q70" s="12">
        <f t="shared" si="50"/>
        <v>0</v>
      </c>
      <c r="R70" s="12">
        <f t="shared" si="50"/>
        <v>0</v>
      </c>
      <c r="S70" s="12">
        <f t="shared" si="50"/>
        <v>0</v>
      </c>
      <c r="T70" s="12">
        <f t="shared" si="50"/>
        <v>0</v>
      </c>
      <c r="U70" s="12">
        <f t="shared" si="50"/>
        <v>0</v>
      </c>
      <c r="V70" s="12">
        <f t="shared" si="50"/>
        <v>0</v>
      </c>
      <c r="W70" s="12">
        <f t="shared" si="50"/>
        <v>0</v>
      </c>
      <c r="X70" s="12">
        <f t="shared" si="50"/>
        <v>0</v>
      </c>
      <c r="Y70" s="12">
        <f t="shared" si="50"/>
        <v>0</v>
      </c>
      <c r="Z70" s="12">
        <f t="shared" si="50"/>
        <v>2200880</v>
      </c>
      <c r="AA70" s="12">
        <f t="shared" si="50"/>
        <v>2200880</v>
      </c>
      <c r="AB70" s="12">
        <f t="shared" si="50"/>
        <v>2200880</v>
      </c>
      <c r="AC70" s="12">
        <f t="shared" si="50"/>
        <v>2200880</v>
      </c>
      <c r="AD70" s="12">
        <f t="shared" si="50"/>
        <v>2200880</v>
      </c>
      <c r="AE70" s="12">
        <f t="shared" si="50"/>
        <v>2200880</v>
      </c>
      <c r="AF70" s="12">
        <f t="shared" si="50"/>
        <v>2200880</v>
      </c>
      <c r="AG70" s="12">
        <f t="shared" si="50"/>
        <v>2200880</v>
      </c>
      <c r="AH70" s="12">
        <f t="shared" si="50"/>
        <v>2200880</v>
      </c>
      <c r="AI70" s="12">
        <f t="shared" si="50"/>
        <v>2200880</v>
      </c>
      <c r="AJ70" s="12">
        <f t="shared" si="50"/>
        <v>2200880</v>
      </c>
      <c r="AK70" s="12">
        <f t="shared" si="50"/>
        <v>2200880</v>
      </c>
      <c r="AL70" s="12">
        <f t="shared" si="50"/>
        <v>2200880</v>
      </c>
      <c r="AM70" s="12">
        <f t="shared" si="50"/>
        <v>2200880</v>
      </c>
      <c r="AN70" s="12">
        <f t="shared" si="50"/>
        <v>2200880</v>
      </c>
      <c r="AO70" s="12">
        <f t="shared" si="50"/>
        <v>2200880</v>
      </c>
      <c r="AP70" s="30">
        <f t="shared" si="50"/>
        <v>2200880</v>
      </c>
    </row>
    <row r="71" spans="1:42">
      <c r="A71" s="93" t="s">
        <v>83</v>
      </c>
      <c r="B71" s="12"/>
      <c r="C71" s="12"/>
      <c r="D71" s="12"/>
      <c r="E71" s="12"/>
      <c r="F71" s="12"/>
      <c r="G71" s="12"/>
      <c r="H71" s="12"/>
      <c r="I71" s="12"/>
      <c r="J71" s="12"/>
      <c r="K71" s="12">
        <f t="shared" ref="K71:AP71" si="51">K61*$B$83</f>
        <v>0</v>
      </c>
      <c r="L71" s="12">
        <f t="shared" si="51"/>
        <v>0</v>
      </c>
      <c r="M71" s="12">
        <f t="shared" si="51"/>
        <v>0</v>
      </c>
      <c r="N71" s="12">
        <f t="shared" si="51"/>
        <v>0</v>
      </c>
      <c r="O71" s="12">
        <f t="shared" si="51"/>
        <v>0</v>
      </c>
      <c r="P71" s="12">
        <f t="shared" si="51"/>
        <v>0</v>
      </c>
      <c r="Q71" s="12">
        <f t="shared" si="51"/>
        <v>0</v>
      </c>
      <c r="R71" s="12">
        <f t="shared" si="51"/>
        <v>0</v>
      </c>
      <c r="S71" s="12">
        <f t="shared" si="51"/>
        <v>0</v>
      </c>
      <c r="T71" s="12">
        <f t="shared" si="51"/>
        <v>0</v>
      </c>
      <c r="U71" s="12">
        <f t="shared" si="51"/>
        <v>0</v>
      </c>
      <c r="V71" s="12">
        <f t="shared" si="51"/>
        <v>0</v>
      </c>
      <c r="W71" s="12">
        <f t="shared" si="51"/>
        <v>0</v>
      </c>
      <c r="X71" s="12">
        <f t="shared" si="51"/>
        <v>0</v>
      </c>
      <c r="Y71" s="12">
        <f t="shared" si="51"/>
        <v>0</v>
      </c>
      <c r="Z71" s="12">
        <f t="shared" si="51"/>
        <v>0</v>
      </c>
      <c r="AA71" s="12">
        <f t="shared" si="51"/>
        <v>0</v>
      </c>
      <c r="AB71" s="12">
        <f t="shared" si="51"/>
        <v>0</v>
      </c>
      <c r="AC71" s="12">
        <f t="shared" si="51"/>
        <v>0</v>
      </c>
      <c r="AD71" s="12">
        <f t="shared" si="51"/>
        <v>0</v>
      </c>
      <c r="AE71" s="12">
        <f t="shared" si="51"/>
        <v>0</v>
      </c>
      <c r="AF71" s="12">
        <f t="shared" si="51"/>
        <v>0</v>
      </c>
      <c r="AG71" s="12">
        <f t="shared" si="51"/>
        <v>0</v>
      </c>
      <c r="AH71" s="12">
        <f t="shared" si="51"/>
        <v>0</v>
      </c>
      <c r="AI71" s="12">
        <f t="shared" si="51"/>
        <v>0</v>
      </c>
      <c r="AJ71" s="12">
        <f t="shared" si="51"/>
        <v>0</v>
      </c>
      <c r="AK71" s="12">
        <f t="shared" si="51"/>
        <v>0</v>
      </c>
      <c r="AL71" s="12">
        <f t="shared" si="51"/>
        <v>0</v>
      </c>
      <c r="AM71" s="12">
        <f t="shared" si="51"/>
        <v>0</v>
      </c>
      <c r="AN71" s="12">
        <f t="shared" si="51"/>
        <v>0</v>
      </c>
      <c r="AO71" s="12">
        <f t="shared" si="51"/>
        <v>0</v>
      </c>
      <c r="AP71" s="30">
        <f t="shared" si="51"/>
        <v>0</v>
      </c>
    </row>
    <row r="72" spans="1:42">
      <c r="A72" s="93" t="s">
        <v>84</v>
      </c>
      <c r="B72" s="12"/>
      <c r="C72" s="12"/>
      <c r="D72" s="12"/>
      <c r="E72" s="12"/>
      <c r="F72" s="12"/>
      <c r="G72" s="12"/>
      <c r="H72" s="12"/>
      <c r="I72" s="12"/>
      <c r="J72" s="12"/>
      <c r="K72" s="12">
        <f t="shared" ref="K72:AP72" si="52">K62*$B$84</f>
        <v>0</v>
      </c>
      <c r="L72" s="12">
        <f t="shared" si="52"/>
        <v>0</v>
      </c>
      <c r="M72" s="12">
        <f t="shared" si="52"/>
        <v>600000</v>
      </c>
      <c r="N72" s="12">
        <f t="shared" si="52"/>
        <v>600000</v>
      </c>
      <c r="O72" s="12">
        <f t="shared" si="52"/>
        <v>600000</v>
      </c>
      <c r="P72" s="12">
        <f t="shared" si="52"/>
        <v>6190000</v>
      </c>
      <c r="Q72" s="12">
        <f t="shared" si="52"/>
        <v>6190000</v>
      </c>
      <c r="R72" s="12">
        <f t="shared" si="52"/>
        <v>6190000</v>
      </c>
      <c r="S72" s="12">
        <f t="shared" si="52"/>
        <v>6190000</v>
      </c>
      <c r="T72" s="12">
        <f t="shared" si="52"/>
        <v>21300000</v>
      </c>
      <c r="U72" s="12">
        <f t="shared" si="52"/>
        <v>21300000</v>
      </c>
      <c r="V72" s="12">
        <f t="shared" si="52"/>
        <v>22592000</v>
      </c>
      <c r="W72" s="12">
        <f t="shared" si="52"/>
        <v>24352000</v>
      </c>
      <c r="X72" s="12">
        <f t="shared" si="52"/>
        <v>24352000</v>
      </c>
      <c r="Y72" s="12">
        <f t="shared" si="52"/>
        <v>24352000</v>
      </c>
      <c r="Z72" s="12">
        <f t="shared" si="52"/>
        <v>24352000</v>
      </c>
      <c r="AA72" s="12">
        <f t="shared" si="52"/>
        <v>26444000</v>
      </c>
      <c r="AB72" s="12">
        <f t="shared" si="52"/>
        <v>28536000</v>
      </c>
      <c r="AC72" s="12">
        <f t="shared" si="52"/>
        <v>29732000</v>
      </c>
      <c r="AD72" s="12">
        <f t="shared" si="52"/>
        <v>29732000</v>
      </c>
      <c r="AE72" s="12">
        <f t="shared" si="52"/>
        <v>29732000</v>
      </c>
      <c r="AF72" s="12">
        <f t="shared" si="52"/>
        <v>30948720</v>
      </c>
      <c r="AG72" s="12">
        <f t="shared" si="52"/>
        <v>30948720</v>
      </c>
      <c r="AH72" s="12">
        <f t="shared" si="52"/>
        <v>30948720</v>
      </c>
      <c r="AI72" s="12">
        <f t="shared" si="52"/>
        <v>30948720</v>
      </c>
      <c r="AJ72" s="12">
        <f t="shared" si="52"/>
        <v>30948720</v>
      </c>
      <c r="AK72" s="12">
        <f t="shared" si="52"/>
        <v>35348720</v>
      </c>
      <c r="AL72" s="12">
        <f t="shared" si="52"/>
        <v>35348720</v>
      </c>
      <c r="AM72" s="12">
        <f t="shared" si="52"/>
        <v>35348720</v>
      </c>
      <c r="AN72" s="12">
        <f t="shared" si="52"/>
        <v>35348720</v>
      </c>
      <c r="AO72" s="12">
        <f t="shared" si="52"/>
        <v>42308720</v>
      </c>
      <c r="AP72" s="30">
        <f t="shared" si="52"/>
        <v>42308720</v>
      </c>
    </row>
    <row r="73" spans="1:42">
      <c r="A73" s="93" t="s">
        <v>85</v>
      </c>
      <c r="B73" s="12"/>
      <c r="C73" s="12"/>
      <c r="D73" s="12"/>
      <c r="E73" s="12"/>
      <c r="F73" s="12"/>
      <c r="G73" s="12"/>
      <c r="H73" s="12"/>
      <c r="I73" s="12"/>
      <c r="J73" s="12"/>
      <c r="K73" s="12">
        <f t="shared" ref="K73:AP73" si="53">K63*$B$85</f>
        <v>0</v>
      </c>
      <c r="L73" s="12">
        <f t="shared" si="53"/>
        <v>0</v>
      </c>
      <c r="M73" s="12">
        <f t="shared" si="53"/>
        <v>0</v>
      </c>
      <c r="N73" s="12">
        <f t="shared" si="53"/>
        <v>0</v>
      </c>
      <c r="O73" s="12">
        <f t="shared" si="53"/>
        <v>0</v>
      </c>
      <c r="P73" s="12">
        <f t="shared" si="53"/>
        <v>0</v>
      </c>
      <c r="Q73" s="12">
        <f t="shared" si="53"/>
        <v>0</v>
      </c>
      <c r="R73" s="12">
        <f t="shared" si="53"/>
        <v>0</v>
      </c>
      <c r="S73" s="12">
        <f t="shared" si="53"/>
        <v>0</v>
      </c>
      <c r="T73" s="12">
        <f t="shared" si="53"/>
        <v>0</v>
      </c>
      <c r="U73" s="12">
        <f t="shared" si="53"/>
        <v>0</v>
      </c>
      <c r="V73" s="12">
        <f t="shared" si="53"/>
        <v>0</v>
      </c>
      <c r="W73" s="12">
        <f t="shared" si="53"/>
        <v>0</v>
      </c>
      <c r="X73" s="12">
        <f t="shared" si="53"/>
        <v>0</v>
      </c>
      <c r="Y73" s="12">
        <f t="shared" si="53"/>
        <v>0</v>
      </c>
      <c r="Z73" s="12">
        <f t="shared" si="53"/>
        <v>0</v>
      </c>
      <c r="AA73" s="12">
        <f t="shared" si="53"/>
        <v>0</v>
      </c>
      <c r="AB73" s="12">
        <f t="shared" si="53"/>
        <v>0</v>
      </c>
      <c r="AC73" s="12">
        <f t="shared" si="53"/>
        <v>0</v>
      </c>
      <c r="AD73" s="12">
        <f t="shared" si="53"/>
        <v>0</v>
      </c>
      <c r="AE73" s="12">
        <f t="shared" si="53"/>
        <v>0</v>
      </c>
      <c r="AF73" s="12">
        <f t="shared" si="53"/>
        <v>0</v>
      </c>
      <c r="AG73" s="12">
        <f t="shared" si="53"/>
        <v>0</v>
      </c>
      <c r="AH73" s="12">
        <f t="shared" si="53"/>
        <v>0</v>
      </c>
      <c r="AI73" s="12">
        <f t="shared" si="53"/>
        <v>0</v>
      </c>
      <c r="AJ73" s="12">
        <f t="shared" si="53"/>
        <v>0</v>
      </c>
      <c r="AK73" s="12">
        <f t="shared" si="53"/>
        <v>0</v>
      </c>
      <c r="AL73" s="12">
        <f t="shared" si="53"/>
        <v>0</v>
      </c>
      <c r="AM73" s="12">
        <f t="shared" si="53"/>
        <v>0</v>
      </c>
      <c r="AN73" s="12">
        <f t="shared" si="53"/>
        <v>0</v>
      </c>
      <c r="AO73" s="12">
        <f t="shared" si="53"/>
        <v>0</v>
      </c>
      <c r="AP73" s="30">
        <f t="shared" si="53"/>
        <v>0</v>
      </c>
    </row>
    <row r="74" spans="1:42">
      <c r="A74" s="93" t="s">
        <v>86</v>
      </c>
      <c r="B74" s="12"/>
      <c r="C74" s="12"/>
      <c r="D74" s="12"/>
      <c r="E74" s="12"/>
      <c r="F74" s="12"/>
      <c r="G74" s="12"/>
      <c r="H74" s="12"/>
      <c r="I74" s="12"/>
      <c r="J74" s="12"/>
      <c r="K74" s="12">
        <f t="shared" ref="K74:AP74" si="54">K64*$B$86</f>
        <v>0</v>
      </c>
      <c r="L74" s="12">
        <f t="shared" si="54"/>
        <v>0</v>
      </c>
      <c r="M74" s="12">
        <f t="shared" si="54"/>
        <v>0</v>
      </c>
      <c r="N74" s="12">
        <f t="shared" si="54"/>
        <v>0</v>
      </c>
      <c r="O74" s="12">
        <f t="shared" si="54"/>
        <v>0</v>
      </c>
      <c r="P74" s="12">
        <f t="shared" si="54"/>
        <v>0</v>
      </c>
      <c r="Q74" s="12">
        <f t="shared" si="54"/>
        <v>0</v>
      </c>
      <c r="R74" s="12">
        <f t="shared" si="54"/>
        <v>0</v>
      </c>
      <c r="S74" s="12">
        <f t="shared" si="54"/>
        <v>0</v>
      </c>
      <c r="T74" s="12">
        <f t="shared" si="54"/>
        <v>0</v>
      </c>
      <c r="U74" s="12">
        <f t="shared" si="54"/>
        <v>0</v>
      </c>
      <c r="V74" s="12">
        <f t="shared" si="54"/>
        <v>0</v>
      </c>
      <c r="W74" s="12">
        <f t="shared" si="54"/>
        <v>0</v>
      </c>
      <c r="X74" s="12">
        <f t="shared" si="54"/>
        <v>10800000</v>
      </c>
      <c r="Y74" s="12">
        <f t="shared" si="54"/>
        <v>10800000</v>
      </c>
      <c r="Z74" s="12">
        <f t="shared" si="54"/>
        <v>10800000</v>
      </c>
      <c r="AA74" s="12">
        <f t="shared" si="54"/>
        <v>10800000</v>
      </c>
      <c r="AB74" s="12">
        <f t="shared" si="54"/>
        <v>10800000</v>
      </c>
      <c r="AC74" s="12">
        <f t="shared" si="54"/>
        <v>10800000</v>
      </c>
      <c r="AD74" s="12">
        <f t="shared" si="54"/>
        <v>10800000</v>
      </c>
      <c r="AE74" s="12">
        <f t="shared" si="54"/>
        <v>10800000</v>
      </c>
      <c r="AF74" s="12">
        <f t="shared" si="54"/>
        <v>10800000</v>
      </c>
      <c r="AG74" s="12">
        <f t="shared" si="54"/>
        <v>10800000</v>
      </c>
      <c r="AH74" s="12">
        <f t="shared" si="54"/>
        <v>10800000</v>
      </c>
      <c r="AI74" s="12">
        <f t="shared" si="54"/>
        <v>10800000</v>
      </c>
      <c r="AJ74" s="12">
        <f t="shared" si="54"/>
        <v>10800000</v>
      </c>
      <c r="AK74" s="12">
        <f t="shared" si="54"/>
        <v>10800000</v>
      </c>
      <c r="AL74" s="12">
        <f t="shared" si="54"/>
        <v>10800000</v>
      </c>
      <c r="AM74" s="12">
        <f t="shared" si="54"/>
        <v>10800000</v>
      </c>
      <c r="AN74" s="12">
        <f t="shared" si="54"/>
        <v>10800000</v>
      </c>
      <c r="AO74" s="12">
        <f t="shared" si="54"/>
        <v>10800000</v>
      </c>
      <c r="AP74" s="30">
        <f t="shared" si="54"/>
        <v>10800000</v>
      </c>
    </row>
    <row r="75" spans="1:42" ht="15.75" customHeight="1">
      <c r="A75" s="96" t="s">
        <v>30</v>
      </c>
      <c r="B75" s="38">
        <f t="shared" ref="B75:AP75" si="55">SUM(B68:B74)</f>
        <v>179849000</v>
      </c>
      <c r="C75" s="38">
        <f t="shared" si="55"/>
        <v>179849000</v>
      </c>
      <c r="D75" s="38">
        <f t="shared" si="55"/>
        <v>179849000</v>
      </c>
      <c r="E75" s="38">
        <f t="shared" si="55"/>
        <v>179849000</v>
      </c>
      <c r="F75" s="38">
        <f t="shared" si="55"/>
        <v>179849000</v>
      </c>
      <c r="G75" s="38">
        <f t="shared" si="55"/>
        <v>179849000</v>
      </c>
      <c r="H75" s="38">
        <f t="shared" si="55"/>
        <v>179849000</v>
      </c>
      <c r="I75" s="38">
        <f t="shared" si="55"/>
        <v>179849000</v>
      </c>
      <c r="J75" s="38">
        <f t="shared" si="55"/>
        <v>179849000</v>
      </c>
      <c r="K75" s="38">
        <f t="shared" si="55"/>
        <v>179849000</v>
      </c>
      <c r="L75" s="38">
        <f t="shared" si="55"/>
        <v>179849000</v>
      </c>
      <c r="M75" s="38">
        <f t="shared" si="55"/>
        <v>179230700.91019192</v>
      </c>
      <c r="N75" s="38">
        <f t="shared" si="55"/>
        <v>179230700.91019192</v>
      </c>
      <c r="O75" s="38">
        <f t="shared" si="55"/>
        <v>179230700.91019192</v>
      </c>
      <c r="P75" s="38">
        <f t="shared" si="55"/>
        <v>184820700.91019192</v>
      </c>
      <c r="Q75" s="38">
        <f t="shared" si="55"/>
        <v>184820700.91019192</v>
      </c>
      <c r="R75" s="38">
        <f t="shared" si="55"/>
        <v>184820700.91019192</v>
      </c>
      <c r="S75" s="38">
        <f t="shared" si="55"/>
        <v>179423289.29164171</v>
      </c>
      <c r="T75" s="38">
        <f t="shared" si="55"/>
        <v>184753670.28052062</v>
      </c>
      <c r="U75" s="38">
        <f t="shared" si="55"/>
        <v>184753670.28052062</v>
      </c>
      <c r="V75" s="38">
        <f t="shared" si="55"/>
        <v>184624321.34241119</v>
      </c>
      <c r="W75" s="38">
        <f t="shared" si="55"/>
        <v>184470558.0630939</v>
      </c>
      <c r="X75" s="38">
        <f t="shared" si="55"/>
        <v>186974784.37046847</v>
      </c>
      <c r="Y75" s="38">
        <f t="shared" si="55"/>
        <v>186974784.37046847</v>
      </c>
      <c r="Z75" s="38">
        <f t="shared" si="55"/>
        <v>175729310.71660143</v>
      </c>
      <c r="AA75" s="38">
        <f t="shared" si="55"/>
        <v>177821310.71660143</v>
      </c>
      <c r="AB75" s="38">
        <f t="shared" si="55"/>
        <v>179913310.71660143</v>
      </c>
      <c r="AC75" s="38">
        <f t="shared" si="55"/>
        <v>181109310.71660143</v>
      </c>
      <c r="AD75" s="38">
        <f t="shared" si="55"/>
        <v>181109310.71660143</v>
      </c>
      <c r="AE75" s="38">
        <f t="shared" si="55"/>
        <v>181109310.71660143</v>
      </c>
      <c r="AF75" s="38">
        <f t="shared" si="55"/>
        <v>181155282.2094501</v>
      </c>
      <c r="AG75" s="38">
        <f t="shared" si="55"/>
        <v>181155282.2094501</v>
      </c>
      <c r="AH75" s="38">
        <f t="shared" si="55"/>
        <v>181155282.2094501</v>
      </c>
      <c r="AI75" s="38">
        <f t="shared" si="55"/>
        <v>181155282.2094501</v>
      </c>
      <c r="AJ75" s="38">
        <f t="shared" si="55"/>
        <v>181155282.2094501</v>
      </c>
      <c r="AK75" s="38">
        <f t="shared" si="55"/>
        <v>185555282.2094501</v>
      </c>
      <c r="AL75" s="38">
        <f t="shared" si="55"/>
        <v>185555282.2094501</v>
      </c>
      <c r="AM75" s="38">
        <f t="shared" si="55"/>
        <v>185555282.2094501</v>
      </c>
      <c r="AN75" s="38">
        <f t="shared" si="55"/>
        <v>185555282.2094501</v>
      </c>
      <c r="AO75" s="38">
        <f t="shared" si="55"/>
        <v>192515282.2094501</v>
      </c>
      <c r="AP75" s="39">
        <f t="shared" si="55"/>
        <v>192515282.2094501</v>
      </c>
    </row>
    <row r="76" spans="1:42" ht="15.75" customHeight="1">
      <c r="A76" s="66"/>
      <c r="B76" s="40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</row>
    <row r="77" spans="1:42" ht="15.75" customHeight="1">
      <c r="A77" s="41" t="s">
        <v>31</v>
      </c>
      <c r="B77" s="40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</row>
    <row r="78" spans="1:42" ht="15.75" customHeight="1">
      <c r="A78" s="57" t="s">
        <v>32</v>
      </c>
      <c r="B78" s="42">
        <f>(131543*1000)/B50</f>
        <v>85.514875049325624</v>
      </c>
      <c r="C78" s="66"/>
      <c r="D78" s="43" t="s">
        <v>33</v>
      </c>
      <c r="E78" s="44"/>
      <c r="F78" s="44"/>
      <c r="G78" s="45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</row>
    <row r="79" spans="1:42">
      <c r="A79" s="47" t="s">
        <v>34</v>
      </c>
      <c r="B79" s="46">
        <f>(48306*1000)/B50</f>
        <v>31.403279187282667</v>
      </c>
      <c r="C79" s="66"/>
      <c r="D79" s="47" t="s">
        <v>5</v>
      </c>
      <c r="E79" s="48">
        <f t="shared" ref="E79:G79" si="56">I32/I39</f>
        <v>7.1055077852660931E-3</v>
      </c>
      <c r="F79" s="48">
        <f t="shared" si="56"/>
        <v>7.0412640771242698E-3</v>
      </c>
      <c r="G79" s="49">
        <f t="shared" si="56"/>
        <v>6.8805095707562035E-3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</row>
    <row r="80" spans="1:42">
      <c r="A80" s="47" t="s">
        <v>35</v>
      </c>
      <c r="B80" s="46">
        <f>B54</f>
        <v>116.91815423660829</v>
      </c>
      <c r="C80" s="66"/>
      <c r="D80" s="47" t="s">
        <v>36</v>
      </c>
      <c r="E80" s="50">
        <f t="shared" ref="E80:G80" si="57">I33/I39</f>
        <v>9.2958401115500813E-3</v>
      </c>
      <c r="F80" s="50">
        <f t="shared" si="57"/>
        <v>8.6462183602446889E-3</v>
      </c>
      <c r="G80" s="51">
        <f t="shared" si="57"/>
        <v>8.6957466928988363E-3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</row>
    <row r="81" spans="1:42" ht="15.75" customHeight="1">
      <c r="A81" s="47" t="s">
        <v>87</v>
      </c>
      <c r="B81" s="46">
        <v>80</v>
      </c>
      <c r="C81" s="66"/>
      <c r="D81" s="52" t="s">
        <v>38</v>
      </c>
      <c r="E81" s="53">
        <f t="shared" ref="E81:G81" si="58">I34/I39</f>
        <v>1.6837090402045087E-2</v>
      </c>
      <c r="F81" s="53">
        <f t="shared" si="58"/>
        <v>1.609277392300543E-2</v>
      </c>
      <c r="G81" s="54">
        <f t="shared" si="58"/>
        <v>1.5983869389884674E-2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</row>
    <row r="82" spans="1:42" ht="15.75" customHeight="1">
      <c r="A82" s="47" t="s">
        <v>88</v>
      </c>
      <c r="B82" s="46">
        <v>80</v>
      </c>
      <c r="C82" s="66"/>
      <c r="D82" s="2"/>
      <c r="E82" s="55"/>
      <c r="F82" s="55"/>
      <c r="G82" s="55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</row>
    <row r="83" spans="1:42">
      <c r="A83" s="47" t="s">
        <v>89</v>
      </c>
      <c r="B83" s="46">
        <v>80</v>
      </c>
      <c r="C83" s="66"/>
      <c r="D83" s="2"/>
      <c r="E83" s="55"/>
      <c r="F83" s="55"/>
      <c r="G83" s="55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</row>
    <row r="84" spans="1:42">
      <c r="A84" s="47" t="s">
        <v>90</v>
      </c>
      <c r="B84" s="46">
        <v>80</v>
      </c>
      <c r="C84" s="66"/>
      <c r="D84" s="2"/>
      <c r="E84" s="55"/>
      <c r="F84" s="55"/>
      <c r="G84" s="55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</row>
    <row r="85" spans="1:42">
      <c r="A85" s="47" t="s">
        <v>91</v>
      </c>
      <c r="B85" s="46">
        <f>B80*2.5</f>
        <v>292.2953855915207</v>
      </c>
      <c r="C85" s="66"/>
      <c r="D85" s="2"/>
      <c r="E85" s="55"/>
      <c r="F85" s="55"/>
      <c r="G85" s="55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</row>
    <row r="86" spans="1:42">
      <c r="A86" s="47" t="s">
        <v>92</v>
      </c>
      <c r="B86" s="46">
        <v>80</v>
      </c>
      <c r="C86" s="66"/>
      <c r="D86" s="2"/>
      <c r="E86" s="55"/>
      <c r="F86" s="55"/>
      <c r="G86" s="55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</row>
    <row r="87" spans="1:42">
      <c r="A87" s="47" t="s">
        <v>39</v>
      </c>
      <c r="B87" s="49">
        <f>B78/B80</f>
        <v>0.73140801450105364</v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</row>
    <row r="88" spans="1:42" ht="15.75" customHeight="1">
      <c r="A88" s="47" t="s">
        <v>40</v>
      </c>
      <c r="B88" s="49">
        <f>B79/B80</f>
        <v>0.26859198549894636</v>
      </c>
      <c r="C88" s="66"/>
      <c r="D88" s="66"/>
      <c r="E88" s="66"/>
      <c r="F88" s="7">
        <v>2009</v>
      </c>
      <c r="G88" s="4">
        <v>2010</v>
      </c>
      <c r="H88" s="4">
        <v>2011</v>
      </c>
      <c r="I88" s="4">
        <v>2012</v>
      </c>
      <c r="J88" s="4">
        <v>2013</v>
      </c>
      <c r="K88" s="4">
        <v>2014</v>
      </c>
      <c r="L88" s="4">
        <v>2015</v>
      </c>
      <c r="M88" s="4">
        <v>2016</v>
      </c>
      <c r="N88" s="4">
        <v>2017</v>
      </c>
      <c r="O88" s="4">
        <v>2018</v>
      </c>
      <c r="P88" s="4">
        <v>2019</v>
      </c>
      <c r="Q88" s="4">
        <v>2020</v>
      </c>
      <c r="R88" s="4">
        <v>2021</v>
      </c>
      <c r="S88" s="4">
        <v>2022</v>
      </c>
      <c r="T88" s="4">
        <v>2023</v>
      </c>
      <c r="U88" s="4">
        <v>2024</v>
      </c>
      <c r="V88" s="4">
        <v>2025</v>
      </c>
      <c r="W88" s="4">
        <v>2026</v>
      </c>
      <c r="X88" s="4">
        <v>2027</v>
      </c>
      <c r="Y88" s="4">
        <v>2028</v>
      </c>
      <c r="Z88" s="4">
        <v>2029</v>
      </c>
      <c r="AA88" s="4">
        <v>2030</v>
      </c>
      <c r="AB88" s="4">
        <v>2031</v>
      </c>
      <c r="AC88" s="4">
        <v>2032</v>
      </c>
      <c r="AD88" s="4">
        <v>2033</v>
      </c>
      <c r="AE88" s="4">
        <v>2034</v>
      </c>
      <c r="AF88" s="4">
        <v>2035</v>
      </c>
      <c r="AG88" s="4">
        <v>2036</v>
      </c>
      <c r="AH88" s="4">
        <v>2037</v>
      </c>
      <c r="AI88" s="4">
        <v>2038</v>
      </c>
      <c r="AJ88" s="4">
        <v>2039</v>
      </c>
      <c r="AK88" s="4">
        <v>2040</v>
      </c>
      <c r="AL88" s="66"/>
      <c r="AM88" s="66"/>
      <c r="AN88" s="66"/>
      <c r="AO88" s="66"/>
      <c r="AP88" s="66"/>
    </row>
    <row r="89" spans="1:42" ht="15.75" customHeight="1">
      <c r="A89" s="47" t="s">
        <v>41</v>
      </c>
      <c r="B89" s="56">
        <f>K31/(B75*B87)</f>
        <v>5.7030780809317106E-5</v>
      </c>
      <c r="C89" s="66"/>
      <c r="D89" s="57"/>
      <c r="E89" s="23"/>
      <c r="F89" s="58" t="s">
        <v>42</v>
      </c>
      <c r="G89" s="23"/>
      <c r="H89" s="23"/>
      <c r="I89" s="23"/>
      <c r="J89" s="59"/>
      <c r="K89" s="60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61"/>
      <c r="AK89" s="66"/>
      <c r="AL89" s="66"/>
      <c r="AM89" s="66"/>
      <c r="AN89" s="66"/>
      <c r="AO89" s="66"/>
      <c r="AP89" s="66"/>
    </row>
    <row r="90" spans="1:42">
      <c r="A90" s="47" t="s">
        <v>43</v>
      </c>
      <c r="B90" s="56">
        <f>K35/(B75*B88)</f>
        <v>1.7738997226017471E-4</v>
      </c>
      <c r="C90" s="66"/>
      <c r="D90" s="47" t="s">
        <v>44</v>
      </c>
      <c r="E90" s="2" t="s">
        <v>45</v>
      </c>
      <c r="F90" s="62">
        <f t="shared" ref="F90:AJ90" si="59">(L31+L32+L33+L34+L36+L37)*4.5</f>
        <v>39695.4</v>
      </c>
      <c r="G90" s="62">
        <f t="shared" si="59"/>
        <v>39585.628809187489</v>
      </c>
      <c r="H90" s="62">
        <f t="shared" si="59"/>
        <v>39574.179255690557</v>
      </c>
      <c r="I90" s="62">
        <f t="shared" si="59"/>
        <v>39574.179255690557</v>
      </c>
      <c r="J90" s="62">
        <f t="shared" si="59"/>
        <v>40681.531147097303</v>
      </c>
      <c r="K90" s="62">
        <f t="shared" si="59"/>
        <v>40681.531147097303</v>
      </c>
      <c r="L90" s="62">
        <f t="shared" si="59"/>
        <v>40681.531147097303</v>
      </c>
      <c r="M90" s="62">
        <f t="shared" si="59"/>
        <v>39636.593754977468</v>
      </c>
      <c r="N90" s="62">
        <f t="shared" si="59"/>
        <v>40724.593747481333</v>
      </c>
      <c r="O90" s="62">
        <f t="shared" si="59"/>
        <v>40724.593747481333</v>
      </c>
      <c r="P90" s="62">
        <f t="shared" si="59"/>
        <v>40713.734874894813</v>
      </c>
      <c r="Q90" s="62">
        <f t="shared" si="59"/>
        <v>40703.154684685571</v>
      </c>
      <c r="R90" s="62">
        <f t="shared" si="59"/>
        <v>41234.597903465838</v>
      </c>
      <c r="S90" s="62">
        <f t="shared" si="59"/>
        <v>41234.597903465838</v>
      </c>
      <c r="T90" s="62">
        <f t="shared" si="59"/>
        <v>39069.501532261173</v>
      </c>
      <c r="U90" s="62">
        <f t="shared" si="59"/>
        <v>39483.916587148989</v>
      </c>
      <c r="V90" s="62">
        <f t="shared" si="59"/>
        <v>39898.331642036814</v>
      </c>
      <c r="W90" s="62">
        <f t="shared" si="59"/>
        <v>40135.253442058718</v>
      </c>
      <c r="X90" s="62">
        <f t="shared" si="59"/>
        <v>40135.253442058718</v>
      </c>
      <c r="Y90" s="62">
        <f t="shared" si="59"/>
        <v>40135.253442058718</v>
      </c>
      <c r="Z90" s="62">
        <f t="shared" si="59"/>
        <v>40156.521538341367</v>
      </c>
      <c r="AA90" s="62">
        <f t="shared" si="59"/>
        <v>40156.521538341367</v>
      </c>
      <c r="AB90" s="62">
        <f t="shared" si="59"/>
        <v>40156.521538341367</v>
      </c>
      <c r="AC90" s="62">
        <f t="shared" si="59"/>
        <v>40156.521538341367</v>
      </c>
      <c r="AD90" s="62">
        <f t="shared" si="59"/>
        <v>40156.521538341367</v>
      </c>
      <c r="AE90" s="62">
        <f t="shared" si="59"/>
        <v>41028.140200629336</v>
      </c>
      <c r="AF90" s="62">
        <f t="shared" si="59"/>
        <v>41028.140200629336</v>
      </c>
      <c r="AG90" s="62">
        <f t="shared" si="59"/>
        <v>41028.140200629336</v>
      </c>
      <c r="AH90" s="62">
        <f t="shared" si="59"/>
        <v>41028.140200629336</v>
      </c>
      <c r="AI90" s="62">
        <f t="shared" si="59"/>
        <v>42406.882448248471</v>
      </c>
      <c r="AJ90" s="63">
        <f t="shared" si="59"/>
        <v>42406.882448248471</v>
      </c>
      <c r="AK90" s="66"/>
      <c r="AL90" s="66"/>
      <c r="AM90" s="66"/>
      <c r="AN90" s="66"/>
      <c r="AO90" s="66"/>
      <c r="AP90" s="66"/>
    </row>
    <row r="91" spans="1:42">
      <c r="A91" s="47"/>
      <c r="B91" s="32"/>
      <c r="C91" s="66"/>
      <c r="D91" s="47"/>
      <c r="E91" s="2" t="s">
        <v>46</v>
      </c>
      <c r="F91" s="62">
        <f t="shared" ref="F91:AJ91" si="60">(L35/0.682)*3</f>
        <v>365.10263929618765</v>
      </c>
      <c r="G91" s="62">
        <f t="shared" si="60"/>
        <v>363.08276545825925</v>
      </c>
      <c r="H91" s="62">
        <f t="shared" si="60"/>
        <v>363.08276545825925</v>
      </c>
      <c r="I91" s="62">
        <f t="shared" si="60"/>
        <v>363.08276545825925</v>
      </c>
      <c r="J91" s="62">
        <f t="shared" si="60"/>
        <v>364.57169779150769</v>
      </c>
      <c r="K91" s="62">
        <f t="shared" si="60"/>
        <v>364.57169779150769</v>
      </c>
      <c r="L91" s="62">
        <f t="shared" si="60"/>
        <v>364.57169779150769</v>
      </c>
      <c r="M91" s="62">
        <f t="shared" si="60"/>
        <v>363.85684690486619</v>
      </c>
      <c r="N91" s="62">
        <f t="shared" si="60"/>
        <v>363.71960307516122</v>
      </c>
      <c r="O91" s="62">
        <f t="shared" si="60"/>
        <v>363.71960307516122</v>
      </c>
      <c r="P91" s="62">
        <f t="shared" si="60"/>
        <v>363.00304275589315</v>
      </c>
      <c r="Q91" s="62">
        <f t="shared" si="60"/>
        <v>365.96727084914886</v>
      </c>
      <c r="R91" s="62">
        <f t="shared" si="60"/>
        <v>362.95485197294835</v>
      </c>
      <c r="S91" s="62">
        <f t="shared" si="60"/>
        <v>362.95485197294835</v>
      </c>
      <c r="T91" s="62">
        <f t="shared" si="60"/>
        <v>363.85003744076704</v>
      </c>
      <c r="U91" s="62">
        <f t="shared" si="60"/>
        <v>366.81677351452493</v>
      </c>
      <c r="V91" s="62">
        <f t="shared" si="60"/>
        <v>365.38468260881064</v>
      </c>
      <c r="W91" s="62">
        <f t="shared" si="60"/>
        <v>365.31451132843165</v>
      </c>
      <c r="X91" s="62">
        <f t="shared" si="60"/>
        <v>365.31451132843165</v>
      </c>
      <c r="Y91" s="62">
        <f t="shared" si="60"/>
        <v>365.31451132843165</v>
      </c>
      <c r="Z91" s="62">
        <f t="shared" si="60"/>
        <v>366.15176604353701</v>
      </c>
      <c r="AA91" s="62">
        <f t="shared" si="60"/>
        <v>366.15176604353701</v>
      </c>
      <c r="AB91" s="62">
        <f t="shared" si="60"/>
        <v>366.15176604353701</v>
      </c>
      <c r="AC91" s="62">
        <f t="shared" si="60"/>
        <v>366.15176604353701</v>
      </c>
      <c r="AD91" s="62">
        <f t="shared" si="60"/>
        <v>366.15176604353701</v>
      </c>
      <c r="AE91" s="62">
        <f t="shared" si="60"/>
        <v>364.56954919884248</v>
      </c>
      <c r="AF91" s="62">
        <f t="shared" si="60"/>
        <v>364.56954919884248</v>
      </c>
      <c r="AG91" s="62">
        <f t="shared" si="60"/>
        <v>364.56954919884248</v>
      </c>
      <c r="AH91" s="62">
        <f t="shared" si="60"/>
        <v>364.56954919884248</v>
      </c>
      <c r="AI91" s="62">
        <f t="shared" si="60"/>
        <v>367.26538352932278</v>
      </c>
      <c r="AJ91" s="63">
        <f t="shared" si="60"/>
        <v>367.26538352932278</v>
      </c>
      <c r="AK91" s="66"/>
      <c r="AL91" s="66"/>
      <c r="AM91" s="66"/>
      <c r="AN91" s="66"/>
      <c r="AO91" s="66"/>
      <c r="AP91" s="66"/>
    </row>
    <row r="92" spans="1:42">
      <c r="A92" s="47" t="s">
        <v>47</v>
      </c>
      <c r="B92" s="32">
        <f>K32/B50</f>
        <v>8.2301476940959407E-5</v>
      </c>
      <c r="C92" s="66"/>
      <c r="D92" s="47" t="s">
        <v>48</v>
      </c>
      <c r="E92" s="2" t="s">
        <v>49</v>
      </c>
      <c r="F92" s="62">
        <f t="shared" ref="F92:AJ92" si="61">(L31+L32+L33+L34+L36+L37)*16</f>
        <v>141139.20000000001</v>
      </c>
      <c r="G92" s="62">
        <f t="shared" si="61"/>
        <v>140748.90243266663</v>
      </c>
      <c r="H92" s="62">
        <f t="shared" si="61"/>
        <v>140708.19290912198</v>
      </c>
      <c r="I92" s="62">
        <f t="shared" si="61"/>
        <v>140708.19290912198</v>
      </c>
      <c r="J92" s="62">
        <f t="shared" si="61"/>
        <v>144645.44407856819</v>
      </c>
      <c r="K92" s="62">
        <f t="shared" si="61"/>
        <v>144645.44407856819</v>
      </c>
      <c r="L92" s="62">
        <f t="shared" si="61"/>
        <v>144645.44407856819</v>
      </c>
      <c r="M92" s="62">
        <f t="shared" si="61"/>
        <v>140930.11112880878</v>
      </c>
      <c r="N92" s="62">
        <f t="shared" si="61"/>
        <v>144798.55554660028</v>
      </c>
      <c r="O92" s="62">
        <f t="shared" si="61"/>
        <v>144798.55554660028</v>
      </c>
      <c r="P92" s="62">
        <f t="shared" si="61"/>
        <v>144759.94622184822</v>
      </c>
      <c r="Q92" s="62">
        <f t="shared" si="61"/>
        <v>144722.32776777091</v>
      </c>
      <c r="R92" s="62">
        <f t="shared" si="61"/>
        <v>146611.90365676742</v>
      </c>
      <c r="S92" s="62">
        <f t="shared" si="61"/>
        <v>146611.90365676742</v>
      </c>
      <c r="T92" s="62">
        <f t="shared" si="61"/>
        <v>138913.78322581749</v>
      </c>
      <c r="U92" s="62">
        <f t="shared" si="61"/>
        <v>140387.25897652973</v>
      </c>
      <c r="V92" s="62">
        <f t="shared" si="61"/>
        <v>141860.734727242</v>
      </c>
      <c r="W92" s="62">
        <f t="shared" si="61"/>
        <v>142703.12334954212</v>
      </c>
      <c r="X92" s="62">
        <f t="shared" si="61"/>
        <v>142703.12334954212</v>
      </c>
      <c r="Y92" s="62">
        <f t="shared" si="61"/>
        <v>142703.12334954212</v>
      </c>
      <c r="Z92" s="62">
        <f t="shared" si="61"/>
        <v>142778.74324743598</v>
      </c>
      <c r="AA92" s="62">
        <f t="shared" si="61"/>
        <v>142778.74324743598</v>
      </c>
      <c r="AB92" s="62">
        <f t="shared" si="61"/>
        <v>142778.74324743598</v>
      </c>
      <c r="AC92" s="62">
        <f t="shared" si="61"/>
        <v>142778.74324743598</v>
      </c>
      <c r="AD92" s="62">
        <f t="shared" si="61"/>
        <v>142778.74324743598</v>
      </c>
      <c r="AE92" s="62">
        <f t="shared" si="61"/>
        <v>145877.83182445986</v>
      </c>
      <c r="AF92" s="62">
        <f t="shared" si="61"/>
        <v>145877.83182445986</v>
      </c>
      <c r="AG92" s="62">
        <f t="shared" si="61"/>
        <v>145877.83182445986</v>
      </c>
      <c r="AH92" s="62">
        <f t="shared" si="61"/>
        <v>145877.83182445986</v>
      </c>
      <c r="AI92" s="62">
        <f t="shared" si="61"/>
        <v>150780.02648266123</v>
      </c>
      <c r="AJ92" s="63">
        <f t="shared" si="61"/>
        <v>150780.02648266123</v>
      </c>
      <c r="AK92" s="66"/>
      <c r="AL92" s="66"/>
      <c r="AM92" s="66"/>
      <c r="AN92" s="66"/>
      <c r="AO92" s="66"/>
      <c r="AP92" s="66"/>
    </row>
    <row r="93" spans="1:42" ht="15.75" customHeight="1">
      <c r="A93" s="52" t="s">
        <v>50</v>
      </c>
      <c r="B93" s="36">
        <f>K33/B50</f>
        <v>1.0401450482269753E-4</v>
      </c>
      <c r="C93" s="66"/>
      <c r="D93" s="52"/>
      <c r="E93" s="33" t="s">
        <v>46</v>
      </c>
      <c r="F93" s="64">
        <f t="shared" ref="F93:AJ93" si="62">(L35/0.682)*6</f>
        <v>730.20527859237529</v>
      </c>
      <c r="G93" s="64">
        <f t="shared" si="62"/>
        <v>726.16553091651849</v>
      </c>
      <c r="H93" s="64">
        <f t="shared" si="62"/>
        <v>726.16553091651849</v>
      </c>
      <c r="I93" s="64">
        <f t="shared" si="62"/>
        <v>726.16553091651849</v>
      </c>
      <c r="J93" s="64">
        <f t="shared" si="62"/>
        <v>729.14339558301538</v>
      </c>
      <c r="K93" s="64">
        <f t="shared" si="62"/>
        <v>729.14339558301538</v>
      </c>
      <c r="L93" s="64">
        <f t="shared" si="62"/>
        <v>729.14339558301538</v>
      </c>
      <c r="M93" s="64">
        <f t="shared" si="62"/>
        <v>727.71369380973238</v>
      </c>
      <c r="N93" s="64">
        <f t="shared" si="62"/>
        <v>727.43920615032243</v>
      </c>
      <c r="O93" s="64">
        <f t="shared" si="62"/>
        <v>727.43920615032243</v>
      </c>
      <c r="P93" s="64">
        <f t="shared" si="62"/>
        <v>726.0060855117863</v>
      </c>
      <c r="Q93" s="64">
        <f t="shared" si="62"/>
        <v>731.93454169829772</v>
      </c>
      <c r="R93" s="64">
        <f t="shared" si="62"/>
        <v>725.90970394589669</v>
      </c>
      <c r="S93" s="64">
        <f t="shared" si="62"/>
        <v>725.90970394589669</v>
      </c>
      <c r="T93" s="64">
        <f t="shared" si="62"/>
        <v>727.70007488153408</v>
      </c>
      <c r="U93" s="64">
        <f t="shared" si="62"/>
        <v>733.63354702904985</v>
      </c>
      <c r="V93" s="64">
        <f t="shared" si="62"/>
        <v>730.76936521762127</v>
      </c>
      <c r="W93" s="64">
        <f t="shared" si="62"/>
        <v>730.6290226568633</v>
      </c>
      <c r="X93" s="64">
        <f t="shared" si="62"/>
        <v>730.6290226568633</v>
      </c>
      <c r="Y93" s="64">
        <f t="shared" si="62"/>
        <v>730.6290226568633</v>
      </c>
      <c r="Z93" s="64">
        <f t="shared" si="62"/>
        <v>732.30353208707402</v>
      </c>
      <c r="AA93" s="64">
        <f t="shared" si="62"/>
        <v>732.30353208707402</v>
      </c>
      <c r="AB93" s="64">
        <f t="shared" si="62"/>
        <v>732.30353208707402</v>
      </c>
      <c r="AC93" s="64">
        <f t="shared" si="62"/>
        <v>732.30353208707402</v>
      </c>
      <c r="AD93" s="64">
        <f t="shared" si="62"/>
        <v>732.30353208707402</v>
      </c>
      <c r="AE93" s="64">
        <f t="shared" si="62"/>
        <v>729.13909839768496</v>
      </c>
      <c r="AF93" s="64">
        <f t="shared" si="62"/>
        <v>729.13909839768496</v>
      </c>
      <c r="AG93" s="64">
        <f t="shared" si="62"/>
        <v>729.13909839768496</v>
      </c>
      <c r="AH93" s="64">
        <f t="shared" si="62"/>
        <v>729.13909839768496</v>
      </c>
      <c r="AI93" s="64">
        <f t="shared" si="62"/>
        <v>734.53076705864555</v>
      </c>
      <c r="AJ93" s="65">
        <f t="shared" si="62"/>
        <v>734.53076705864555</v>
      </c>
      <c r="AK93" s="66"/>
      <c r="AL93" s="66"/>
      <c r="AM93" s="66"/>
      <c r="AN93" s="66"/>
      <c r="AO93" s="66"/>
      <c r="AP93" s="66"/>
    </row>
    <row r="94" spans="1:42" ht="15.75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</row>
    <row r="95" spans="1:42">
      <c r="A95" s="66"/>
      <c r="B95" s="66"/>
      <c r="C95" s="66"/>
      <c r="D95" s="14" t="s">
        <v>93</v>
      </c>
      <c r="E95" s="14" t="s">
        <v>94</v>
      </c>
      <c r="F95" s="14" t="s">
        <v>95</v>
      </c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</row>
    <row r="96" spans="1:42">
      <c r="A96" s="66"/>
      <c r="B96" s="66"/>
      <c r="C96" s="66"/>
      <c r="D96" s="97">
        <f>E96/(F96/1000)</f>
        <v>0.61062836516506114</v>
      </c>
      <c r="E96" s="18">
        <f>AVERAGE(I35:K35)</f>
        <v>8370.4</v>
      </c>
      <c r="F96" s="98">
        <f>AVERAGE(F97:F99)</f>
        <v>13707846.666666666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</row>
    <row r="97" spans="1:42">
      <c r="A97" s="66"/>
      <c r="B97" s="66"/>
      <c r="C97" s="66"/>
      <c r="D97" s="14"/>
      <c r="E97" s="14"/>
      <c r="F97" s="99">
        <v>13811482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</row>
    <row r="98" spans="1:42">
      <c r="A98" s="66"/>
      <c r="B98" s="66"/>
      <c r="C98" s="66"/>
      <c r="D98" s="14"/>
      <c r="E98" s="14"/>
      <c r="F98" s="99">
        <v>13275754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</row>
    <row r="99" spans="1:42">
      <c r="A99" s="66"/>
      <c r="B99" s="48"/>
      <c r="C99" s="66"/>
      <c r="D99" s="14"/>
      <c r="E99" s="14"/>
      <c r="F99" s="99">
        <v>14036304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</row>
    <row r="100" spans="1:4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</row>
    <row r="101" spans="1:4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</row>
    <row r="102" spans="1:4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</row>
    <row r="103" spans="1:4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</row>
    <row r="104" spans="1:4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</row>
    <row r="105" spans="1:4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</row>
    <row r="106" spans="1:4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</row>
    <row r="107" spans="1:4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</row>
    <row r="108" spans="1:4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</row>
    <row r="109" spans="1:4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</row>
    <row r="110" spans="1:4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</row>
    <row r="111" spans="1:4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</row>
    <row r="112" spans="1:4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</row>
    <row r="113" spans="1:4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</row>
    <row r="114" spans="1:4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</row>
    <row r="115" spans="1:4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</row>
    <row r="116" spans="1:4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</row>
    <row r="117" spans="1:4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</row>
    <row r="118" spans="1:4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</row>
    <row r="119" spans="1:4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</row>
    <row r="120" spans="1:4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</row>
    <row r="121" spans="1:4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</row>
    <row r="122" spans="1:4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</row>
    <row r="123" spans="1:4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</row>
    <row r="124" spans="1:4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</row>
    <row r="125" spans="1:4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</row>
    <row r="126" spans="1:4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</row>
    <row r="127" spans="1:4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</row>
    <row r="128" spans="1:4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</row>
    <row r="129" spans="1:4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</row>
    <row r="130" spans="1:4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</row>
    <row r="131" spans="1:4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</row>
    <row r="132" spans="1:4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</row>
    <row r="133" spans="1:4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</row>
    <row r="134" spans="1:4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</row>
    <row r="135" spans="1:4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</row>
    <row r="136" spans="1:4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</row>
    <row r="137" spans="1:4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</row>
    <row r="138" spans="1:4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</row>
    <row r="139" spans="1:4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</row>
    <row r="140" spans="1:4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</row>
    <row r="141" spans="1:4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</row>
    <row r="142" spans="1:4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</row>
    <row r="143" spans="1:4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</row>
    <row r="144" spans="1:4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</row>
    <row r="145" spans="1:4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</row>
    <row r="146" spans="1:4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</row>
    <row r="147" spans="1:4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</row>
    <row r="148" spans="1:4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</row>
    <row r="149" spans="1:4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</row>
    <row r="150" spans="1:4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</row>
    <row r="151" spans="1:4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</row>
    <row r="152" spans="1:4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</row>
    <row r="153" spans="1:4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</row>
    <row r="154" spans="1:4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</row>
    <row r="155" spans="1:4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</row>
    <row r="156" spans="1:4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</row>
    <row r="157" spans="1:4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</row>
    <row r="158" spans="1:4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</row>
    <row r="159" spans="1:4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</row>
    <row r="160" spans="1:4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</row>
    <row r="161" spans="1:4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</row>
    <row r="162" spans="1:4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</row>
    <row r="163" spans="1:42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</row>
    <row r="164" spans="1:42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</row>
    <row r="165" spans="1:42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</row>
    <row r="166" spans="1:4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</row>
    <row r="167" spans="1:42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</row>
    <row r="168" spans="1:4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</row>
    <row r="169" spans="1:42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</row>
    <row r="170" spans="1:42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</row>
    <row r="171" spans="1:4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</row>
    <row r="172" spans="1:4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</row>
    <row r="173" spans="1:42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</row>
    <row r="174" spans="1:42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</row>
    <row r="175" spans="1:42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</row>
    <row r="176" spans="1:42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</row>
    <row r="177" spans="1:4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</row>
    <row r="178" spans="1:4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</row>
    <row r="179" spans="1:42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</row>
    <row r="180" spans="1:42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</row>
    <row r="181" spans="1:42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</row>
    <row r="182" spans="1:4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</row>
    <row r="183" spans="1:42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</row>
    <row r="184" spans="1:42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</row>
    <row r="185" spans="1:42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</row>
    <row r="186" spans="1:42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</row>
    <row r="187" spans="1:4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</row>
    <row r="188" spans="1:4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</row>
    <row r="189" spans="1:42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</row>
    <row r="190" spans="1:42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</row>
    <row r="191" spans="1:42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</row>
    <row r="192" spans="1:4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</row>
    <row r="193" spans="1:4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</row>
    <row r="194" spans="1:4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</row>
    <row r="195" spans="1:4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</row>
    <row r="196" spans="1:42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</row>
    <row r="197" spans="1:4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</row>
    <row r="198" spans="1:42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</row>
    <row r="199" spans="1:4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</row>
    <row r="200" spans="1:4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</row>
    <row r="201" spans="1:4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</row>
    <row r="202" spans="1:4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</row>
    <row r="203" spans="1:42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</row>
    <row r="204" spans="1:42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</row>
    <row r="205" spans="1:42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</row>
    <row r="206" spans="1:42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</row>
    <row r="207" spans="1:42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</row>
    <row r="208" spans="1:42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</row>
    <row r="209" spans="1:42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</row>
    <row r="210" spans="1:42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</row>
    <row r="211" spans="1:42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</row>
    <row r="212" spans="1:4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</row>
    <row r="213" spans="1:42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</row>
    <row r="214" spans="1:42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</row>
    <row r="215" spans="1:42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</row>
    <row r="216" spans="1:42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</row>
    <row r="217" spans="1:42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</row>
    <row r="218" spans="1:42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</row>
    <row r="219" spans="1:42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</row>
    <row r="220" spans="1:42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</row>
    <row r="221" spans="1:42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</row>
    <row r="222" spans="1:4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</row>
    <row r="223" spans="1:42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</row>
    <row r="224" spans="1:42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</row>
    <row r="225" spans="1:42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</row>
    <row r="226" spans="1:42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</row>
    <row r="227" spans="1:42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</row>
    <row r="228" spans="1:42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</row>
    <row r="229" spans="1:42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</row>
    <row r="230" spans="1:42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</row>
    <row r="231" spans="1:42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</row>
    <row r="232" spans="1:4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</row>
    <row r="233" spans="1:42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</row>
    <row r="234" spans="1:42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</row>
    <row r="235" spans="1:42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</row>
    <row r="236" spans="1:42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</row>
    <row r="237" spans="1:4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</row>
    <row r="238" spans="1:42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</row>
    <row r="239" spans="1:42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</row>
    <row r="240" spans="1:42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</row>
    <row r="241" spans="1:42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</row>
    <row r="242" spans="1:4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</row>
    <row r="243" spans="1:42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</row>
    <row r="244" spans="1:42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</row>
    <row r="245" spans="1:42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</row>
    <row r="246" spans="1:42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</row>
    <row r="247" spans="1:42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</row>
    <row r="248" spans="1:42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</row>
    <row r="249" spans="1:42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</row>
    <row r="250" spans="1:42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</row>
    <row r="251" spans="1:42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</row>
    <row r="252" spans="1:4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</row>
    <row r="253" spans="1:42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</row>
    <row r="254" spans="1:42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</row>
    <row r="255" spans="1:42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</row>
    <row r="256" spans="1:42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</row>
    <row r="257" spans="1:4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</row>
    <row r="258" spans="1:42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</row>
    <row r="259" spans="1:42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</row>
    <row r="260" spans="1:42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</row>
    <row r="261" spans="1:42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</row>
    <row r="262" spans="1:4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</row>
    <row r="263" spans="1:42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</row>
    <row r="264" spans="1:42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</row>
    <row r="265" spans="1:42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</row>
    <row r="266" spans="1:42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</row>
    <row r="267" spans="1:42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</row>
    <row r="268" spans="1:42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</row>
    <row r="269" spans="1:42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</row>
    <row r="270" spans="1:42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</row>
    <row r="271" spans="1:42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</row>
    <row r="272" spans="1:4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</row>
    <row r="273" spans="1:4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</row>
    <row r="274" spans="1:4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</row>
    <row r="275" spans="1:4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</row>
    <row r="276" spans="1:42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</row>
    <row r="277" spans="1:42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</row>
    <row r="278" spans="1:42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</row>
    <row r="279" spans="1:42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</row>
    <row r="280" spans="1:42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</row>
    <row r="281" spans="1:42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</row>
    <row r="282" spans="1:4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</row>
    <row r="283" spans="1:42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</row>
    <row r="284" spans="1:42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</row>
    <row r="285" spans="1:42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</row>
    <row r="286" spans="1:42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</row>
    <row r="287" spans="1:42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</row>
    <row r="288" spans="1:42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</row>
    <row r="289" spans="1:42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</row>
    <row r="290" spans="1:42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</row>
    <row r="291" spans="1:42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</row>
    <row r="292" spans="1:4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</row>
    <row r="293" spans="1:42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</row>
    <row r="294" spans="1:42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</row>
    <row r="295" spans="1:42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</row>
    <row r="296" spans="1:42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</row>
    <row r="297" spans="1:42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</row>
    <row r="298" spans="1:42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</row>
    <row r="299" spans="1:42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</row>
    <row r="300" spans="1:42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</row>
    <row r="301" spans="1:42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</row>
    <row r="302" spans="1:4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</row>
    <row r="303" spans="1:42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</row>
    <row r="304" spans="1:42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</row>
    <row r="305" spans="1:42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</row>
    <row r="306" spans="1:42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</row>
    <row r="307" spans="1:42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</row>
    <row r="308" spans="1:42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</row>
    <row r="309" spans="1:42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</row>
    <row r="310" spans="1:42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</row>
    <row r="311" spans="1:42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</row>
    <row r="312" spans="1:4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</row>
    <row r="313" spans="1:42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</row>
    <row r="314" spans="1:42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</row>
    <row r="315" spans="1:42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</row>
    <row r="316" spans="1:42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</row>
    <row r="317" spans="1:42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</row>
    <row r="318" spans="1:42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</row>
    <row r="319" spans="1:4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</row>
    <row r="320" spans="1:4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</row>
    <row r="321" spans="1:42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</row>
    <row r="322" spans="1:4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</row>
    <row r="323" spans="1:42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</row>
    <row r="324" spans="1:42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</row>
    <row r="325" spans="1:42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</row>
    <row r="326" spans="1:42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</row>
    <row r="327" spans="1:42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</row>
    <row r="328" spans="1:42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</row>
    <row r="329" spans="1:42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</row>
    <row r="330" spans="1:42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</row>
    <row r="331" spans="1:42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</row>
    <row r="332" spans="1:4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</row>
    <row r="333" spans="1:42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</row>
    <row r="334" spans="1:42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</row>
    <row r="335" spans="1:42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</row>
    <row r="336" spans="1:42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</row>
    <row r="337" spans="1:42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</row>
    <row r="338" spans="1:42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</row>
    <row r="339" spans="1:42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</row>
    <row r="340" spans="1:42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</row>
    <row r="341" spans="1:42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</row>
    <row r="342" spans="1:4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</row>
    <row r="343" spans="1:42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</row>
    <row r="344" spans="1:42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</row>
    <row r="345" spans="1:42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</row>
    <row r="346" spans="1:42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</row>
    <row r="347" spans="1:42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</row>
    <row r="348" spans="1:42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</row>
    <row r="349" spans="1:42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</row>
    <row r="350" spans="1:42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</row>
    <row r="351" spans="1:42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</row>
    <row r="352" spans="1:4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</row>
    <row r="353" spans="1:4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</row>
    <row r="354" spans="1:42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</row>
    <row r="355" spans="1:42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</row>
    <row r="356" spans="1:42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</row>
    <row r="357" spans="1:42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</row>
    <row r="358" spans="1:42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</row>
    <row r="359" spans="1:42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</row>
    <row r="360" spans="1:42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</row>
    <row r="361" spans="1:42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</row>
    <row r="362" spans="1:4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</row>
    <row r="363" spans="1:42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</row>
    <row r="364" spans="1:4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</row>
    <row r="365" spans="1:4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</row>
    <row r="366" spans="1:4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</row>
    <row r="367" spans="1:42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</row>
    <row r="368" spans="1:42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</row>
    <row r="369" spans="1:42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</row>
    <row r="370" spans="1:42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</row>
    <row r="371" spans="1:42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</row>
    <row r="372" spans="1:4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</row>
    <row r="373" spans="1:42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</row>
    <row r="374" spans="1:42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</row>
    <row r="375" spans="1:42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</row>
    <row r="376" spans="1:42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</row>
    <row r="377" spans="1:42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</row>
    <row r="378" spans="1:42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</row>
    <row r="379" spans="1:42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</row>
    <row r="380" spans="1:42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</row>
    <row r="381" spans="1:42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</row>
    <row r="382" spans="1:4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</row>
    <row r="383" spans="1:42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</row>
    <row r="384" spans="1:42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</row>
    <row r="385" spans="1:42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</row>
    <row r="386" spans="1:42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</row>
    <row r="387" spans="1:42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</row>
    <row r="388" spans="1:4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</row>
    <row r="389" spans="1:42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</row>
    <row r="390" spans="1:42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</row>
    <row r="391" spans="1:42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</row>
    <row r="392" spans="1:4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</row>
    <row r="393" spans="1:42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</row>
    <row r="394" spans="1:42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</row>
    <row r="395" spans="1:42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</row>
    <row r="396" spans="1:42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</row>
    <row r="397" spans="1:42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</row>
    <row r="398" spans="1:42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</row>
    <row r="399" spans="1:42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</row>
    <row r="400" spans="1:42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</row>
    <row r="401" spans="1:42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</row>
    <row r="402" spans="1:4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</row>
    <row r="403" spans="1:42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</row>
    <row r="404" spans="1:42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</row>
    <row r="405" spans="1:42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</row>
    <row r="406" spans="1:42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</row>
    <row r="407" spans="1:42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</row>
    <row r="408" spans="1:42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</row>
    <row r="409" spans="1:4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</row>
    <row r="410" spans="1:42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</row>
    <row r="411" spans="1:42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</row>
    <row r="412" spans="1:42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</row>
    <row r="413" spans="1:42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</row>
    <row r="414" spans="1:42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</row>
    <row r="415" spans="1:42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</row>
    <row r="416" spans="1:42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</row>
    <row r="417" spans="1:42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</row>
    <row r="418" spans="1:42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</row>
    <row r="419" spans="1:42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</row>
    <row r="420" spans="1:42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</row>
    <row r="421" spans="1:42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</row>
    <row r="422" spans="1:42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</row>
    <row r="423" spans="1:42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</row>
    <row r="424" spans="1:42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</row>
    <row r="425" spans="1:42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</row>
    <row r="426" spans="1:42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</row>
    <row r="427" spans="1:42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</row>
    <row r="428" spans="1:42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</row>
    <row r="429" spans="1:42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</row>
    <row r="430" spans="1:42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</row>
    <row r="431" spans="1:42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</row>
    <row r="432" spans="1:4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</row>
    <row r="433" spans="1:42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</row>
    <row r="434" spans="1:42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</row>
    <row r="435" spans="1:42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</row>
    <row r="436" spans="1:42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</row>
    <row r="437" spans="1:42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</row>
    <row r="438" spans="1:42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</row>
    <row r="439" spans="1:42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</row>
    <row r="440" spans="1:42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</row>
    <row r="441" spans="1:42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</row>
    <row r="442" spans="1:42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</row>
    <row r="443" spans="1:42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</row>
    <row r="444" spans="1:42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</row>
    <row r="445" spans="1:42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</row>
    <row r="446" spans="1:42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</row>
    <row r="447" spans="1:42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</row>
    <row r="448" spans="1:42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</row>
    <row r="449" spans="1:42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</row>
    <row r="450" spans="1:42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</row>
    <row r="451" spans="1:42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</row>
    <row r="452" spans="1:42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</row>
    <row r="453" spans="1:42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</row>
    <row r="454" spans="1:42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</row>
    <row r="455" spans="1:42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</row>
    <row r="456" spans="1:42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</row>
    <row r="457" spans="1:42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</row>
    <row r="458" spans="1:42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</row>
    <row r="459" spans="1:42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</row>
    <row r="460" spans="1:42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</row>
    <row r="461" spans="1:42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</row>
    <row r="462" spans="1:42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</row>
    <row r="463" spans="1:42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</row>
    <row r="464" spans="1:42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</row>
    <row r="465" spans="1:42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</row>
    <row r="466" spans="1:42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</row>
    <row r="467" spans="1:42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</row>
    <row r="468" spans="1:42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</row>
    <row r="469" spans="1:42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</row>
    <row r="470" spans="1:42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</row>
    <row r="471" spans="1:4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</row>
    <row r="472" spans="1:42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</row>
    <row r="473" spans="1:42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</row>
    <row r="474" spans="1:42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</row>
    <row r="475" spans="1:42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</row>
    <row r="476" spans="1:42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</row>
    <row r="477" spans="1:42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</row>
    <row r="478" spans="1:42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</row>
    <row r="479" spans="1:42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</row>
    <row r="480" spans="1:42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</row>
    <row r="481" spans="1:42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</row>
    <row r="482" spans="1:42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</row>
    <row r="483" spans="1:42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</row>
    <row r="484" spans="1:42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</row>
    <row r="485" spans="1:42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</row>
    <row r="486" spans="1:42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</row>
    <row r="487" spans="1:42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</row>
    <row r="488" spans="1:42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</row>
    <row r="489" spans="1:42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</row>
    <row r="490" spans="1:42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</row>
    <row r="491" spans="1:42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</row>
    <row r="492" spans="1:4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</row>
    <row r="493" spans="1:42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</row>
    <row r="494" spans="1:42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</row>
    <row r="495" spans="1:42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</row>
    <row r="496" spans="1:42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</row>
    <row r="497" spans="1:42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</row>
    <row r="498" spans="1:42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</row>
    <row r="499" spans="1:42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</row>
    <row r="500" spans="1:42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</row>
    <row r="501" spans="1:42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</row>
    <row r="502" spans="1:42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</row>
    <row r="503" spans="1:42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</row>
    <row r="504" spans="1:42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</row>
    <row r="505" spans="1:42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</row>
    <row r="506" spans="1:42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</row>
    <row r="507" spans="1:42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</row>
    <row r="508" spans="1:42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</row>
    <row r="509" spans="1:42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</row>
    <row r="510" spans="1:42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</row>
    <row r="511" spans="1:42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</row>
    <row r="512" spans="1:42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</row>
    <row r="513" spans="1:42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</row>
    <row r="514" spans="1:42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</row>
    <row r="515" spans="1:42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</row>
    <row r="516" spans="1:42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</row>
    <row r="517" spans="1:42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</row>
    <row r="518" spans="1:42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</row>
    <row r="519" spans="1:42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</row>
    <row r="520" spans="1:42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</row>
    <row r="521" spans="1:42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</row>
    <row r="522" spans="1:42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</row>
    <row r="523" spans="1:42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</row>
    <row r="524" spans="1:42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</row>
    <row r="525" spans="1:42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</row>
    <row r="526" spans="1:42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</row>
    <row r="527" spans="1:42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</row>
    <row r="528" spans="1:42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</row>
    <row r="529" spans="1:42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</row>
    <row r="530" spans="1:42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</row>
    <row r="531" spans="1:42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</row>
    <row r="532" spans="1:42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</row>
    <row r="533" spans="1:42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</row>
    <row r="534" spans="1:42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</row>
    <row r="535" spans="1:42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</row>
    <row r="536" spans="1:42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</row>
    <row r="537" spans="1:42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</row>
    <row r="538" spans="1:42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</row>
    <row r="539" spans="1:42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</row>
    <row r="540" spans="1:42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</row>
    <row r="541" spans="1:42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</row>
    <row r="542" spans="1:4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</row>
    <row r="543" spans="1:42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</row>
    <row r="544" spans="1:42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</row>
    <row r="545" spans="1:42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</row>
    <row r="546" spans="1:42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</row>
    <row r="547" spans="1:42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</row>
    <row r="548" spans="1:42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</row>
    <row r="549" spans="1:42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</row>
    <row r="550" spans="1:42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</row>
    <row r="551" spans="1:42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</row>
    <row r="552" spans="1:42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</row>
    <row r="553" spans="1:42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</row>
    <row r="554" spans="1:42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</row>
    <row r="555" spans="1:42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</row>
    <row r="556" spans="1:42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</row>
    <row r="557" spans="1:42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</row>
    <row r="558" spans="1:42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</row>
    <row r="559" spans="1:42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</row>
    <row r="560" spans="1:42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</row>
    <row r="561" spans="1:42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</row>
    <row r="562" spans="1:42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</row>
    <row r="563" spans="1:42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</row>
    <row r="564" spans="1:42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</row>
    <row r="565" spans="1:42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</row>
    <row r="566" spans="1:42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</row>
    <row r="567" spans="1:42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</row>
    <row r="568" spans="1:42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</row>
    <row r="569" spans="1:42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</row>
    <row r="570" spans="1:42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</row>
    <row r="571" spans="1:42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</row>
    <row r="572" spans="1:42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</row>
    <row r="573" spans="1:42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</row>
    <row r="574" spans="1:42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</row>
    <row r="575" spans="1:42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</row>
    <row r="576" spans="1:42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</row>
    <row r="577" spans="1:42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</row>
    <row r="578" spans="1:42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</row>
    <row r="579" spans="1:42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</row>
    <row r="580" spans="1:42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</row>
    <row r="581" spans="1:42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</row>
    <row r="582" spans="1:42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</row>
    <row r="583" spans="1:42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</row>
    <row r="584" spans="1:42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</row>
    <row r="585" spans="1:42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</row>
    <row r="586" spans="1:42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</row>
    <row r="587" spans="1:42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</row>
    <row r="588" spans="1:42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</row>
    <row r="589" spans="1:42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</row>
    <row r="590" spans="1:42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</row>
    <row r="591" spans="1:42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</row>
    <row r="592" spans="1:42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</row>
    <row r="593" spans="1:42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</row>
    <row r="594" spans="1:42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</row>
    <row r="595" spans="1:42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</row>
    <row r="596" spans="1:42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</row>
    <row r="597" spans="1:42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</row>
    <row r="598" spans="1:42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</row>
    <row r="599" spans="1:42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</row>
    <row r="600" spans="1:42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</row>
    <row r="601" spans="1:42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</row>
    <row r="602" spans="1:42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</row>
    <row r="603" spans="1:42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</row>
    <row r="604" spans="1:42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</row>
    <row r="605" spans="1:42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</row>
    <row r="606" spans="1:42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</row>
    <row r="607" spans="1:42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</row>
    <row r="608" spans="1:42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</row>
    <row r="609" spans="1:42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</row>
    <row r="610" spans="1:42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</row>
    <row r="611" spans="1:42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</row>
    <row r="612" spans="1:42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</row>
    <row r="613" spans="1:42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</row>
    <row r="614" spans="1:42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</row>
    <row r="615" spans="1:42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</row>
    <row r="616" spans="1:42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</row>
    <row r="617" spans="1:42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</row>
    <row r="618" spans="1:42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</row>
    <row r="619" spans="1:42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</row>
    <row r="620" spans="1:42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</row>
    <row r="621" spans="1:42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</row>
    <row r="622" spans="1:42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</row>
    <row r="623" spans="1:42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</row>
    <row r="624" spans="1:42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</row>
    <row r="625" spans="1:42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</row>
    <row r="626" spans="1:42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</row>
    <row r="627" spans="1:42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</row>
    <row r="628" spans="1:42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</row>
    <row r="629" spans="1:42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</row>
    <row r="630" spans="1:42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</row>
    <row r="631" spans="1:42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</row>
    <row r="632" spans="1:42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</row>
    <row r="633" spans="1:42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</row>
    <row r="634" spans="1:42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</row>
    <row r="635" spans="1:42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</row>
    <row r="636" spans="1:42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</row>
    <row r="637" spans="1:42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</row>
    <row r="638" spans="1:42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</row>
    <row r="639" spans="1:42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</row>
    <row r="640" spans="1:42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</row>
    <row r="641" spans="1:42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</row>
    <row r="642" spans="1:42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</row>
    <row r="643" spans="1:42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</row>
    <row r="644" spans="1:42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</row>
    <row r="645" spans="1:42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</row>
    <row r="646" spans="1:42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</row>
    <row r="647" spans="1:42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</row>
    <row r="648" spans="1:42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</row>
    <row r="649" spans="1:42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</row>
    <row r="650" spans="1:42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</row>
    <row r="651" spans="1:42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</row>
    <row r="652" spans="1:42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</row>
    <row r="653" spans="1:42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</row>
    <row r="654" spans="1:42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</row>
    <row r="655" spans="1:42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</row>
    <row r="656" spans="1:42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</row>
    <row r="657" spans="1:42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</row>
    <row r="658" spans="1:42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</row>
    <row r="659" spans="1:42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</row>
    <row r="660" spans="1:42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</row>
    <row r="661" spans="1:42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</row>
    <row r="662" spans="1:42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</row>
    <row r="663" spans="1:42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</row>
    <row r="664" spans="1:42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</row>
    <row r="665" spans="1:42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</row>
    <row r="666" spans="1:42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</row>
    <row r="667" spans="1:42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</row>
    <row r="668" spans="1:42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</row>
    <row r="669" spans="1:42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</row>
    <row r="670" spans="1:42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</row>
    <row r="671" spans="1:42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</row>
    <row r="672" spans="1:42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</row>
    <row r="673" spans="1:42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</row>
    <row r="674" spans="1:42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</row>
    <row r="675" spans="1:42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</row>
    <row r="676" spans="1:42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</row>
    <row r="677" spans="1:42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</row>
    <row r="678" spans="1:42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</row>
    <row r="679" spans="1:42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</row>
    <row r="680" spans="1:42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</row>
    <row r="681" spans="1:42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</row>
    <row r="682" spans="1:42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</row>
    <row r="683" spans="1:42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</row>
    <row r="684" spans="1:42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</row>
    <row r="685" spans="1:42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</row>
    <row r="686" spans="1:42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</row>
    <row r="687" spans="1:42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</row>
    <row r="688" spans="1:42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</row>
    <row r="689" spans="1:42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</row>
    <row r="690" spans="1:42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</row>
    <row r="691" spans="1:42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</row>
    <row r="692" spans="1:42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</row>
    <row r="693" spans="1:42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</row>
    <row r="694" spans="1:42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</row>
    <row r="695" spans="1:42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</row>
    <row r="696" spans="1:42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</row>
    <row r="697" spans="1:42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</row>
    <row r="698" spans="1:42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</row>
    <row r="699" spans="1:42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</row>
    <row r="700" spans="1:42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</row>
    <row r="701" spans="1:42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</row>
    <row r="702" spans="1:42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</row>
    <row r="703" spans="1:42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</row>
    <row r="704" spans="1:42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</row>
    <row r="705" spans="1:42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</row>
    <row r="706" spans="1:42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</row>
    <row r="707" spans="1:42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</row>
    <row r="708" spans="1:42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</row>
    <row r="709" spans="1:42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</row>
    <row r="710" spans="1:42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</row>
    <row r="711" spans="1:42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</row>
    <row r="712" spans="1:42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</row>
    <row r="713" spans="1:42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</row>
    <row r="714" spans="1:42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</row>
    <row r="715" spans="1:42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</row>
    <row r="716" spans="1:42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</row>
    <row r="717" spans="1:42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</row>
    <row r="718" spans="1:42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</row>
    <row r="719" spans="1:42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</row>
    <row r="720" spans="1:42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</row>
    <row r="721" spans="1:42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</row>
    <row r="722" spans="1:42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</row>
    <row r="723" spans="1:42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</row>
    <row r="724" spans="1:42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</row>
    <row r="725" spans="1:42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</row>
    <row r="726" spans="1:42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</row>
    <row r="727" spans="1:42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</row>
    <row r="728" spans="1:42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</row>
    <row r="729" spans="1:42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</row>
    <row r="730" spans="1:42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</row>
    <row r="731" spans="1:42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</row>
    <row r="732" spans="1:42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</row>
    <row r="733" spans="1:42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</row>
    <row r="734" spans="1:42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</row>
    <row r="735" spans="1:42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</row>
    <row r="736" spans="1:42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</row>
    <row r="737" spans="1:42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</row>
    <row r="738" spans="1:42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</row>
    <row r="739" spans="1:42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</row>
    <row r="740" spans="1:42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</row>
    <row r="741" spans="1:42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</row>
    <row r="742" spans="1:42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</row>
    <row r="743" spans="1:42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</row>
    <row r="744" spans="1:42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</row>
    <row r="745" spans="1:42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</row>
    <row r="746" spans="1:42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</row>
    <row r="747" spans="1:42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</row>
    <row r="748" spans="1:42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</row>
    <row r="749" spans="1:42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</row>
    <row r="750" spans="1:42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</row>
    <row r="751" spans="1:42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</row>
    <row r="752" spans="1:42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</row>
    <row r="753" spans="1:42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</row>
    <row r="754" spans="1:42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</row>
    <row r="755" spans="1:42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</row>
    <row r="756" spans="1:42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</row>
    <row r="757" spans="1:42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</row>
    <row r="758" spans="1:42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</row>
    <row r="759" spans="1:42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</row>
    <row r="760" spans="1:42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</row>
    <row r="761" spans="1:42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</row>
    <row r="762" spans="1:42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</row>
    <row r="763" spans="1:42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</row>
    <row r="764" spans="1:42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</row>
    <row r="765" spans="1:42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</row>
    <row r="766" spans="1:42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</row>
    <row r="767" spans="1:42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</row>
    <row r="768" spans="1:42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</row>
    <row r="769" spans="1:42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</row>
    <row r="770" spans="1:42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</row>
    <row r="771" spans="1:42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</row>
    <row r="772" spans="1:42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</row>
    <row r="773" spans="1:42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</row>
    <row r="774" spans="1:42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</row>
    <row r="775" spans="1:42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</row>
    <row r="776" spans="1:42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</row>
    <row r="777" spans="1:42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</row>
    <row r="778" spans="1:42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</row>
    <row r="779" spans="1:42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</row>
    <row r="780" spans="1:42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</row>
    <row r="781" spans="1:42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</row>
    <row r="782" spans="1:42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</row>
    <row r="783" spans="1:42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</row>
    <row r="784" spans="1:42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</row>
    <row r="785" spans="1:42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</row>
    <row r="786" spans="1:42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</row>
    <row r="787" spans="1:42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</row>
    <row r="788" spans="1:42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</row>
    <row r="789" spans="1:42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</row>
    <row r="790" spans="1:42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</row>
    <row r="791" spans="1:42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</row>
    <row r="792" spans="1:42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</row>
    <row r="793" spans="1:42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</row>
    <row r="794" spans="1:42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</row>
    <row r="795" spans="1:42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</row>
    <row r="796" spans="1:42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</row>
    <row r="797" spans="1:42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</row>
    <row r="798" spans="1:42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</row>
    <row r="799" spans="1:42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</row>
    <row r="800" spans="1:42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</row>
    <row r="801" spans="1:42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</row>
    <row r="802" spans="1:42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</row>
    <row r="803" spans="1:42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</row>
    <row r="804" spans="1:42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</row>
    <row r="805" spans="1:42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</row>
    <row r="806" spans="1:42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</row>
    <row r="807" spans="1:42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</row>
    <row r="808" spans="1:42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</row>
    <row r="809" spans="1:42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</row>
    <row r="810" spans="1:42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</row>
    <row r="811" spans="1:42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</row>
    <row r="812" spans="1:42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</row>
    <row r="813" spans="1:42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</row>
    <row r="814" spans="1:42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</row>
    <row r="815" spans="1:42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</row>
    <row r="816" spans="1:42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</row>
    <row r="817" spans="1:42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</row>
    <row r="818" spans="1:42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</row>
    <row r="819" spans="1:42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</row>
    <row r="820" spans="1:42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</row>
    <row r="821" spans="1:42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</row>
    <row r="822" spans="1:42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</row>
    <row r="823" spans="1:42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</row>
    <row r="824" spans="1:42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</row>
    <row r="825" spans="1:42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</row>
    <row r="826" spans="1:42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</row>
    <row r="827" spans="1:42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</row>
    <row r="828" spans="1:42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</row>
    <row r="829" spans="1:42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</row>
    <row r="830" spans="1:42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</row>
    <row r="831" spans="1:42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</row>
    <row r="832" spans="1:42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</row>
    <row r="833" spans="1:42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</row>
    <row r="834" spans="1:42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</row>
    <row r="835" spans="1:42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</row>
    <row r="836" spans="1:42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</row>
    <row r="837" spans="1:42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</row>
    <row r="838" spans="1:42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</row>
    <row r="839" spans="1:42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</row>
    <row r="840" spans="1:42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</row>
    <row r="841" spans="1:42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</row>
    <row r="842" spans="1:42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</row>
    <row r="843" spans="1:42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</row>
    <row r="844" spans="1:42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</row>
    <row r="845" spans="1:42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</row>
    <row r="846" spans="1:42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</row>
    <row r="847" spans="1:42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</row>
    <row r="848" spans="1:42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</row>
    <row r="849" spans="1:42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</row>
    <row r="850" spans="1:42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</row>
    <row r="851" spans="1:42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</row>
    <row r="852" spans="1:42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</row>
    <row r="853" spans="1:42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</row>
    <row r="854" spans="1:42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</row>
    <row r="855" spans="1:42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</row>
    <row r="856" spans="1:42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</row>
    <row r="857" spans="1:42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</row>
    <row r="858" spans="1:42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</row>
    <row r="859" spans="1:42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</row>
    <row r="860" spans="1:42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</row>
    <row r="861" spans="1:42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</row>
    <row r="862" spans="1:42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</row>
    <row r="863" spans="1:42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</row>
    <row r="864" spans="1:42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</row>
    <row r="865" spans="1:42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</row>
    <row r="866" spans="1:42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</row>
    <row r="867" spans="1:42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</row>
    <row r="868" spans="1:42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</row>
    <row r="869" spans="1:42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</row>
    <row r="870" spans="1:42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</row>
    <row r="871" spans="1:42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</row>
    <row r="872" spans="1:42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</row>
    <row r="873" spans="1:42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</row>
    <row r="874" spans="1:42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</row>
    <row r="875" spans="1:42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</row>
    <row r="876" spans="1:42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</row>
    <row r="877" spans="1:42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</row>
    <row r="878" spans="1:42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</row>
    <row r="879" spans="1:42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</row>
    <row r="880" spans="1:42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</row>
    <row r="881" spans="1:42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</row>
    <row r="882" spans="1:42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</row>
    <row r="883" spans="1:42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</row>
    <row r="884" spans="1:42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</row>
    <row r="885" spans="1:42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</row>
    <row r="886" spans="1:42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</row>
    <row r="887" spans="1:42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</row>
    <row r="888" spans="1:42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</row>
    <row r="889" spans="1:42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</row>
    <row r="890" spans="1:42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</row>
    <row r="891" spans="1:42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</row>
    <row r="892" spans="1:42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</row>
    <row r="893" spans="1:42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</row>
    <row r="894" spans="1:42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</row>
    <row r="895" spans="1:42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</row>
    <row r="896" spans="1:42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</row>
    <row r="897" spans="1:42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</row>
    <row r="898" spans="1:42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</row>
    <row r="899" spans="1:42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</row>
    <row r="900" spans="1:42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</row>
    <row r="901" spans="1:42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</row>
    <row r="902" spans="1:42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</row>
    <row r="903" spans="1:42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</row>
    <row r="904" spans="1:42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</row>
    <row r="905" spans="1:42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</row>
    <row r="906" spans="1:42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</row>
    <row r="907" spans="1:42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</row>
    <row r="908" spans="1:42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</row>
    <row r="909" spans="1:42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</row>
    <row r="910" spans="1:42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</row>
    <row r="911" spans="1:42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</row>
    <row r="912" spans="1:42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</row>
    <row r="913" spans="1:42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</row>
    <row r="914" spans="1:42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</row>
    <row r="915" spans="1:42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</row>
    <row r="916" spans="1:42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</row>
    <row r="917" spans="1:42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</row>
    <row r="918" spans="1:42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</row>
    <row r="919" spans="1:42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</row>
    <row r="920" spans="1:42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</row>
    <row r="921" spans="1:42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</row>
    <row r="922" spans="1:42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</row>
    <row r="923" spans="1:42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</row>
    <row r="924" spans="1:42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</row>
    <row r="925" spans="1:42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</row>
    <row r="926" spans="1:42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</row>
    <row r="927" spans="1:42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</row>
    <row r="928" spans="1:42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</row>
    <row r="929" spans="1:42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</row>
    <row r="930" spans="1:42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</row>
    <row r="931" spans="1:42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</row>
    <row r="932" spans="1:42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</row>
    <row r="933" spans="1:42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</row>
    <row r="934" spans="1:42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</row>
    <row r="935" spans="1:42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</row>
    <row r="936" spans="1:42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</row>
    <row r="937" spans="1:42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</row>
    <row r="938" spans="1:42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</row>
    <row r="939" spans="1:42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</row>
    <row r="940" spans="1:42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</row>
    <row r="941" spans="1:42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</row>
    <row r="942" spans="1:42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</row>
    <row r="943" spans="1:42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</row>
    <row r="944" spans="1:42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</row>
    <row r="945" spans="1:42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</row>
    <row r="946" spans="1:42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</row>
    <row r="947" spans="1:42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</row>
    <row r="948" spans="1:42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</row>
    <row r="949" spans="1:42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</row>
    <row r="950" spans="1:42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</row>
    <row r="951" spans="1:42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</row>
    <row r="952" spans="1:42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</row>
    <row r="953" spans="1:42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</row>
    <row r="954" spans="1:42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</row>
    <row r="955" spans="1:42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</row>
    <row r="956" spans="1:42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</row>
    <row r="957" spans="1:42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</row>
    <row r="958" spans="1:42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</row>
    <row r="959" spans="1:42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</row>
    <row r="960" spans="1:42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</row>
    <row r="961" spans="1:42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</row>
    <row r="962" spans="1:42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</row>
    <row r="963" spans="1:42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</row>
    <row r="964" spans="1:42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</row>
    <row r="965" spans="1:42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</row>
    <row r="966" spans="1:42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</row>
    <row r="967" spans="1:42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</row>
    <row r="968" spans="1:42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</row>
    <row r="969" spans="1:42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</row>
    <row r="970" spans="1:42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</row>
    <row r="971" spans="1:42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</row>
    <row r="972" spans="1:42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</row>
    <row r="973" spans="1:42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</row>
    <row r="974" spans="1:42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</row>
    <row r="975" spans="1:42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</row>
    <row r="976" spans="1:42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</row>
    <row r="977" spans="1:42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</row>
    <row r="978" spans="1:42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</row>
    <row r="979" spans="1:42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</row>
    <row r="980" spans="1:42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</row>
    <row r="981" spans="1:42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</row>
    <row r="982" spans="1:42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</row>
    <row r="983" spans="1:42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</row>
    <row r="984" spans="1:42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</row>
    <row r="985" spans="1:42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</row>
    <row r="986" spans="1:42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</row>
    <row r="987" spans="1:42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</row>
    <row r="988" spans="1:42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</row>
    <row r="989" spans="1:42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</row>
    <row r="990" spans="1:42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</row>
    <row r="991" spans="1:42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</row>
    <row r="992" spans="1:42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</row>
    <row r="993" spans="1:42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</row>
    <row r="994" spans="1:42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</row>
    <row r="995" spans="1:42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</row>
    <row r="996" spans="1:42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</row>
    <row r="997" spans="1:42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</row>
    <row r="998" spans="1:42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</row>
    <row r="999" spans="1:42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</row>
    <row r="1000" spans="1:42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</row>
  </sheetData>
  <mergeCells count="1">
    <mergeCell ref="B4:K4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00"/>
  <sheetViews>
    <sheetView workbookViewId="0"/>
  </sheetViews>
  <sheetFormatPr defaultColWidth="15.140625" defaultRowHeight="15" customHeight="1"/>
  <cols>
    <col min="1" max="1" width="31.140625" customWidth="1"/>
    <col min="2" max="42" width="11.140625" customWidth="1"/>
  </cols>
  <sheetData>
    <row r="1" spans="1:42" ht="21" customHeight="1">
      <c r="A1" s="1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1:4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1:42" ht="15.75" customHeight="1">
      <c r="A3" s="3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</row>
    <row r="4" spans="1:42" ht="15.75" customHeight="1">
      <c r="A4" s="66"/>
      <c r="B4" s="177" t="s">
        <v>2</v>
      </c>
      <c r="C4" s="178"/>
      <c r="D4" s="178"/>
      <c r="E4" s="178"/>
      <c r="F4" s="178"/>
      <c r="G4" s="178"/>
      <c r="H4" s="178"/>
      <c r="I4" s="178"/>
      <c r="J4" s="178"/>
      <c r="K4" s="179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</row>
    <row r="5" spans="1:42" ht="15.75" customHeight="1">
      <c r="A5" s="4" t="s">
        <v>3</v>
      </c>
      <c r="B5" s="5">
        <v>2000</v>
      </c>
      <c r="C5" s="4">
        <v>2001</v>
      </c>
      <c r="D5" s="4">
        <v>2002</v>
      </c>
      <c r="E5" s="4">
        <v>2003</v>
      </c>
      <c r="F5" s="4">
        <v>2004</v>
      </c>
      <c r="G5" s="4">
        <v>2005</v>
      </c>
      <c r="H5" s="4">
        <v>2006</v>
      </c>
      <c r="I5" s="4">
        <v>2007</v>
      </c>
      <c r="J5" s="4">
        <v>2008</v>
      </c>
      <c r="K5" s="7">
        <v>2009</v>
      </c>
      <c r="L5" s="4">
        <v>2010</v>
      </c>
      <c r="M5" s="4">
        <v>2011</v>
      </c>
      <c r="N5" s="4">
        <v>2012</v>
      </c>
      <c r="O5" s="4">
        <v>2013</v>
      </c>
      <c r="P5" s="4">
        <v>2014</v>
      </c>
      <c r="Q5" s="4">
        <v>2015</v>
      </c>
      <c r="R5" s="4">
        <v>2016</v>
      </c>
      <c r="S5" s="4">
        <v>2017</v>
      </c>
      <c r="T5" s="4">
        <v>2018</v>
      </c>
      <c r="U5" s="4">
        <v>2019</v>
      </c>
      <c r="V5" s="4">
        <v>2020</v>
      </c>
      <c r="W5" s="4">
        <v>2021</v>
      </c>
      <c r="X5" s="4">
        <v>2022</v>
      </c>
      <c r="Y5" s="4">
        <v>2023</v>
      </c>
      <c r="Z5" s="4">
        <v>2024</v>
      </c>
      <c r="AA5" s="4">
        <v>2025</v>
      </c>
      <c r="AB5" s="4">
        <v>2026</v>
      </c>
      <c r="AC5" s="4">
        <v>2027</v>
      </c>
      <c r="AD5" s="4">
        <v>2028</v>
      </c>
      <c r="AE5" s="4">
        <v>2029</v>
      </c>
      <c r="AF5" s="4">
        <v>2030</v>
      </c>
      <c r="AG5" s="4">
        <v>2031</v>
      </c>
      <c r="AH5" s="4">
        <v>2032</v>
      </c>
      <c r="AI5" s="4">
        <v>2033</v>
      </c>
      <c r="AJ5" s="4">
        <v>2034</v>
      </c>
      <c r="AK5" s="4">
        <v>2035</v>
      </c>
      <c r="AL5" s="4">
        <v>2036</v>
      </c>
      <c r="AM5" s="4">
        <v>2037</v>
      </c>
      <c r="AN5" s="4">
        <v>2038</v>
      </c>
      <c r="AO5" s="4">
        <v>2039</v>
      </c>
      <c r="AP5" s="4">
        <v>2040</v>
      </c>
    </row>
    <row r="6" spans="1:42" ht="15.75" customHeight="1">
      <c r="A6" s="3" t="s">
        <v>51</v>
      </c>
      <c r="B6" s="3"/>
      <c r="C6" s="3"/>
      <c r="D6" s="3"/>
      <c r="E6" s="3"/>
      <c r="F6" s="3"/>
      <c r="G6" s="3"/>
      <c r="H6" s="3"/>
      <c r="I6" s="3"/>
      <c r="J6" s="3"/>
      <c r="K6" s="6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5.75" customHeight="1">
      <c r="A7" s="57" t="s">
        <v>53</v>
      </c>
      <c r="B7" s="69">
        <f t="shared" ref="B7:AP7" si="0">B24</f>
        <v>727.9</v>
      </c>
      <c r="C7" s="69">
        <f t="shared" si="0"/>
        <v>720.2</v>
      </c>
      <c r="D7" s="69">
        <f t="shared" si="0"/>
        <v>725.5</v>
      </c>
      <c r="E7" s="69">
        <f t="shared" si="0"/>
        <v>715.6</v>
      </c>
      <c r="F7" s="69">
        <f t="shared" si="0"/>
        <v>723</v>
      </c>
      <c r="G7" s="69">
        <f t="shared" si="0"/>
        <v>713.2</v>
      </c>
      <c r="H7" s="69">
        <f t="shared" si="0"/>
        <v>729.6</v>
      </c>
      <c r="I7" s="69">
        <f t="shared" si="0"/>
        <v>754</v>
      </c>
      <c r="J7" s="69">
        <f t="shared" si="0"/>
        <v>725.6</v>
      </c>
      <c r="K7" s="70">
        <f t="shared" si="0"/>
        <v>725.6</v>
      </c>
      <c r="L7" s="25">
        <f t="shared" si="0"/>
        <v>725.6</v>
      </c>
      <c r="M7" s="25">
        <f t="shared" si="0"/>
        <v>725.6</v>
      </c>
      <c r="N7" s="25">
        <f t="shared" si="0"/>
        <v>725.6</v>
      </c>
      <c r="O7" s="25">
        <f t="shared" si="0"/>
        <v>725.6</v>
      </c>
      <c r="P7" s="25">
        <f t="shared" si="0"/>
        <v>725.6</v>
      </c>
      <c r="Q7" s="25">
        <f t="shared" si="0"/>
        <v>725.6</v>
      </c>
      <c r="R7" s="25">
        <f t="shared" si="0"/>
        <v>725.6</v>
      </c>
      <c r="S7" s="25">
        <f t="shared" si="0"/>
        <v>725.6</v>
      </c>
      <c r="T7" s="25">
        <f t="shared" si="0"/>
        <v>725.6</v>
      </c>
      <c r="U7" s="25">
        <f t="shared" si="0"/>
        <v>725.6</v>
      </c>
      <c r="V7" s="25">
        <f t="shared" si="0"/>
        <v>725.6</v>
      </c>
      <c r="W7" s="25">
        <f t="shared" si="0"/>
        <v>725.6</v>
      </c>
      <c r="X7" s="25">
        <f t="shared" si="0"/>
        <v>725.6</v>
      </c>
      <c r="Y7" s="25">
        <f t="shared" si="0"/>
        <v>725.6</v>
      </c>
      <c r="Z7" s="25">
        <f t="shared" si="0"/>
        <v>725.6</v>
      </c>
      <c r="AA7" s="25">
        <f t="shared" si="0"/>
        <v>725.6</v>
      </c>
      <c r="AB7" s="25">
        <f t="shared" si="0"/>
        <v>725.6</v>
      </c>
      <c r="AC7" s="25">
        <f t="shared" si="0"/>
        <v>725.6</v>
      </c>
      <c r="AD7" s="25">
        <f t="shared" si="0"/>
        <v>725.6</v>
      </c>
      <c r="AE7" s="25">
        <f t="shared" si="0"/>
        <v>725.6</v>
      </c>
      <c r="AF7" s="25">
        <f t="shared" si="0"/>
        <v>725.6</v>
      </c>
      <c r="AG7" s="25">
        <f t="shared" si="0"/>
        <v>725.6</v>
      </c>
      <c r="AH7" s="25">
        <f t="shared" si="0"/>
        <v>725.6</v>
      </c>
      <c r="AI7" s="25">
        <f t="shared" si="0"/>
        <v>725.6</v>
      </c>
      <c r="AJ7" s="25">
        <f t="shared" si="0"/>
        <v>725.6</v>
      </c>
      <c r="AK7" s="25">
        <f t="shared" si="0"/>
        <v>725.6</v>
      </c>
      <c r="AL7" s="25">
        <f t="shared" si="0"/>
        <v>725.6</v>
      </c>
      <c r="AM7" s="25">
        <f t="shared" si="0"/>
        <v>725.6</v>
      </c>
      <c r="AN7" s="25">
        <f t="shared" si="0"/>
        <v>725.6</v>
      </c>
      <c r="AO7" s="25">
        <f t="shared" si="0"/>
        <v>725.6</v>
      </c>
      <c r="AP7" s="27">
        <f t="shared" si="0"/>
        <v>725.6</v>
      </c>
    </row>
    <row r="8" spans="1:42">
      <c r="A8" s="71" t="s">
        <v>9</v>
      </c>
      <c r="B8" s="72">
        <f t="shared" ref="B8:K8" si="1">B23</f>
        <v>1000</v>
      </c>
      <c r="C8" s="72">
        <f t="shared" si="1"/>
        <v>1000</v>
      </c>
      <c r="D8" s="72">
        <f t="shared" si="1"/>
        <v>1000</v>
      </c>
      <c r="E8" s="72">
        <f t="shared" si="1"/>
        <v>1000</v>
      </c>
      <c r="F8" s="72">
        <f t="shared" si="1"/>
        <v>1000</v>
      </c>
      <c r="G8" s="72">
        <f t="shared" si="1"/>
        <v>1000</v>
      </c>
      <c r="H8" s="72">
        <f t="shared" si="1"/>
        <v>1000</v>
      </c>
      <c r="I8" s="72">
        <f t="shared" si="1"/>
        <v>1000</v>
      </c>
      <c r="J8" s="72">
        <f t="shared" si="1"/>
        <v>1000</v>
      </c>
      <c r="K8" s="73">
        <f t="shared" si="1"/>
        <v>1022.5</v>
      </c>
      <c r="L8" s="72">
        <f>'BAU Data'!L11</f>
        <v>1022.5</v>
      </c>
      <c r="M8" s="72">
        <f>'BAU Data'!M11</f>
        <v>1022.5</v>
      </c>
      <c r="N8" s="72">
        <f>'BAU Data'!N11</f>
        <v>1022.5</v>
      </c>
      <c r="O8" s="72">
        <f>'BAU Data'!O11</f>
        <v>1022.5</v>
      </c>
      <c r="P8" s="72">
        <f>'BAU Data'!P11</f>
        <v>1022.5</v>
      </c>
      <c r="Q8" s="72">
        <f>'BAU Data'!Q11</f>
        <v>1022.5</v>
      </c>
      <c r="R8" s="72">
        <f>'BAU Data'!R11</f>
        <v>1022.5</v>
      </c>
      <c r="S8" s="72">
        <f>'BAU Data'!S11</f>
        <v>1022.5</v>
      </c>
      <c r="T8" s="72">
        <f>'BAU Data'!T11</f>
        <v>1022.5</v>
      </c>
      <c r="U8" s="72">
        <f>'BAU Data'!U11</f>
        <v>1022.5</v>
      </c>
      <c r="V8" s="72">
        <f>'BAU Data'!V11</f>
        <v>1022.5</v>
      </c>
      <c r="W8" s="72">
        <f>'BAU Data'!W11</f>
        <v>1022.5</v>
      </c>
      <c r="X8" s="72">
        <f>'BAU Data'!X11</f>
        <v>1022.5</v>
      </c>
      <c r="Y8" s="72">
        <f>'BAU Data'!Y11</f>
        <v>1022.5</v>
      </c>
      <c r="Z8" s="72">
        <f>'BAU Data'!Z11</f>
        <v>1022.5</v>
      </c>
      <c r="AA8" s="72">
        <f>'BAU Data'!AA11</f>
        <v>1022.5</v>
      </c>
      <c r="AB8" s="72">
        <f>'BAU Data'!AB11</f>
        <v>1022.5</v>
      </c>
      <c r="AC8" s="72">
        <f>'BAU Data'!AC11</f>
        <v>1022.5</v>
      </c>
      <c r="AD8" s="72">
        <f>'BAU Data'!AD11</f>
        <v>1022.5</v>
      </c>
      <c r="AE8" s="72">
        <f>'BAU Data'!AE11</f>
        <v>1022.5</v>
      </c>
      <c r="AF8" s="72">
        <f>'BAU Data'!AF11</f>
        <v>1022.5</v>
      </c>
      <c r="AG8" s="72">
        <f>'BAU Data'!AG11</f>
        <v>1022.5</v>
      </c>
      <c r="AH8" s="72">
        <f>'BAU Data'!AH11</f>
        <v>1022.5</v>
      </c>
      <c r="AI8" s="72">
        <f>'BAU Data'!AI11</f>
        <v>1022.5</v>
      </c>
      <c r="AJ8" s="72">
        <f>'BAU Data'!AJ11</f>
        <v>1022.5</v>
      </c>
      <c r="AK8" s="72">
        <f>'BAU Data'!AK11</f>
        <v>1022.5</v>
      </c>
      <c r="AL8" s="72">
        <f>'BAU Data'!AL11</f>
        <v>1022.5</v>
      </c>
      <c r="AM8" s="72">
        <f>'BAU Data'!AM11</f>
        <v>1022.5</v>
      </c>
      <c r="AN8" s="72">
        <f>'BAU Data'!AN11</f>
        <v>1022.5</v>
      </c>
      <c r="AO8" s="72">
        <f>'BAU Data'!AO11</f>
        <v>1022.5</v>
      </c>
      <c r="AP8" s="74">
        <f>'BAU Data'!AP11</f>
        <v>1022.5</v>
      </c>
    </row>
    <row r="9" spans="1:42">
      <c r="A9" s="75" t="s">
        <v>7</v>
      </c>
      <c r="B9" s="18">
        <f t="shared" ref="B9:AP9" si="2">B19+B20+B21</f>
        <v>582.5</v>
      </c>
      <c r="C9" s="18">
        <f t="shared" si="2"/>
        <v>684.7</v>
      </c>
      <c r="D9" s="18">
        <f t="shared" si="2"/>
        <v>800.9</v>
      </c>
      <c r="E9" s="18">
        <f t="shared" si="2"/>
        <v>841.1</v>
      </c>
      <c r="F9" s="18">
        <f t="shared" si="2"/>
        <v>839.5</v>
      </c>
      <c r="G9" s="18">
        <f t="shared" si="2"/>
        <v>875.9</v>
      </c>
      <c r="H9" s="18">
        <f t="shared" si="2"/>
        <v>835.3</v>
      </c>
      <c r="I9" s="18">
        <f t="shared" si="2"/>
        <v>572.1</v>
      </c>
      <c r="J9" s="18">
        <f t="shared" si="2"/>
        <v>588.1</v>
      </c>
      <c r="K9" s="19">
        <f t="shared" si="2"/>
        <v>580.70000000000005</v>
      </c>
      <c r="L9" s="18">
        <f t="shared" si="2"/>
        <v>294.09999999999997</v>
      </c>
      <c r="M9" s="18">
        <f t="shared" si="2"/>
        <v>295.49736986322739</v>
      </c>
      <c r="N9" s="18">
        <f t="shared" si="2"/>
        <v>292.95302464168628</v>
      </c>
      <c r="O9" s="18">
        <f t="shared" si="2"/>
        <v>292.95302464168628</v>
      </c>
      <c r="P9" s="18">
        <f t="shared" si="2"/>
        <v>305.85683755339676</v>
      </c>
      <c r="Q9" s="18">
        <f t="shared" si="2"/>
        <v>305.85683755339676</v>
      </c>
      <c r="R9" s="18">
        <f t="shared" si="2"/>
        <v>305.85683755339676</v>
      </c>
      <c r="S9" s="18">
        <f t="shared" si="2"/>
        <v>298.78951848175228</v>
      </c>
      <c r="T9" s="18">
        <f t="shared" si="2"/>
        <v>318.22233755437196</v>
      </c>
      <c r="U9" s="18">
        <f t="shared" si="2"/>
        <v>318.22233755437196</v>
      </c>
      <c r="V9" s="18">
        <f t="shared" si="2"/>
        <v>321.20475728280309</v>
      </c>
      <c r="W9" s="18">
        <f t="shared" si="2"/>
        <v>325.26749623174953</v>
      </c>
      <c r="X9" s="18">
        <f t="shared" si="2"/>
        <v>338.90777291293273</v>
      </c>
      <c r="Y9" s="18">
        <f t="shared" si="2"/>
        <v>338.90777291293273</v>
      </c>
      <c r="Z9" s="18">
        <f t="shared" si="2"/>
        <v>326.85510381102642</v>
      </c>
      <c r="AA9" s="18">
        <f t="shared" si="2"/>
        <v>331.68422306170595</v>
      </c>
      <c r="AB9" s="18">
        <f t="shared" si="2"/>
        <v>336.51334231238548</v>
      </c>
      <c r="AC9" s="18">
        <f t="shared" si="2"/>
        <v>339.27415809814681</v>
      </c>
      <c r="AD9" s="18">
        <f t="shared" si="2"/>
        <v>339.27415809814681</v>
      </c>
      <c r="AE9" s="18">
        <f t="shared" si="2"/>
        <v>339.27415809814681</v>
      </c>
      <c r="AF9" s="18">
        <f t="shared" si="2"/>
        <v>342.08280340153431</v>
      </c>
      <c r="AG9" s="18">
        <f t="shared" si="2"/>
        <v>342.08280340153431</v>
      </c>
      <c r="AH9" s="18">
        <f t="shared" si="2"/>
        <v>342.08280340153431</v>
      </c>
      <c r="AI9" s="18">
        <f t="shared" si="2"/>
        <v>342.08280340153431</v>
      </c>
      <c r="AJ9" s="18">
        <f t="shared" si="2"/>
        <v>342.08280340153431</v>
      </c>
      <c r="AK9" s="18">
        <f t="shared" si="2"/>
        <v>352.23965077390039</v>
      </c>
      <c r="AL9" s="18">
        <f t="shared" si="2"/>
        <v>352.23965077390039</v>
      </c>
      <c r="AM9" s="18">
        <f t="shared" si="2"/>
        <v>352.23965077390039</v>
      </c>
      <c r="AN9" s="18">
        <f t="shared" si="2"/>
        <v>352.23965077390039</v>
      </c>
      <c r="AO9" s="18">
        <f t="shared" si="2"/>
        <v>368.30593661746127</v>
      </c>
      <c r="AP9" s="78">
        <f t="shared" si="2"/>
        <v>368.30593661746127</v>
      </c>
    </row>
    <row r="10" spans="1:42" hidden="1">
      <c r="A10" s="47" t="s">
        <v>6</v>
      </c>
      <c r="B10" s="77">
        <f t="shared" ref="B10:AP10" si="3">B20</f>
        <v>160</v>
      </c>
      <c r="C10" s="77">
        <f t="shared" si="3"/>
        <v>160</v>
      </c>
      <c r="D10" s="77">
        <f t="shared" si="3"/>
        <v>160</v>
      </c>
      <c r="E10" s="77">
        <f t="shared" si="3"/>
        <v>160</v>
      </c>
      <c r="F10" s="77">
        <f t="shared" si="3"/>
        <v>160</v>
      </c>
      <c r="G10" s="77">
        <f t="shared" si="3"/>
        <v>160</v>
      </c>
      <c r="H10" s="77">
        <f t="shared" si="3"/>
        <v>160</v>
      </c>
      <c r="I10" s="77">
        <f t="shared" si="3"/>
        <v>160</v>
      </c>
      <c r="J10" s="77">
        <f t="shared" si="3"/>
        <v>160</v>
      </c>
      <c r="K10" s="79">
        <f t="shared" si="3"/>
        <v>160</v>
      </c>
      <c r="L10" s="12">
        <f t="shared" si="3"/>
        <v>160</v>
      </c>
      <c r="M10" s="12">
        <f t="shared" si="3"/>
        <v>160.78010878617025</v>
      </c>
      <c r="N10" s="12">
        <f t="shared" si="3"/>
        <v>160.78010878617025</v>
      </c>
      <c r="O10" s="12">
        <f t="shared" si="3"/>
        <v>160.78010878617025</v>
      </c>
      <c r="P10" s="12">
        <f t="shared" si="3"/>
        <v>168.04812231065623</v>
      </c>
      <c r="Q10" s="12">
        <f t="shared" si="3"/>
        <v>168.04812231065623</v>
      </c>
      <c r="R10" s="12">
        <f t="shared" si="3"/>
        <v>168.04812231065623</v>
      </c>
      <c r="S10" s="12">
        <f t="shared" si="3"/>
        <v>164.06748721109159</v>
      </c>
      <c r="T10" s="12">
        <f t="shared" si="3"/>
        <v>175.01293355358405</v>
      </c>
      <c r="U10" s="12">
        <f t="shared" si="3"/>
        <v>175.01293355358405</v>
      </c>
      <c r="V10" s="12">
        <f t="shared" si="3"/>
        <v>176.69276780647061</v>
      </c>
      <c r="W10" s="12">
        <f t="shared" si="3"/>
        <v>178.98108691256996</v>
      </c>
      <c r="X10" s="12">
        <f t="shared" si="3"/>
        <v>186.66391028228887</v>
      </c>
      <c r="Y10" s="12">
        <f t="shared" si="3"/>
        <v>186.66391028228887</v>
      </c>
      <c r="Z10" s="12">
        <f t="shared" si="3"/>
        <v>179.8752996105307</v>
      </c>
      <c r="AA10" s="12">
        <f t="shared" si="3"/>
        <v>182.59527891164424</v>
      </c>
      <c r="AB10" s="12">
        <f t="shared" si="3"/>
        <v>185.31525821275778</v>
      </c>
      <c r="AC10" s="12">
        <f t="shared" si="3"/>
        <v>186.87027505985711</v>
      </c>
      <c r="AD10" s="12">
        <f t="shared" si="3"/>
        <v>186.87027505985711</v>
      </c>
      <c r="AE10" s="12">
        <f t="shared" si="3"/>
        <v>186.87027505985711</v>
      </c>
      <c r="AF10" s="12">
        <f t="shared" si="3"/>
        <v>188.4522316637055</v>
      </c>
      <c r="AG10" s="12">
        <f t="shared" si="3"/>
        <v>188.4522316637055</v>
      </c>
      <c r="AH10" s="12">
        <f t="shared" si="3"/>
        <v>188.4522316637055</v>
      </c>
      <c r="AI10" s="12">
        <f t="shared" si="3"/>
        <v>188.4522316637055</v>
      </c>
      <c r="AJ10" s="12">
        <f t="shared" si="3"/>
        <v>188.4522316637055</v>
      </c>
      <c r="AK10" s="12">
        <f t="shared" si="3"/>
        <v>194.17302942895387</v>
      </c>
      <c r="AL10" s="12">
        <f t="shared" si="3"/>
        <v>194.17302942895387</v>
      </c>
      <c r="AM10" s="12">
        <f t="shared" si="3"/>
        <v>194.17302942895387</v>
      </c>
      <c r="AN10" s="12">
        <f t="shared" si="3"/>
        <v>194.17302942895387</v>
      </c>
      <c r="AO10" s="12">
        <f t="shared" si="3"/>
        <v>203.22229134852856</v>
      </c>
      <c r="AP10" s="30">
        <f t="shared" si="3"/>
        <v>203.22229134852856</v>
      </c>
    </row>
    <row r="11" spans="1:42" hidden="1">
      <c r="A11" s="80" t="s">
        <v>5</v>
      </c>
      <c r="B11" s="77">
        <f t="shared" ref="B11:AP11" si="4">B19</f>
        <v>127.5</v>
      </c>
      <c r="C11" s="77">
        <f t="shared" si="4"/>
        <v>178.6</v>
      </c>
      <c r="D11" s="77">
        <f t="shared" si="4"/>
        <v>236.7</v>
      </c>
      <c r="E11" s="77">
        <f t="shared" si="4"/>
        <v>256.8</v>
      </c>
      <c r="F11" s="77">
        <f t="shared" si="4"/>
        <v>256</v>
      </c>
      <c r="G11" s="77">
        <f t="shared" si="4"/>
        <v>274.2</v>
      </c>
      <c r="H11" s="77">
        <f t="shared" si="4"/>
        <v>253.9</v>
      </c>
      <c r="I11" s="77">
        <f t="shared" si="4"/>
        <v>122.3</v>
      </c>
      <c r="J11" s="77">
        <f t="shared" si="4"/>
        <v>130.30000000000001</v>
      </c>
      <c r="K11" s="79">
        <f t="shared" si="4"/>
        <v>126.6</v>
      </c>
      <c r="L11" s="77">
        <f t="shared" si="4"/>
        <v>126.59999999999998</v>
      </c>
      <c r="M11" s="77">
        <f t="shared" si="4"/>
        <v>127.21726107705717</v>
      </c>
      <c r="N11" s="77">
        <f t="shared" si="4"/>
        <v>124.67291585551602</v>
      </c>
      <c r="O11" s="77">
        <f t="shared" si="4"/>
        <v>124.67291585551602</v>
      </c>
      <c r="P11" s="77">
        <f t="shared" si="4"/>
        <v>130.30871524274056</v>
      </c>
      <c r="Q11" s="77">
        <f t="shared" si="4"/>
        <v>130.30871524274056</v>
      </c>
      <c r="R11" s="77">
        <f t="shared" si="4"/>
        <v>130.30871524274056</v>
      </c>
      <c r="S11" s="77">
        <f t="shared" si="4"/>
        <v>127.22203127066068</v>
      </c>
      <c r="T11" s="77">
        <f t="shared" si="4"/>
        <v>135.70940400078788</v>
      </c>
      <c r="U11" s="77">
        <f t="shared" si="4"/>
        <v>135.70940400078788</v>
      </c>
      <c r="V11" s="77">
        <f t="shared" si="4"/>
        <v>137.01198947633247</v>
      </c>
      <c r="W11" s="77">
        <f t="shared" si="4"/>
        <v>138.78640931917954</v>
      </c>
      <c r="X11" s="77">
        <f t="shared" si="4"/>
        <v>144.74386263064383</v>
      </c>
      <c r="Y11" s="77">
        <f t="shared" si="4"/>
        <v>144.74386263064383</v>
      </c>
      <c r="Z11" s="77">
        <f t="shared" si="4"/>
        <v>139.47980420049572</v>
      </c>
      <c r="AA11" s="77">
        <f t="shared" si="4"/>
        <v>141.58894415006171</v>
      </c>
      <c r="AB11" s="77">
        <f t="shared" si="4"/>
        <v>143.69808409962766</v>
      </c>
      <c r="AC11" s="77">
        <f t="shared" si="4"/>
        <v>144.90388303828968</v>
      </c>
      <c r="AD11" s="77">
        <f t="shared" si="4"/>
        <v>144.90388303828968</v>
      </c>
      <c r="AE11" s="77">
        <f t="shared" si="4"/>
        <v>144.90388303828968</v>
      </c>
      <c r="AF11" s="77">
        <f t="shared" si="4"/>
        <v>146.1305717378288</v>
      </c>
      <c r="AG11" s="77">
        <f t="shared" si="4"/>
        <v>146.1305717378288</v>
      </c>
      <c r="AH11" s="77">
        <f t="shared" si="4"/>
        <v>146.1305717378288</v>
      </c>
      <c r="AI11" s="77">
        <f t="shared" si="4"/>
        <v>146.1305717378288</v>
      </c>
      <c r="AJ11" s="77">
        <f t="shared" si="4"/>
        <v>146.1305717378288</v>
      </c>
      <c r="AK11" s="77">
        <f t="shared" si="4"/>
        <v>150.56662134494653</v>
      </c>
      <c r="AL11" s="77">
        <f t="shared" si="4"/>
        <v>150.56662134494653</v>
      </c>
      <c r="AM11" s="77">
        <f t="shared" si="4"/>
        <v>150.56662134494653</v>
      </c>
      <c r="AN11" s="77">
        <f t="shared" si="4"/>
        <v>150.56662134494653</v>
      </c>
      <c r="AO11" s="77">
        <f t="shared" si="4"/>
        <v>157.58364526893274</v>
      </c>
      <c r="AP11" s="81">
        <f t="shared" si="4"/>
        <v>157.58364526893274</v>
      </c>
    </row>
    <row r="12" spans="1:42">
      <c r="A12" s="80" t="s">
        <v>56</v>
      </c>
      <c r="B12" s="77">
        <f t="shared" ref="B12:K12" si="5">B25</f>
        <v>887.1</v>
      </c>
      <c r="C12" s="77">
        <f t="shared" si="5"/>
        <v>857.8</v>
      </c>
      <c r="D12" s="77">
        <f t="shared" si="5"/>
        <v>887</v>
      </c>
      <c r="E12" s="77">
        <f t="shared" si="5"/>
        <v>881.9</v>
      </c>
      <c r="F12" s="77">
        <f t="shared" si="5"/>
        <v>853.1</v>
      </c>
      <c r="G12" s="77">
        <f t="shared" si="5"/>
        <v>872</v>
      </c>
      <c r="H12" s="77">
        <f t="shared" si="5"/>
        <v>874.3</v>
      </c>
      <c r="I12" s="77">
        <f t="shared" si="5"/>
        <v>795.2</v>
      </c>
      <c r="J12" s="77">
        <f t="shared" si="5"/>
        <v>840.8</v>
      </c>
      <c r="K12" s="79">
        <f t="shared" si="5"/>
        <v>847.6</v>
      </c>
      <c r="L12" s="77">
        <f t="shared" ref="L12:AP12" si="6">L14*0.0991</f>
        <v>744.63739999999996</v>
      </c>
      <c r="M12" s="77">
        <f t="shared" si="6"/>
        <v>727.84399480093828</v>
      </c>
      <c r="N12" s="77">
        <f t="shared" si="6"/>
        <v>713.96999480093825</v>
      </c>
      <c r="O12" s="77">
        <f t="shared" si="6"/>
        <v>700.09599480093834</v>
      </c>
      <c r="P12" s="77">
        <f t="shared" si="6"/>
        <v>712.61613856042538</v>
      </c>
      <c r="Q12" s="77">
        <f t="shared" si="6"/>
        <v>698.74213856042547</v>
      </c>
      <c r="R12" s="77">
        <f t="shared" si="6"/>
        <v>684.86813856042545</v>
      </c>
      <c r="S12" s="77">
        <f t="shared" si="6"/>
        <v>645.50933387542716</v>
      </c>
      <c r="T12" s="77">
        <f t="shared" si="6"/>
        <v>656.80364194578613</v>
      </c>
      <c r="U12" s="77">
        <f t="shared" si="6"/>
        <v>642.9296419457861</v>
      </c>
      <c r="V12" s="77">
        <f t="shared" si="6"/>
        <v>642.31889874943613</v>
      </c>
      <c r="W12" s="77">
        <f t="shared" si="6"/>
        <v>641.59287905368819</v>
      </c>
      <c r="X12" s="77">
        <f t="shared" si="6"/>
        <v>653.41701307213793</v>
      </c>
      <c r="Y12" s="77">
        <f t="shared" si="6"/>
        <v>653.41701307213793</v>
      </c>
      <c r="Z12" s="77">
        <f t="shared" si="6"/>
        <v>600.31958046682632</v>
      </c>
      <c r="AA12" s="77">
        <f t="shared" si="6"/>
        <v>610.19731727270243</v>
      </c>
      <c r="AB12" s="77">
        <f t="shared" si="6"/>
        <v>620.07505407857855</v>
      </c>
      <c r="AC12" s="77">
        <f t="shared" si="6"/>
        <v>625.72217320851519</v>
      </c>
      <c r="AD12" s="77">
        <f t="shared" si="6"/>
        <v>625.72217320851519</v>
      </c>
      <c r="AE12" s="77">
        <f t="shared" si="6"/>
        <v>625.72217320851519</v>
      </c>
      <c r="AF12" s="77">
        <f t="shared" si="6"/>
        <v>625.93923549672388</v>
      </c>
      <c r="AG12" s="77">
        <f t="shared" si="6"/>
        <v>625.93923549672388</v>
      </c>
      <c r="AH12" s="77">
        <f t="shared" si="6"/>
        <v>625.93923549672388</v>
      </c>
      <c r="AI12" s="77">
        <f t="shared" si="6"/>
        <v>625.93923549672388</v>
      </c>
      <c r="AJ12" s="77">
        <f t="shared" si="6"/>
        <v>625.93923549672388</v>
      </c>
      <c r="AK12" s="77">
        <f t="shared" si="6"/>
        <v>646.71459015535424</v>
      </c>
      <c r="AL12" s="77">
        <f t="shared" si="6"/>
        <v>646.71459015535424</v>
      </c>
      <c r="AM12" s="77">
        <f t="shared" si="6"/>
        <v>646.71459015535424</v>
      </c>
      <c r="AN12" s="77">
        <f t="shared" si="6"/>
        <v>646.71459015535424</v>
      </c>
      <c r="AO12" s="77">
        <f t="shared" si="6"/>
        <v>679.57742388809652</v>
      </c>
      <c r="AP12" s="81">
        <f t="shared" si="6"/>
        <v>679.57742388809652</v>
      </c>
    </row>
    <row r="13" spans="1:42">
      <c r="A13" s="80" t="s">
        <v>4</v>
      </c>
      <c r="B13" s="77">
        <f t="shared" ref="B13:AP13" si="7">B18</f>
        <v>8261.9</v>
      </c>
      <c r="C13" s="77">
        <f t="shared" si="7"/>
        <v>8092.7</v>
      </c>
      <c r="D13" s="77">
        <f t="shared" si="7"/>
        <v>7895.3</v>
      </c>
      <c r="E13" s="77">
        <f t="shared" si="7"/>
        <v>9424.6</v>
      </c>
      <c r="F13" s="77">
        <f t="shared" si="7"/>
        <v>9347.7000000000007</v>
      </c>
      <c r="G13" s="77">
        <f t="shared" si="7"/>
        <v>8348.5</v>
      </c>
      <c r="H13" s="77">
        <f t="shared" si="7"/>
        <v>6962.6</v>
      </c>
      <c r="I13" s="77">
        <f t="shared" si="7"/>
        <v>6845.1</v>
      </c>
      <c r="J13" s="77">
        <f t="shared" si="7"/>
        <v>7690.1</v>
      </c>
      <c r="K13" s="79">
        <f t="shared" si="7"/>
        <v>7502</v>
      </c>
      <c r="L13" s="77">
        <f t="shared" si="7"/>
        <v>6779</v>
      </c>
      <c r="M13" s="77">
        <f t="shared" si="7"/>
        <v>6753.2090321784372</v>
      </c>
      <c r="N13" s="77">
        <f t="shared" si="7"/>
        <v>6753.2090321784372</v>
      </c>
      <c r="O13" s="77">
        <f t="shared" si="7"/>
        <v>6753.2090321784372</v>
      </c>
      <c r="P13" s="77">
        <f t="shared" si="7"/>
        <v>6986.3834173571149</v>
      </c>
      <c r="Q13" s="77">
        <f t="shared" si="7"/>
        <v>6986.3834173571149</v>
      </c>
      <c r="R13" s="77">
        <f t="shared" si="7"/>
        <v>6986.3834173571149</v>
      </c>
      <c r="S13" s="77">
        <f t="shared" si="7"/>
        <v>6761.242427068797</v>
      </c>
      <c r="T13" s="77">
        <f t="shared" si="7"/>
        <v>6983.5873841081448</v>
      </c>
      <c r="U13" s="77">
        <f t="shared" si="7"/>
        <v>6983.5873841081448</v>
      </c>
      <c r="V13" s="77">
        <f t="shared" si="7"/>
        <v>6978.1918815827094</v>
      </c>
      <c r="W13" s="77">
        <f t="shared" si="7"/>
        <v>6971.777989253932</v>
      </c>
      <c r="X13" s="77">
        <f t="shared" si="7"/>
        <v>7076.2362056350303</v>
      </c>
      <c r="Y13" s="77">
        <f t="shared" si="7"/>
        <v>7076.2362056350303</v>
      </c>
      <c r="Z13" s="77">
        <f t="shared" si="7"/>
        <v>6607.1563478025673</v>
      </c>
      <c r="AA13" s="77">
        <f t="shared" si="7"/>
        <v>6694.4194629714029</v>
      </c>
      <c r="AB13" s="77">
        <f t="shared" si="7"/>
        <v>6781.6825781402395</v>
      </c>
      <c r="AC13" s="77">
        <f t="shared" si="7"/>
        <v>6831.5710512482356</v>
      </c>
      <c r="AD13" s="77">
        <f t="shared" si="7"/>
        <v>6831.5710512482356</v>
      </c>
      <c r="AE13" s="77">
        <f t="shared" si="7"/>
        <v>6831.5710512482356</v>
      </c>
      <c r="AF13" s="77">
        <f t="shared" si="7"/>
        <v>6833.4886495632145</v>
      </c>
      <c r="AG13" s="77">
        <f t="shared" si="7"/>
        <v>6833.4886495632145</v>
      </c>
      <c r="AH13" s="77">
        <f t="shared" si="7"/>
        <v>6833.4886495632145</v>
      </c>
      <c r="AI13" s="77">
        <f t="shared" si="7"/>
        <v>6833.4886495632145</v>
      </c>
      <c r="AJ13" s="77">
        <f t="shared" si="7"/>
        <v>6833.4886495632145</v>
      </c>
      <c r="AK13" s="77">
        <f t="shared" si="7"/>
        <v>7017.0248382548398</v>
      </c>
      <c r="AL13" s="77">
        <f t="shared" si="7"/>
        <v>7017.0248382548398</v>
      </c>
      <c r="AM13" s="77">
        <f t="shared" si="7"/>
        <v>7017.0248382548398</v>
      </c>
      <c r="AN13" s="77">
        <f t="shared" si="7"/>
        <v>7017.0248382548398</v>
      </c>
      <c r="AO13" s="77">
        <f t="shared" si="7"/>
        <v>7307.3457185488642</v>
      </c>
      <c r="AP13" s="81">
        <f t="shared" si="7"/>
        <v>7307.3457185488642</v>
      </c>
    </row>
    <row r="14" spans="1:42">
      <c r="A14" s="47" t="s">
        <v>8</v>
      </c>
      <c r="B14" s="12">
        <f t="shared" ref="B14:AP14" si="8">B22</f>
        <v>8969.9</v>
      </c>
      <c r="C14" s="12">
        <f t="shared" si="8"/>
        <v>8673.7000000000007</v>
      </c>
      <c r="D14" s="12">
        <f t="shared" si="8"/>
        <v>8968.9</v>
      </c>
      <c r="E14" s="12">
        <f t="shared" si="8"/>
        <v>8916.7999999999993</v>
      </c>
      <c r="F14" s="12">
        <f t="shared" si="8"/>
        <v>8625.7999999999993</v>
      </c>
      <c r="G14" s="12">
        <f t="shared" si="8"/>
        <v>8817.2999999999993</v>
      </c>
      <c r="H14" s="12">
        <f t="shared" si="8"/>
        <v>8840.1</v>
      </c>
      <c r="I14" s="12">
        <f t="shared" si="8"/>
        <v>8040.8</v>
      </c>
      <c r="J14" s="12">
        <f t="shared" si="8"/>
        <v>8501.4</v>
      </c>
      <c r="K14" s="11">
        <f t="shared" si="8"/>
        <v>8569</v>
      </c>
      <c r="L14" s="12">
        <f t="shared" si="8"/>
        <v>7514</v>
      </c>
      <c r="M14" s="12">
        <f t="shared" si="8"/>
        <v>7344.5408153475109</v>
      </c>
      <c r="N14" s="12">
        <f t="shared" si="8"/>
        <v>7204.5408153475109</v>
      </c>
      <c r="O14" s="12">
        <f t="shared" si="8"/>
        <v>7064.5408153475109</v>
      </c>
      <c r="P14" s="12">
        <f t="shared" si="8"/>
        <v>7190.8792992979361</v>
      </c>
      <c r="Q14" s="12">
        <f t="shared" si="8"/>
        <v>7050.8792992979361</v>
      </c>
      <c r="R14" s="12">
        <f t="shared" si="8"/>
        <v>6910.8792992979361</v>
      </c>
      <c r="S14" s="12">
        <f t="shared" si="8"/>
        <v>6513.7167898630396</v>
      </c>
      <c r="T14" s="12">
        <f t="shared" si="8"/>
        <v>6627.6855897657533</v>
      </c>
      <c r="U14" s="12">
        <f t="shared" si="8"/>
        <v>6487.6855897657533</v>
      </c>
      <c r="V14" s="12">
        <f t="shared" si="8"/>
        <v>6481.5226917198397</v>
      </c>
      <c r="W14" s="12">
        <f t="shared" si="8"/>
        <v>6474.1965595730398</v>
      </c>
      <c r="X14" s="12">
        <f t="shared" si="8"/>
        <v>6593.5117363485169</v>
      </c>
      <c r="Y14" s="12">
        <f t="shared" si="8"/>
        <v>6593.5117363485169</v>
      </c>
      <c r="Z14" s="12">
        <f t="shared" si="8"/>
        <v>6057.7152418448677</v>
      </c>
      <c r="AA14" s="12">
        <f t="shared" si="8"/>
        <v>6157.3896798456353</v>
      </c>
      <c r="AB14" s="12">
        <f t="shared" si="8"/>
        <v>6257.064117846403</v>
      </c>
      <c r="AC14" s="12">
        <f t="shared" si="8"/>
        <v>6314.0481655753301</v>
      </c>
      <c r="AD14" s="12">
        <f t="shared" si="8"/>
        <v>6314.0481655753301</v>
      </c>
      <c r="AE14" s="12">
        <f t="shared" si="8"/>
        <v>6314.0481655753301</v>
      </c>
      <c r="AF14" s="12">
        <f t="shared" si="8"/>
        <v>6316.2385014805641</v>
      </c>
      <c r="AG14" s="12">
        <f t="shared" si="8"/>
        <v>6316.2385014805641</v>
      </c>
      <c r="AH14" s="12">
        <f t="shared" si="8"/>
        <v>6316.2385014805641</v>
      </c>
      <c r="AI14" s="12">
        <f t="shared" si="8"/>
        <v>6316.2385014805641</v>
      </c>
      <c r="AJ14" s="12">
        <f t="shared" si="8"/>
        <v>6316.2385014805641</v>
      </c>
      <c r="AK14" s="12">
        <f t="shared" si="8"/>
        <v>6525.8788108512035</v>
      </c>
      <c r="AL14" s="12">
        <f t="shared" si="8"/>
        <v>6525.8788108512035</v>
      </c>
      <c r="AM14" s="12">
        <f t="shared" si="8"/>
        <v>6525.8788108512035</v>
      </c>
      <c r="AN14" s="12">
        <f t="shared" si="8"/>
        <v>6525.8788108512035</v>
      </c>
      <c r="AO14" s="12">
        <f t="shared" si="8"/>
        <v>6857.491663855666</v>
      </c>
      <c r="AP14" s="30">
        <f t="shared" si="8"/>
        <v>6857.491663855666</v>
      </c>
    </row>
    <row r="15" spans="1:42" ht="15.75" customHeight="1">
      <c r="A15" s="52" t="s">
        <v>60</v>
      </c>
      <c r="B15" s="38"/>
      <c r="C15" s="38"/>
      <c r="D15" s="38"/>
      <c r="E15" s="38"/>
      <c r="F15" s="38"/>
      <c r="G15" s="38"/>
      <c r="H15" s="38"/>
      <c r="I15" s="38"/>
      <c r="J15" s="38"/>
      <c r="K15" s="82">
        <f>'BAU Data'!K14</f>
        <v>19247.400000000001</v>
      </c>
      <c r="L15" s="38">
        <f>'BAU Data'!L14</f>
        <v>19247.400000000001</v>
      </c>
      <c r="M15" s="38">
        <f>'BAU Data'!M14</f>
        <v>19332.615252429736</v>
      </c>
      <c r="N15" s="38">
        <f>'BAU Data'!N14</f>
        <v>19332.615252429736</v>
      </c>
      <c r="O15" s="38">
        <f>'BAU Data'!O14</f>
        <v>19332.615252429736</v>
      </c>
      <c r="P15" s="38">
        <f>'BAU Data'!P14</f>
        <v>20127.062414172859</v>
      </c>
      <c r="Q15" s="38">
        <f>'BAU Data'!Q14</f>
        <v>20127.062414172859</v>
      </c>
      <c r="R15" s="38">
        <f>'BAU Data'!R14</f>
        <v>20127.062414172859</v>
      </c>
      <c r="S15" s="38">
        <f>'BAU Data'!S14</f>
        <v>19691.841762964643</v>
      </c>
      <c r="T15" s="38">
        <f>'BAU Data'!T14</f>
        <v>20888.116443772509</v>
      </c>
      <c r="U15" s="38">
        <f>'BAU Data'!U14</f>
        <v>20888.116443772509</v>
      </c>
      <c r="V15" s="38">
        <f>'BAU Data'!V14</f>
        <v>21071.668892970105</v>
      </c>
      <c r="W15" s="38">
        <f>'BAU Data'!W14</f>
        <v>21321.710419070594</v>
      </c>
      <c r="X15" s="38">
        <f>'BAU Data'!X14</f>
        <v>24338.488382897944</v>
      </c>
      <c r="Y15" s="38">
        <f>'BAU Data'!Y14</f>
        <v>24338.488382897944</v>
      </c>
      <c r="Z15" s="38">
        <f>'BAU Data'!Z14</f>
        <v>23596.21177857733</v>
      </c>
      <c r="AA15" s="38">
        <f>'BAU Data'!AA14</f>
        <v>23893.525456997115</v>
      </c>
      <c r="AB15" s="38">
        <f>'BAU Data'!AB14</f>
        <v>24190.839135416907</v>
      </c>
      <c r="AC15" s="38">
        <f>'BAU Data'!AC14</f>
        <v>24360.813876999153</v>
      </c>
      <c r="AD15" s="38">
        <f>'BAU Data'!AD14</f>
        <v>24411.119192075341</v>
      </c>
      <c r="AE15" s="38">
        <f>'BAU Data'!AE14</f>
        <v>24411.119192075341</v>
      </c>
      <c r="AF15" s="38">
        <f>'BAU Data'!AF14</f>
        <v>24583.98448914539</v>
      </c>
      <c r="AG15" s="38">
        <f>'BAU Data'!AG14</f>
        <v>24583.98448914539</v>
      </c>
      <c r="AH15" s="38">
        <f>'BAU Data'!AH14</f>
        <v>24583.98448914539</v>
      </c>
      <c r="AI15" s="38">
        <f>'BAU Data'!AI14</f>
        <v>24583.98448914539</v>
      </c>
      <c r="AJ15" s="38">
        <f>'BAU Data'!AJ14</f>
        <v>24583.98448914539</v>
      </c>
      <c r="AK15" s="38">
        <f>'BAU Data'!AK14</f>
        <v>25209.309625401154</v>
      </c>
      <c r="AL15" s="38">
        <f>'BAU Data'!AL14</f>
        <v>25209.309625401154</v>
      </c>
      <c r="AM15" s="38">
        <f>'BAU Data'!AM14</f>
        <v>25209.309625401154</v>
      </c>
      <c r="AN15" s="38">
        <f>'BAU Data'!AN14</f>
        <v>25209.309625401154</v>
      </c>
      <c r="AO15" s="38">
        <f>'BAU Data'!AO14</f>
        <v>26198.46029547846</v>
      </c>
      <c r="AP15" s="39">
        <f>'BAU Data'!AP14</f>
        <v>26198.46029547846</v>
      </c>
    </row>
    <row r="16" spans="1:42" ht="15.75" customHeight="1">
      <c r="A16" s="66"/>
      <c r="B16" s="12"/>
      <c r="C16" s="12"/>
      <c r="D16" s="12"/>
      <c r="E16" s="12"/>
      <c r="F16" s="12"/>
      <c r="G16" s="12"/>
      <c r="H16" s="12"/>
      <c r="I16" s="12"/>
      <c r="J16" s="12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ht="15.75" customHeight="1">
      <c r="A17" s="3" t="s">
        <v>66</v>
      </c>
      <c r="B17" s="3"/>
      <c r="C17" s="3"/>
      <c r="D17" s="3"/>
      <c r="E17" s="3"/>
      <c r="F17" s="3"/>
      <c r="G17" s="3"/>
      <c r="H17" s="3"/>
      <c r="I17" s="3"/>
      <c r="J17" s="3"/>
      <c r="K17" s="6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15.75" customHeight="1">
      <c r="A18" s="57" t="s">
        <v>4</v>
      </c>
      <c r="B18" s="23">
        <f>'BAU Data'!B6</f>
        <v>8261.9</v>
      </c>
      <c r="C18" s="23">
        <f>'BAU Data'!C6</f>
        <v>8092.7</v>
      </c>
      <c r="D18" s="23">
        <f>'BAU Data'!D6</f>
        <v>7895.3</v>
      </c>
      <c r="E18" s="23">
        <f>'BAU Data'!E6</f>
        <v>9424.6</v>
      </c>
      <c r="F18" s="23">
        <f>'BAU Data'!F6</f>
        <v>9347.7000000000007</v>
      </c>
      <c r="G18" s="23">
        <f>'BAU Data'!G6</f>
        <v>8348.5</v>
      </c>
      <c r="H18" s="23">
        <f>'BAU Data'!H6</f>
        <v>6962.6</v>
      </c>
      <c r="I18" s="83">
        <f>'BAU Data'!I6</f>
        <v>6845.1</v>
      </c>
      <c r="J18" s="83">
        <f>'BAU Data'!J6</f>
        <v>7690.1</v>
      </c>
      <c r="K18" s="26">
        <f>'BAU Data'!K6</f>
        <v>7502</v>
      </c>
      <c r="L18" s="25">
        <f t="shared" ref="L18:AP18" si="9">(L62*$B$74*$B$76)-L30</f>
        <v>6779</v>
      </c>
      <c r="M18" s="25">
        <f t="shared" si="9"/>
        <v>6753.2090321784372</v>
      </c>
      <c r="N18" s="25">
        <f t="shared" si="9"/>
        <v>6753.2090321784372</v>
      </c>
      <c r="O18" s="25">
        <f t="shared" si="9"/>
        <v>6753.2090321784372</v>
      </c>
      <c r="P18" s="25">
        <f t="shared" si="9"/>
        <v>6986.3834173571149</v>
      </c>
      <c r="Q18" s="25">
        <f t="shared" si="9"/>
        <v>6986.3834173571149</v>
      </c>
      <c r="R18" s="25">
        <f t="shared" si="9"/>
        <v>6986.3834173571149</v>
      </c>
      <c r="S18" s="25">
        <f t="shared" si="9"/>
        <v>6761.242427068797</v>
      </c>
      <c r="T18" s="25">
        <f t="shared" si="9"/>
        <v>6983.5873841081448</v>
      </c>
      <c r="U18" s="25">
        <f t="shared" si="9"/>
        <v>6983.5873841081448</v>
      </c>
      <c r="V18" s="25">
        <f t="shared" si="9"/>
        <v>6978.1918815827094</v>
      </c>
      <c r="W18" s="25">
        <f t="shared" si="9"/>
        <v>6971.777989253932</v>
      </c>
      <c r="X18" s="25">
        <f t="shared" si="9"/>
        <v>7076.2362056350303</v>
      </c>
      <c r="Y18" s="25">
        <f t="shared" si="9"/>
        <v>7076.2362056350303</v>
      </c>
      <c r="Z18" s="25">
        <f t="shared" si="9"/>
        <v>6607.1563478025673</v>
      </c>
      <c r="AA18" s="25">
        <f t="shared" si="9"/>
        <v>6694.4194629714029</v>
      </c>
      <c r="AB18" s="25">
        <f t="shared" si="9"/>
        <v>6781.6825781402395</v>
      </c>
      <c r="AC18" s="25">
        <f t="shared" si="9"/>
        <v>6831.5710512482356</v>
      </c>
      <c r="AD18" s="25">
        <f t="shared" si="9"/>
        <v>6831.5710512482356</v>
      </c>
      <c r="AE18" s="25">
        <f t="shared" si="9"/>
        <v>6831.5710512482356</v>
      </c>
      <c r="AF18" s="25">
        <f t="shared" si="9"/>
        <v>6833.4886495632145</v>
      </c>
      <c r="AG18" s="25">
        <f t="shared" si="9"/>
        <v>6833.4886495632145</v>
      </c>
      <c r="AH18" s="25">
        <f t="shared" si="9"/>
        <v>6833.4886495632145</v>
      </c>
      <c r="AI18" s="25">
        <f t="shared" si="9"/>
        <v>6833.4886495632145</v>
      </c>
      <c r="AJ18" s="25">
        <f t="shared" si="9"/>
        <v>6833.4886495632145</v>
      </c>
      <c r="AK18" s="25">
        <f t="shared" si="9"/>
        <v>7017.0248382548398</v>
      </c>
      <c r="AL18" s="25">
        <f t="shared" si="9"/>
        <v>7017.0248382548398</v>
      </c>
      <c r="AM18" s="25">
        <f t="shared" si="9"/>
        <v>7017.0248382548398</v>
      </c>
      <c r="AN18" s="25">
        <f t="shared" si="9"/>
        <v>7017.0248382548398</v>
      </c>
      <c r="AO18" s="25">
        <f t="shared" si="9"/>
        <v>7307.3457185488642</v>
      </c>
      <c r="AP18" s="27">
        <f t="shared" si="9"/>
        <v>7307.3457185488642</v>
      </c>
    </row>
    <row r="19" spans="1:42">
      <c r="A19" s="80" t="s">
        <v>5</v>
      </c>
      <c r="B19" s="77">
        <f>'BAU Data'!B7</f>
        <v>127.5</v>
      </c>
      <c r="C19" s="77">
        <f>'BAU Data'!C7</f>
        <v>178.6</v>
      </c>
      <c r="D19" s="77">
        <f>'BAU Data'!D7</f>
        <v>236.7</v>
      </c>
      <c r="E19" s="77">
        <f>'BAU Data'!E7</f>
        <v>256.8</v>
      </c>
      <c r="F19" s="77">
        <f>'BAU Data'!F7</f>
        <v>256</v>
      </c>
      <c r="G19" s="77">
        <f>'BAU Data'!G7</f>
        <v>274.2</v>
      </c>
      <c r="H19" s="77">
        <f>'BAU Data'!H7</f>
        <v>253.9</v>
      </c>
      <c r="I19" s="77">
        <f>'BAU Data'!I7</f>
        <v>122.3</v>
      </c>
      <c r="J19" s="77">
        <f>'BAU Data'!J7</f>
        <v>130.30000000000001</v>
      </c>
      <c r="K19" s="79">
        <f>'BAU Data'!K7</f>
        <v>126.6</v>
      </c>
      <c r="L19" s="77">
        <f t="shared" ref="L19:M19" si="10">L52*$B$79</f>
        <v>126.59999999999998</v>
      </c>
      <c r="M19" s="77">
        <f t="shared" si="10"/>
        <v>127.21726107705717</v>
      </c>
      <c r="N19" s="77">
        <f t="shared" ref="N19:AP19" si="11">N52*$B$79*(0.98)</f>
        <v>124.67291585551602</v>
      </c>
      <c r="O19" s="77">
        <f t="shared" si="11"/>
        <v>124.67291585551602</v>
      </c>
      <c r="P19" s="77">
        <f t="shared" si="11"/>
        <v>130.30871524274056</v>
      </c>
      <c r="Q19" s="77">
        <f t="shared" si="11"/>
        <v>130.30871524274056</v>
      </c>
      <c r="R19" s="77">
        <f t="shared" si="11"/>
        <v>130.30871524274056</v>
      </c>
      <c r="S19" s="77">
        <f t="shared" si="11"/>
        <v>127.22203127066068</v>
      </c>
      <c r="T19" s="77">
        <f t="shared" si="11"/>
        <v>135.70940400078788</v>
      </c>
      <c r="U19" s="77">
        <f t="shared" si="11"/>
        <v>135.70940400078788</v>
      </c>
      <c r="V19" s="77">
        <f t="shared" si="11"/>
        <v>137.01198947633247</v>
      </c>
      <c r="W19" s="77">
        <f t="shared" si="11"/>
        <v>138.78640931917954</v>
      </c>
      <c r="X19" s="77">
        <f t="shared" si="11"/>
        <v>144.74386263064383</v>
      </c>
      <c r="Y19" s="77">
        <f t="shared" si="11"/>
        <v>144.74386263064383</v>
      </c>
      <c r="Z19" s="77">
        <f t="shared" si="11"/>
        <v>139.47980420049572</v>
      </c>
      <c r="AA19" s="77">
        <f t="shared" si="11"/>
        <v>141.58894415006171</v>
      </c>
      <c r="AB19" s="77">
        <f t="shared" si="11"/>
        <v>143.69808409962766</v>
      </c>
      <c r="AC19" s="77">
        <f t="shared" si="11"/>
        <v>144.90388303828968</v>
      </c>
      <c r="AD19" s="77">
        <f t="shared" si="11"/>
        <v>144.90388303828968</v>
      </c>
      <c r="AE19" s="77">
        <f t="shared" si="11"/>
        <v>144.90388303828968</v>
      </c>
      <c r="AF19" s="77">
        <f t="shared" si="11"/>
        <v>146.1305717378288</v>
      </c>
      <c r="AG19" s="77">
        <f t="shared" si="11"/>
        <v>146.1305717378288</v>
      </c>
      <c r="AH19" s="77">
        <f t="shared" si="11"/>
        <v>146.1305717378288</v>
      </c>
      <c r="AI19" s="77">
        <f t="shared" si="11"/>
        <v>146.1305717378288</v>
      </c>
      <c r="AJ19" s="77">
        <f t="shared" si="11"/>
        <v>146.1305717378288</v>
      </c>
      <c r="AK19" s="77">
        <f t="shared" si="11"/>
        <v>150.56662134494653</v>
      </c>
      <c r="AL19" s="77">
        <f t="shared" si="11"/>
        <v>150.56662134494653</v>
      </c>
      <c r="AM19" s="77">
        <f t="shared" si="11"/>
        <v>150.56662134494653</v>
      </c>
      <c r="AN19" s="77">
        <f t="shared" si="11"/>
        <v>150.56662134494653</v>
      </c>
      <c r="AO19" s="77">
        <f t="shared" si="11"/>
        <v>157.58364526893274</v>
      </c>
      <c r="AP19" s="81">
        <f t="shared" si="11"/>
        <v>157.58364526893274</v>
      </c>
    </row>
    <row r="20" spans="1:42">
      <c r="A20" s="80" t="s">
        <v>6</v>
      </c>
      <c r="B20" s="77">
        <f>'BAU Data'!B8</f>
        <v>160</v>
      </c>
      <c r="C20" s="77">
        <f>'BAU Data'!C8</f>
        <v>160</v>
      </c>
      <c r="D20" s="77">
        <f>'BAU Data'!D8</f>
        <v>160</v>
      </c>
      <c r="E20" s="77">
        <f>'BAU Data'!E8</f>
        <v>160</v>
      </c>
      <c r="F20" s="77">
        <f>'BAU Data'!F8</f>
        <v>160</v>
      </c>
      <c r="G20" s="77">
        <f>'BAU Data'!G8</f>
        <v>160</v>
      </c>
      <c r="H20" s="77">
        <f>'BAU Data'!H8</f>
        <v>160</v>
      </c>
      <c r="I20" s="77">
        <f>'BAU Data'!I8</f>
        <v>160</v>
      </c>
      <c r="J20" s="77">
        <f>'BAU Data'!J8</f>
        <v>160</v>
      </c>
      <c r="K20" s="79">
        <f>'BAU Data'!K8</f>
        <v>160</v>
      </c>
      <c r="L20" s="77">
        <f t="shared" ref="L20:AP20" si="12">L52*$B$80</f>
        <v>160</v>
      </c>
      <c r="M20" s="77">
        <f t="shared" si="12"/>
        <v>160.78010878617025</v>
      </c>
      <c r="N20" s="77">
        <f t="shared" si="12"/>
        <v>160.78010878617025</v>
      </c>
      <c r="O20" s="77">
        <f t="shared" si="12"/>
        <v>160.78010878617025</v>
      </c>
      <c r="P20" s="77">
        <f t="shared" si="12"/>
        <v>168.04812231065623</v>
      </c>
      <c r="Q20" s="77">
        <f t="shared" si="12"/>
        <v>168.04812231065623</v>
      </c>
      <c r="R20" s="77">
        <f t="shared" si="12"/>
        <v>168.04812231065623</v>
      </c>
      <c r="S20" s="77">
        <f t="shared" si="12"/>
        <v>164.06748721109159</v>
      </c>
      <c r="T20" s="77">
        <f t="shared" si="12"/>
        <v>175.01293355358405</v>
      </c>
      <c r="U20" s="77">
        <f t="shared" si="12"/>
        <v>175.01293355358405</v>
      </c>
      <c r="V20" s="77">
        <f t="shared" si="12"/>
        <v>176.69276780647061</v>
      </c>
      <c r="W20" s="77">
        <f t="shared" si="12"/>
        <v>178.98108691256996</v>
      </c>
      <c r="X20" s="77">
        <f t="shared" si="12"/>
        <v>186.66391028228887</v>
      </c>
      <c r="Y20" s="77">
        <f t="shared" si="12"/>
        <v>186.66391028228887</v>
      </c>
      <c r="Z20" s="77">
        <f t="shared" si="12"/>
        <v>179.8752996105307</v>
      </c>
      <c r="AA20" s="77">
        <f t="shared" si="12"/>
        <v>182.59527891164424</v>
      </c>
      <c r="AB20" s="77">
        <f t="shared" si="12"/>
        <v>185.31525821275778</v>
      </c>
      <c r="AC20" s="77">
        <f t="shared" si="12"/>
        <v>186.87027505985711</v>
      </c>
      <c r="AD20" s="77">
        <f t="shared" si="12"/>
        <v>186.87027505985711</v>
      </c>
      <c r="AE20" s="77">
        <f t="shared" si="12"/>
        <v>186.87027505985711</v>
      </c>
      <c r="AF20" s="77">
        <f t="shared" si="12"/>
        <v>188.4522316637055</v>
      </c>
      <c r="AG20" s="77">
        <f t="shared" si="12"/>
        <v>188.4522316637055</v>
      </c>
      <c r="AH20" s="77">
        <f t="shared" si="12"/>
        <v>188.4522316637055</v>
      </c>
      <c r="AI20" s="77">
        <f t="shared" si="12"/>
        <v>188.4522316637055</v>
      </c>
      <c r="AJ20" s="77">
        <f t="shared" si="12"/>
        <v>188.4522316637055</v>
      </c>
      <c r="AK20" s="77">
        <f t="shared" si="12"/>
        <v>194.17302942895387</v>
      </c>
      <c r="AL20" s="77">
        <f t="shared" si="12"/>
        <v>194.17302942895387</v>
      </c>
      <c r="AM20" s="77">
        <f t="shared" si="12"/>
        <v>194.17302942895387</v>
      </c>
      <c r="AN20" s="77">
        <f t="shared" si="12"/>
        <v>194.17302942895387</v>
      </c>
      <c r="AO20" s="77">
        <f t="shared" si="12"/>
        <v>203.22229134852856</v>
      </c>
      <c r="AP20" s="81">
        <f t="shared" si="12"/>
        <v>203.22229134852856</v>
      </c>
    </row>
    <row r="21" spans="1:42">
      <c r="A21" s="75" t="s">
        <v>67</v>
      </c>
      <c r="B21" s="18">
        <f>'BAU Data'!B9</f>
        <v>295</v>
      </c>
      <c r="C21" s="18">
        <f>'BAU Data'!C9</f>
        <v>346.1</v>
      </c>
      <c r="D21" s="18">
        <f>'BAU Data'!D9</f>
        <v>404.2</v>
      </c>
      <c r="E21" s="18">
        <f>'BAU Data'!E9</f>
        <v>424.3</v>
      </c>
      <c r="F21" s="18">
        <f>'BAU Data'!F9</f>
        <v>423.5</v>
      </c>
      <c r="G21" s="18">
        <f>'BAU Data'!G9</f>
        <v>441.7</v>
      </c>
      <c r="H21" s="18">
        <f>'BAU Data'!H9</f>
        <v>421.4</v>
      </c>
      <c r="I21" s="18">
        <f>'BAU Data'!I9</f>
        <v>289.8</v>
      </c>
      <c r="J21" s="18">
        <f>'BAU Data'!J9</f>
        <v>297.8</v>
      </c>
      <c r="K21" s="19">
        <f>'BAU Data'!K9</f>
        <v>294.10000000000002</v>
      </c>
      <c r="L21" s="18">
        <v>7.5</v>
      </c>
      <c r="M21" s="18">
        <v>7.5</v>
      </c>
      <c r="N21" s="18">
        <v>7.5</v>
      </c>
      <c r="O21" s="18">
        <v>7.5</v>
      </c>
      <c r="P21" s="18">
        <v>7.5</v>
      </c>
      <c r="Q21" s="18">
        <v>7.5</v>
      </c>
      <c r="R21" s="18">
        <v>7.5</v>
      </c>
      <c r="S21" s="18">
        <v>7.5</v>
      </c>
      <c r="T21" s="18">
        <v>7.5</v>
      </c>
      <c r="U21" s="18">
        <v>7.5</v>
      </c>
      <c r="V21" s="18">
        <v>7.5</v>
      </c>
      <c r="W21" s="18">
        <v>7.5</v>
      </c>
      <c r="X21" s="18">
        <v>7.5</v>
      </c>
      <c r="Y21" s="18">
        <v>7.5</v>
      </c>
      <c r="Z21" s="18">
        <v>7.5</v>
      </c>
      <c r="AA21" s="18">
        <v>7.5</v>
      </c>
      <c r="AB21" s="18">
        <v>7.5</v>
      </c>
      <c r="AC21" s="18">
        <v>7.5</v>
      </c>
      <c r="AD21" s="18">
        <v>7.5</v>
      </c>
      <c r="AE21" s="18">
        <v>7.5</v>
      </c>
      <c r="AF21" s="18">
        <v>7.5</v>
      </c>
      <c r="AG21" s="18">
        <v>7.5</v>
      </c>
      <c r="AH21" s="18">
        <v>7.5</v>
      </c>
      <c r="AI21" s="18">
        <v>7.5</v>
      </c>
      <c r="AJ21" s="18">
        <v>7.5</v>
      </c>
      <c r="AK21" s="18">
        <v>7.5</v>
      </c>
      <c r="AL21" s="18">
        <v>7.5</v>
      </c>
      <c r="AM21" s="18">
        <v>7.5</v>
      </c>
      <c r="AN21" s="18">
        <v>7.5</v>
      </c>
      <c r="AO21" s="18">
        <v>7.5</v>
      </c>
      <c r="AP21" s="78">
        <v>7.5</v>
      </c>
    </row>
    <row r="22" spans="1:42">
      <c r="A22" s="47" t="s">
        <v>8</v>
      </c>
      <c r="B22" s="12">
        <f>'BAU Data'!B10-B25</f>
        <v>8969.9</v>
      </c>
      <c r="C22" s="12">
        <f>'BAU Data'!C10-C25</f>
        <v>8673.7000000000007</v>
      </c>
      <c r="D22" s="12">
        <f>'BAU Data'!D10-D25</f>
        <v>8968.9</v>
      </c>
      <c r="E22" s="12">
        <f>'BAU Data'!E10-E25</f>
        <v>8916.7999999999993</v>
      </c>
      <c r="F22" s="12">
        <f>'BAU Data'!F10-F25</f>
        <v>8625.7999999999993</v>
      </c>
      <c r="G22" s="12">
        <f>'BAU Data'!G10-G25</f>
        <v>8817.2999999999993</v>
      </c>
      <c r="H22" s="12">
        <f>'BAU Data'!H10-H25</f>
        <v>8840.1</v>
      </c>
      <c r="I22" s="12">
        <f>'BAU Data'!I10-I25</f>
        <v>8040.8</v>
      </c>
      <c r="J22" s="12">
        <f>'BAU Data'!J10-J25</f>
        <v>8501.4</v>
      </c>
      <c r="K22" s="11">
        <f>'BAU Data'!K10-K25</f>
        <v>8569</v>
      </c>
      <c r="L22" s="12">
        <f t="shared" ref="L22:AP22" si="13">(L62*$B$75*$B$77)-L33</f>
        <v>7514</v>
      </c>
      <c r="M22" s="12">
        <f t="shared" si="13"/>
        <v>7344.5408153475109</v>
      </c>
      <c r="N22" s="12">
        <f t="shared" si="13"/>
        <v>7204.5408153475109</v>
      </c>
      <c r="O22" s="12">
        <f t="shared" si="13"/>
        <v>7064.5408153475109</v>
      </c>
      <c r="P22" s="12">
        <f t="shared" si="13"/>
        <v>7190.8792992979361</v>
      </c>
      <c r="Q22" s="12">
        <f t="shared" si="13"/>
        <v>7050.8792992979361</v>
      </c>
      <c r="R22" s="12">
        <f t="shared" si="13"/>
        <v>6910.8792992979361</v>
      </c>
      <c r="S22" s="12">
        <f t="shared" si="13"/>
        <v>6513.7167898630396</v>
      </c>
      <c r="T22" s="12">
        <f t="shared" si="13"/>
        <v>6627.6855897657533</v>
      </c>
      <c r="U22" s="12">
        <f t="shared" si="13"/>
        <v>6487.6855897657533</v>
      </c>
      <c r="V22" s="12">
        <f t="shared" si="13"/>
        <v>6481.5226917198397</v>
      </c>
      <c r="W22" s="12">
        <f t="shared" si="13"/>
        <v>6474.1965595730398</v>
      </c>
      <c r="X22" s="12">
        <f t="shared" si="13"/>
        <v>6593.5117363485169</v>
      </c>
      <c r="Y22" s="12">
        <f t="shared" si="13"/>
        <v>6593.5117363485169</v>
      </c>
      <c r="Z22" s="12">
        <f t="shared" si="13"/>
        <v>6057.7152418448677</v>
      </c>
      <c r="AA22" s="12">
        <f t="shared" si="13"/>
        <v>6157.3896798456353</v>
      </c>
      <c r="AB22" s="12">
        <f t="shared" si="13"/>
        <v>6257.064117846403</v>
      </c>
      <c r="AC22" s="12">
        <f t="shared" si="13"/>
        <v>6314.0481655753301</v>
      </c>
      <c r="AD22" s="12">
        <f t="shared" si="13"/>
        <v>6314.0481655753301</v>
      </c>
      <c r="AE22" s="12">
        <f t="shared" si="13"/>
        <v>6314.0481655753301</v>
      </c>
      <c r="AF22" s="12">
        <f t="shared" si="13"/>
        <v>6316.2385014805641</v>
      </c>
      <c r="AG22" s="12">
        <f t="shared" si="13"/>
        <v>6316.2385014805641</v>
      </c>
      <c r="AH22" s="12">
        <f t="shared" si="13"/>
        <v>6316.2385014805641</v>
      </c>
      <c r="AI22" s="12">
        <f t="shared" si="13"/>
        <v>6316.2385014805641</v>
      </c>
      <c r="AJ22" s="12">
        <f t="shared" si="13"/>
        <v>6316.2385014805641</v>
      </c>
      <c r="AK22" s="12">
        <f t="shared" si="13"/>
        <v>6525.8788108512035</v>
      </c>
      <c r="AL22" s="12">
        <f t="shared" si="13"/>
        <v>6525.8788108512035</v>
      </c>
      <c r="AM22" s="12">
        <f t="shared" si="13"/>
        <v>6525.8788108512035</v>
      </c>
      <c r="AN22" s="12">
        <f t="shared" si="13"/>
        <v>6525.8788108512035</v>
      </c>
      <c r="AO22" s="12">
        <f t="shared" si="13"/>
        <v>6857.491663855666</v>
      </c>
      <c r="AP22" s="30">
        <f t="shared" si="13"/>
        <v>6857.491663855666</v>
      </c>
    </row>
    <row r="23" spans="1:42">
      <c r="A23" s="71" t="s">
        <v>9</v>
      </c>
      <c r="B23" s="72">
        <f>'BAU Data'!B11</f>
        <v>1000</v>
      </c>
      <c r="C23" s="72">
        <f>'BAU Data'!C11</f>
        <v>1000</v>
      </c>
      <c r="D23" s="72">
        <f>'BAU Data'!D11</f>
        <v>1000</v>
      </c>
      <c r="E23" s="72">
        <f>'BAU Data'!E11</f>
        <v>1000</v>
      </c>
      <c r="F23" s="72">
        <f>'BAU Data'!F11</f>
        <v>1000</v>
      </c>
      <c r="G23" s="72">
        <f>'BAU Data'!G11</f>
        <v>1000</v>
      </c>
      <c r="H23" s="72">
        <f>'BAU Data'!H11</f>
        <v>1000</v>
      </c>
      <c r="I23" s="72">
        <f>'BAU Data'!I11</f>
        <v>1000</v>
      </c>
      <c r="J23" s="72">
        <f>'BAU Data'!J11</f>
        <v>1000</v>
      </c>
      <c r="K23" s="73">
        <f>'BAU Data'!K11</f>
        <v>1022.5</v>
      </c>
      <c r="L23" s="72">
        <v>1022.5</v>
      </c>
      <c r="M23" s="72">
        <f t="shared" ref="M23:AP23" si="14">L23</f>
        <v>1022.5</v>
      </c>
      <c r="N23" s="72">
        <f t="shared" si="14"/>
        <v>1022.5</v>
      </c>
      <c r="O23" s="72">
        <f t="shared" si="14"/>
        <v>1022.5</v>
      </c>
      <c r="P23" s="72">
        <f t="shared" si="14"/>
        <v>1022.5</v>
      </c>
      <c r="Q23" s="72">
        <f t="shared" si="14"/>
        <v>1022.5</v>
      </c>
      <c r="R23" s="72">
        <f t="shared" si="14"/>
        <v>1022.5</v>
      </c>
      <c r="S23" s="72">
        <f t="shared" si="14"/>
        <v>1022.5</v>
      </c>
      <c r="T23" s="72">
        <f t="shared" si="14"/>
        <v>1022.5</v>
      </c>
      <c r="U23" s="72">
        <f t="shared" si="14"/>
        <v>1022.5</v>
      </c>
      <c r="V23" s="72">
        <f t="shared" si="14"/>
        <v>1022.5</v>
      </c>
      <c r="W23" s="72">
        <f t="shared" si="14"/>
        <v>1022.5</v>
      </c>
      <c r="X23" s="72">
        <f t="shared" si="14"/>
        <v>1022.5</v>
      </c>
      <c r="Y23" s="72">
        <f t="shared" si="14"/>
        <v>1022.5</v>
      </c>
      <c r="Z23" s="72">
        <f t="shared" si="14"/>
        <v>1022.5</v>
      </c>
      <c r="AA23" s="72">
        <f t="shared" si="14"/>
        <v>1022.5</v>
      </c>
      <c r="AB23" s="72">
        <f t="shared" si="14"/>
        <v>1022.5</v>
      </c>
      <c r="AC23" s="72">
        <f t="shared" si="14"/>
        <v>1022.5</v>
      </c>
      <c r="AD23" s="72">
        <f t="shared" si="14"/>
        <v>1022.5</v>
      </c>
      <c r="AE23" s="72">
        <f t="shared" si="14"/>
        <v>1022.5</v>
      </c>
      <c r="AF23" s="72">
        <f t="shared" si="14"/>
        <v>1022.5</v>
      </c>
      <c r="AG23" s="72">
        <f t="shared" si="14"/>
        <v>1022.5</v>
      </c>
      <c r="AH23" s="72">
        <f t="shared" si="14"/>
        <v>1022.5</v>
      </c>
      <c r="AI23" s="72">
        <f t="shared" si="14"/>
        <v>1022.5</v>
      </c>
      <c r="AJ23" s="72">
        <f t="shared" si="14"/>
        <v>1022.5</v>
      </c>
      <c r="AK23" s="72">
        <f t="shared" si="14"/>
        <v>1022.5</v>
      </c>
      <c r="AL23" s="72">
        <f t="shared" si="14"/>
        <v>1022.5</v>
      </c>
      <c r="AM23" s="72">
        <f t="shared" si="14"/>
        <v>1022.5</v>
      </c>
      <c r="AN23" s="72">
        <f t="shared" si="14"/>
        <v>1022.5</v>
      </c>
      <c r="AO23" s="72">
        <f t="shared" si="14"/>
        <v>1022.5</v>
      </c>
      <c r="AP23" s="74">
        <f t="shared" si="14"/>
        <v>1022.5</v>
      </c>
    </row>
    <row r="24" spans="1:42">
      <c r="A24" s="80" t="s">
        <v>68</v>
      </c>
      <c r="B24" s="77">
        <f>'BAU Data'!B12</f>
        <v>727.9</v>
      </c>
      <c r="C24" s="77">
        <f>'BAU Data'!C12</f>
        <v>720.2</v>
      </c>
      <c r="D24" s="77">
        <f>'BAU Data'!D12</f>
        <v>725.5</v>
      </c>
      <c r="E24" s="77">
        <f>'BAU Data'!E12</f>
        <v>715.6</v>
      </c>
      <c r="F24" s="77">
        <f>'BAU Data'!F12</f>
        <v>723</v>
      </c>
      <c r="G24" s="77">
        <f>'BAU Data'!G12</f>
        <v>713.2</v>
      </c>
      <c r="H24" s="77">
        <f>'BAU Data'!H12</f>
        <v>729.6</v>
      </c>
      <c r="I24" s="77">
        <f>'BAU Data'!I12</f>
        <v>754</v>
      </c>
      <c r="J24" s="77">
        <f>'BAU Data'!J12</f>
        <v>725.6</v>
      </c>
      <c r="K24" s="79">
        <f>'BAU Data'!K12</f>
        <v>725.6</v>
      </c>
      <c r="L24" s="77">
        <v>725.6</v>
      </c>
      <c r="M24" s="77">
        <v>725.6</v>
      </c>
      <c r="N24" s="77">
        <v>725.6</v>
      </c>
      <c r="O24" s="77">
        <v>725.6</v>
      </c>
      <c r="P24" s="77">
        <v>725.6</v>
      </c>
      <c r="Q24" s="77">
        <v>725.6</v>
      </c>
      <c r="R24" s="77">
        <v>725.6</v>
      </c>
      <c r="S24" s="77">
        <v>725.6</v>
      </c>
      <c r="T24" s="77">
        <v>725.6</v>
      </c>
      <c r="U24" s="77">
        <v>725.6</v>
      </c>
      <c r="V24" s="77">
        <v>725.6</v>
      </c>
      <c r="W24" s="77">
        <v>725.6</v>
      </c>
      <c r="X24" s="77">
        <v>725.6</v>
      </c>
      <c r="Y24" s="77">
        <v>725.6</v>
      </c>
      <c r="Z24" s="77">
        <v>725.6</v>
      </c>
      <c r="AA24" s="77">
        <v>725.6</v>
      </c>
      <c r="AB24" s="77">
        <v>725.6</v>
      </c>
      <c r="AC24" s="77">
        <v>725.6</v>
      </c>
      <c r="AD24" s="77">
        <v>725.6</v>
      </c>
      <c r="AE24" s="77">
        <v>725.6</v>
      </c>
      <c r="AF24" s="77">
        <v>725.6</v>
      </c>
      <c r="AG24" s="77">
        <v>725.6</v>
      </c>
      <c r="AH24" s="77">
        <v>725.6</v>
      </c>
      <c r="AI24" s="77">
        <v>725.6</v>
      </c>
      <c r="AJ24" s="77">
        <v>725.6</v>
      </c>
      <c r="AK24" s="77">
        <v>725.6</v>
      </c>
      <c r="AL24" s="77">
        <v>725.6</v>
      </c>
      <c r="AM24" s="77">
        <v>725.6</v>
      </c>
      <c r="AN24" s="77">
        <v>725.6</v>
      </c>
      <c r="AO24" s="77">
        <v>725.6</v>
      </c>
      <c r="AP24" s="81">
        <v>725.6</v>
      </c>
    </row>
    <row r="25" spans="1:42">
      <c r="A25" s="47" t="s">
        <v>56</v>
      </c>
      <c r="B25" s="2">
        <v>887.1</v>
      </c>
      <c r="C25" s="2">
        <v>857.8</v>
      </c>
      <c r="D25" s="2">
        <v>887</v>
      </c>
      <c r="E25" s="2">
        <v>881.9</v>
      </c>
      <c r="F25" s="2">
        <v>853.1</v>
      </c>
      <c r="G25" s="2">
        <v>872</v>
      </c>
      <c r="H25" s="2">
        <v>874.3</v>
      </c>
      <c r="I25" s="2">
        <v>795.2</v>
      </c>
      <c r="J25" s="2">
        <v>840.8</v>
      </c>
      <c r="K25" s="20">
        <v>847.6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32"/>
    </row>
    <row r="26" spans="1:42" ht="15.75" customHeight="1">
      <c r="A26" s="84" t="s">
        <v>11</v>
      </c>
      <c r="B26" s="85">
        <f t="shared" ref="B26:AP26" si="15">SUM(B18:B24)</f>
        <v>19542.2</v>
      </c>
      <c r="C26" s="85">
        <f t="shared" si="15"/>
        <v>19171.3</v>
      </c>
      <c r="D26" s="85">
        <f t="shared" si="15"/>
        <v>19390.599999999999</v>
      </c>
      <c r="E26" s="85">
        <f t="shared" si="15"/>
        <v>20898.099999999999</v>
      </c>
      <c r="F26" s="85">
        <f t="shared" si="15"/>
        <v>20536</v>
      </c>
      <c r="G26" s="85">
        <f t="shared" si="15"/>
        <v>19754.900000000001</v>
      </c>
      <c r="H26" s="85">
        <f t="shared" si="15"/>
        <v>18367.599999999999</v>
      </c>
      <c r="I26" s="85">
        <f t="shared" si="15"/>
        <v>17212</v>
      </c>
      <c r="J26" s="85">
        <f t="shared" si="15"/>
        <v>18505.199999999997</v>
      </c>
      <c r="K26" s="86">
        <f t="shared" si="15"/>
        <v>18399.8</v>
      </c>
      <c r="L26" s="85">
        <f t="shared" si="15"/>
        <v>16335.2</v>
      </c>
      <c r="M26" s="85">
        <f t="shared" si="15"/>
        <v>16141.347217389175</v>
      </c>
      <c r="N26" s="85">
        <f t="shared" si="15"/>
        <v>15998.802872167635</v>
      </c>
      <c r="O26" s="85">
        <f t="shared" si="15"/>
        <v>15858.802872167635</v>
      </c>
      <c r="P26" s="85">
        <f t="shared" si="15"/>
        <v>16231.219554208448</v>
      </c>
      <c r="Q26" s="85">
        <f t="shared" si="15"/>
        <v>16091.219554208448</v>
      </c>
      <c r="R26" s="85">
        <f t="shared" si="15"/>
        <v>15951.219554208448</v>
      </c>
      <c r="S26" s="85">
        <f t="shared" si="15"/>
        <v>15321.848735413589</v>
      </c>
      <c r="T26" s="85">
        <f t="shared" si="15"/>
        <v>15677.595311428269</v>
      </c>
      <c r="U26" s="85">
        <f t="shared" si="15"/>
        <v>15537.595311428269</v>
      </c>
      <c r="V26" s="85">
        <f t="shared" si="15"/>
        <v>15529.019330585352</v>
      </c>
      <c r="W26" s="85">
        <f t="shared" si="15"/>
        <v>15519.342045058722</v>
      </c>
      <c r="X26" s="85">
        <f t="shared" si="15"/>
        <v>15756.755714896481</v>
      </c>
      <c r="Y26" s="85">
        <f t="shared" si="15"/>
        <v>15756.755714896481</v>
      </c>
      <c r="Z26" s="85">
        <f t="shared" si="15"/>
        <v>14739.826693458463</v>
      </c>
      <c r="AA26" s="85">
        <f t="shared" si="15"/>
        <v>14931.593365878745</v>
      </c>
      <c r="AB26" s="85">
        <f t="shared" si="15"/>
        <v>15123.360038299028</v>
      </c>
      <c r="AC26" s="85">
        <f t="shared" si="15"/>
        <v>15232.993374921713</v>
      </c>
      <c r="AD26" s="85">
        <f t="shared" si="15"/>
        <v>15232.993374921713</v>
      </c>
      <c r="AE26" s="85">
        <f t="shared" si="15"/>
        <v>15232.993374921713</v>
      </c>
      <c r="AF26" s="85">
        <f t="shared" si="15"/>
        <v>15239.909954445315</v>
      </c>
      <c r="AG26" s="85">
        <f t="shared" si="15"/>
        <v>15239.909954445315</v>
      </c>
      <c r="AH26" s="85">
        <f t="shared" si="15"/>
        <v>15239.909954445315</v>
      </c>
      <c r="AI26" s="85">
        <f t="shared" si="15"/>
        <v>15239.909954445315</v>
      </c>
      <c r="AJ26" s="85">
        <f t="shared" si="15"/>
        <v>15239.909954445315</v>
      </c>
      <c r="AK26" s="85">
        <f t="shared" si="15"/>
        <v>15643.243299879943</v>
      </c>
      <c r="AL26" s="85">
        <f t="shared" si="15"/>
        <v>15643.243299879943</v>
      </c>
      <c r="AM26" s="85">
        <f t="shared" si="15"/>
        <v>15643.243299879943</v>
      </c>
      <c r="AN26" s="85">
        <f t="shared" si="15"/>
        <v>15643.243299879943</v>
      </c>
      <c r="AO26" s="85">
        <f t="shared" si="15"/>
        <v>16281.243319021991</v>
      </c>
      <c r="AP26" s="87">
        <f t="shared" si="15"/>
        <v>16281.243319021991</v>
      </c>
    </row>
    <row r="27" spans="1:42" ht="15.75" customHeight="1">
      <c r="A27" s="66"/>
      <c r="B27" s="66"/>
      <c r="C27" s="66"/>
      <c r="D27" s="66"/>
      <c r="E27" s="66"/>
      <c r="F27" s="66"/>
      <c r="G27" s="66"/>
      <c r="H27" s="66"/>
      <c r="I27" s="66"/>
      <c r="J27" s="2"/>
      <c r="K27" s="2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</row>
    <row r="28" spans="1:42" ht="15.75" customHeight="1">
      <c r="A28" s="3" t="s">
        <v>69</v>
      </c>
      <c r="B28" s="66"/>
      <c r="C28" s="66"/>
      <c r="D28" s="66"/>
      <c r="E28" s="66"/>
      <c r="F28" s="66"/>
      <c r="G28" s="66"/>
      <c r="H28" s="66"/>
      <c r="I28" s="66"/>
      <c r="J28" s="2"/>
      <c r="K28" s="2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</row>
    <row r="29" spans="1:42" ht="15.75" customHeight="1">
      <c r="A29" s="57" t="s">
        <v>70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5">
        <f>208+140+375</f>
        <v>723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/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/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/>
      <c r="AO29" s="25">
        <v>0</v>
      </c>
      <c r="AP29" s="27">
        <v>0</v>
      </c>
    </row>
    <row r="30" spans="1:42">
      <c r="A30" s="47" t="s">
        <v>71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12">
        <f t="shared" ref="L30:AP30" si="16">L29+K30</f>
        <v>723</v>
      </c>
      <c r="M30" s="12">
        <f t="shared" si="16"/>
        <v>723</v>
      </c>
      <c r="N30" s="12">
        <f t="shared" si="16"/>
        <v>723</v>
      </c>
      <c r="O30" s="12">
        <f t="shared" si="16"/>
        <v>723</v>
      </c>
      <c r="P30" s="12">
        <f t="shared" si="16"/>
        <v>723</v>
      </c>
      <c r="Q30" s="12">
        <f t="shared" si="16"/>
        <v>723</v>
      </c>
      <c r="R30" s="12">
        <f t="shared" si="16"/>
        <v>723</v>
      </c>
      <c r="S30" s="12">
        <f t="shared" si="16"/>
        <v>723</v>
      </c>
      <c r="T30" s="12">
        <f t="shared" si="16"/>
        <v>723</v>
      </c>
      <c r="U30" s="12">
        <f t="shared" si="16"/>
        <v>723</v>
      </c>
      <c r="V30" s="12">
        <f t="shared" si="16"/>
        <v>723</v>
      </c>
      <c r="W30" s="12">
        <f t="shared" si="16"/>
        <v>723</v>
      </c>
      <c r="X30" s="12">
        <f t="shared" si="16"/>
        <v>723</v>
      </c>
      <c r="Y30" s="12">
        <f t="shared" si="16"/>
        <v>723</v>
      </c>
      <c r="Z30" s="12">
        <f t="shared" si="16"/>
        <v>723</v>
      </c>
      <c r="AA30" s="12">
        <f t="shared" si="16"/>
        <v>723</v>
      </c>
      <c r="AB30" s="12">
        <f t="shared" si="16"/>
        <v>723</v>
      </c>
      <c r="AC30" s="12">
        <f t="shared" si="16"/>
        <v>723</v>
      </c>
      <c r="AD30" s="12">
        <f t="shared" si="16"/>
        <v>723</v>
      </c>
      <c r="AE30" s="12">
        <f t="shared" si="16"/>
        <v>723</v>
      </c>
      <c r="AF30" s="12">
        <f t="shared" si="16"/>
        <v>723</v>
      </c>
      <c r="AG30" s="12">
        <f t="shared" si="16"/>
        <v>723</v>
      </c>
      <c r="AH30" s="12">
        <f t="shared" si="16"/>
        <v>723</v>
      </c>
      <c r="AI30" s="12">
        <f t="shared" si="16"/>
        <v>723</v>
      </c>
      <c r="AJ30" s="12">
        <f t="shared" si="16"/>
        <v>723</v>
      </c>
      <c r="AK30" s="12">
        <f t="shared" si="16"/>
        <v>723</v>
      </c>
      <c r="AL30" s="12">
        <f t="shared" si="16"/>
        <v>723</v>
      </c>
      <c r="AM30" s="12">
        <f t="shared" si="16"/>
        <v>723</v>
      </c>
      <c r="AN30" s="12">
        <f t="shared" si="16"/>
        <v>723</v>
      </c>
      <c r="AO30" s="12">
        <f t="shared" si="16"/>
        <v>723</v>
      </c>
      <c r="AP30" s="30">
        <f t="shared" si="16"/>
        <v>723</v>
      </c>
    </row>
    <row r="31" spans="1:42" ht="5.25" customHeight="1">
      <c r="A31" s="47"/>
      <c r="B31" s="2"/>
      <c r="C31" s="2"/>
      <c r="D31" s="2"/>
      <c r="E31" s="2"/>
      <c r="F31" s="2"/>
      <c r="G31" s="2"/>
      <c r="H31" s="2"/>
      <c r="I31" s="2"/>
      <c r="J31" s="2"/>
      <c r="K31" s="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0"/>
    </row>
    <row r="32" spans="1:42">
      <c r="A32" s="47" t="s">
        <v>72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12">
        <f>140+430+485</f>
        <v>1055</v>
      </c>
      <c r="M32" s="12">
        <v>140</v>
      </c>
      <c r="N32" s="12">
        <v>140</v>
      </c>
      <c r="O32" s="12">
        <v>140</v>
      </c>
      <c r="P32" s="12">
        <f>140</f>
        <v>140</v>
      </c>
      <c r="Q32" s="12">
        <v>140</v>
      </c>
      <c r="R32" s="12">
        <v>140</v>
      </c>
      <c r="S32" s="12">
        <f>140</f>
        <v>140</v>
      </c>
      <c r="T32" s="12">
        <v>140</v>
      </c>
      <c r="U32" s="12">
        <f>140</f>
        <v>140</v>
      </c>
      <c r="V32" s="12"/>
      <c r="W32" s="12"/>
      <c r="X32" s="12"/>
      <c r="Y32" s="12">
        <v>0</v>
      </c>
      <c r="Z32" s="12"/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/>
      <c r="AM32" s="12">
        <v>0</v>
      </c>
      <c r="AN32" s="12">
        <v>0</v>
      </c>
      <c r="AO32" s="12">
        <v>0</v>
      </c>
      <c r="AP32" s="30">
        <v>0</v>
      </c>
    </row>
    <row r="33" spans="1:42" ht="15.75" customHeight="1">
      <c r="A33" s="52" t="s">
        <v>73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8">
        <f t="shared" ref="L33:AP33" si="17">L32+K33</f>
        <v>1055</v>
      </c>
      <c r="M33" s="38">
        <f t="shared" si="17"/>
        <v>1195</v>
      </c>
      <c r="N33" s="38">
        <f t="shared" si="17"/>
        <v>1335</v>
      </c>
      <c r="O33" s="38">
        <f t="shared" si="17"/>
        <v>1475</v>
      </c>
      <c r="P33" s="38">
        <f t="shared" si="17"/>
        <v>1615</v>
      </c>
      <c r="Q33" s="38">
        <f t="shared" si="17"/>
        <v>1755</v>
      </c>
      <c r="R33" s="38">
        <f t="shared" si="17"/>
        <v>1895</v>
      </c>
      <c r="S33" s="38">
        <f t="shared" si="17"/>
        <v>2035</v>
      </c>
      <c r="T33" s="38">
        <f t="shared" si="17"/>
        <v>2175</v>
      </c>
      <c r="U33" s="38">
        <f t="shared" si="17"/>
        <v>2315</v>
      </c>
      <c r="V33" s="38">
        <f t="shared" si="17"/>
        <v>2315</v>
      </c>
      <c r="W33" s="38">
        <f t="shared" si="17"/>
        <v>2315</v>
      </c>
      <c r="X33" s="38">
        <f t="shared" si="17"/>
        <v>2315</v>
      </c>
      <c r="Y33" s="38">
        <f t="shared" si="17"/>
        <v>2315</v>
      </c>
      <c r="Z33" s="38">
        <f t="shared" si="17"/>
        <v>2315</v>
      </c>
      <c r="AA33" s="38">
        <f t="shared" si="17"/>
        <v>2315</v>
      </c>
      <c r="AB33" s="38">
        <f t="shared" si="17"/>
        <v>2315</v>
      </c>
      <c r="AC33" s="38">
        <f t="shared" si="17"/>
        <v>2315</v>
      </c>
      <c r="AD33" s="38">
        <f t="shared" si="17"/>
        <v>2315</v>
      </c>
      <c r="AE33" s="38">
        <f t="shared" si="17"/>
        <v>2315</v>
      </c>
      <c r="AF33" s="38">
        <f t="shared" si="17"/>
        <v>2315</v>
      </c>
      <c r="AG33" s="38">
        <f t="shared" si="17"/>
        <v>2315</v>
      </c>
      <c r="AH33" s="38">
        <f t="shared" si="17"/>
        <v>2315</v>
      </c>
      <c r="AI33" s="38">
        <f t="shared" si="17"/>
        <v>2315</v>
      </c>
      <c r="AJ33" s="38">
        <f t="shared" si="17"/>
        <v>2315</v>
      </c>
      <c r="AK33" s="38">
        <f t="shared" si="17"/>
        <v>2315</v>
      </c>
      <c r="AL33" s="38">
        <f t="shared" si="17"/>
        <v>2315</v>
      </c>
      <c r="AM33" s="38">
        <f t="shared" si="17"/>
        <v>2315</v>
      </c>
      <c r="AN33" s="38">
        <f t="shared" si="17"/>
        <v>2315</v>
      </c>
      <c r="AO33" s="38">
        <f t="shared" si="17"/>
        <v>2315</v>
      </c>
      <c r="AP33" s="39">
        <f t="shared" si="17"/>
        <v>2315</v>
      </c>
    </row>
    <row r="34" spans="1:42" ht="4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>
      <c r="A35" s="66"/>
      <c r="B35" s="66"/>
      <c r="C35" s="66"/>
      <c r="D35" s="66"/>
      <c r="E35" s="66"/>
      <c r="F35" s="66"/>
      <c r="G35" s="66"/>
      <c r="H35" s="66"/>
      <c r="I35" s="66"/>
      <c r="J35" s="2"/>
      <c r="K35" s="2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</row>
    <row r="36" spans="1:42" ht="15.75" customHeight="1">
      <c r="A36" s="3" t="s">
        <v>12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</row>
    <row r="37" spans="1:42" ht="15.75" customHeight="1">
      <c r="A37" s="57" t="s">
        <v>13</v>
      </c>
      <c r="B37" s="24">
        <v>1538247</v>
      </c>
      <c r="C37" s="25">
        <f>B37</f>
        <v>1538247</v>
      </c>
      <c r="D37" s="25">
        <f>B37</f>
        <v>1538247</v>
      </c>
      <c r="E37" s="25">
        <f t="shared" ref="E37:K37" si="18">D37</f>
        <v>1538247</v>
      </c>
      <c r="F37" s="25">
        <f t="shared" si="18"/>
        <v>1538247</v>
      </c>
      <c r="G37" s="25">
        <f t="shared" si="18"/>
        <v>1538247</v>
      </c>
      <c r="H37" s="25">
        <f t="shared" si="18"/>
        <v>1538247</v>
      </c>
      <c r="I37" s="25">
        <f t="shared" si="18"/>
        <v>1538247</v>
      </c>
      <c r="J37" s="26">
        <f t="shared" si="18"/>
        <v>1538247</v>
      </c>
      <c r="K37" s="88">
        <f t="shared" si="18"/>
        <v>1538247</v>
      </c>
      <c r="L37" s="25">
        <f t="shared" ref="L37:AP37" si="19">L52</f>
        <v>1538247</v>
      </c>
      <c r="M37" s="25">
        <f t="shared" si="19"/>
        <v>1545747</v>
      </c>
      <c r="N37" s="25">
        <f t="shared" si="19"/>
        <v>1545747</v>
      </c>
      <c r="O37" s="25">
        <f t="shared" si="19"/>
        <v>1545747</v>
      </c>
      <c r="P37" s="25">
        <f t="shared" si="19"/>
        <v>1615622</v>
      </c>
      <c r="Q37" s="25">
        <f t="shared" si="19"/>
        <v>1615622</v>
      </c>
      <c r="R37" s="25">
        <f t="shared" si="19"/>
        <v>1615622</v>
      </c>
      <c r="S37" s="25">
        <f t="shared" si="19"/>
        <v>1577352</v>
      </c>
      <c r="T37" s="25">
        <f t="shared" si="19"/>
        <v>1682582</v>
      </c>
      <c r="U37" s="25">
        <f t="shared" si="19"/>
        <v>1682582</v>
      </c>
      <c r="V37" s="25">
        <f t="shared" si="19"/>
        <v>1698732</v>
      </c>
      <c r="W37" s="25">
        <f t="shared" si="19"/>
        <v>1720732</v>
      </c>
      <c r="X37" s="25">
        <f t="shared" si="19"/>
        <v>1794595</v>
      </c>
      <c r="Y37" s="25">
        <f t="shared" si="19"/>
        <v>1794595</v>
      </c>
      <c r="Z37" s="25">
        <f t="shared" si="19"/>
        <v>1729329</v>
      </c>
      <c r="AA37" s="25">
        <f t="shared" si="19"/>
        <v>1755479</v>
      </c>
      <c r="AB37" s="25">
        <f t="shared" si="19"/>
        <v>1781629</v>
      </c>
      <c r="AC37" s="25">
        <f t="shared" si="19"/>
        <v>1796579</v>
      </c>
      <c r="AD37" s="25">
        <f t="shared" si="19"/>
        <v>1796579</v>
      </c>
      <c r="AE37" s="25">
        <f t="shared" si="19"/>
        <v>1796579</v>
      </c>
      <c r="AF37" s="25">
        <f t="shared" si="19"/>
        <v>1811788</v>
      </c>
      <c r="AG37" s="25">
        <f t="shared" si="19"/>
        <v>1811788</v>
      </c>
      <c r="AH37" s="25">
        <f t="shared" si="19"/>
        <v>1811788</v>
      </c>
      <c r="AI37" s="25">
        <f t="shared" si="19"/>
        <v>1811788</v>
      </c>
      <c r="AJ37" s="25">
        <f t="shared" si="19"/>
        <v>1811788</v>
      </c>
      <c r="AK37" s="25">
        <f t="shared" si="19"/>
        <v>1866788</v>
      </c>
      <c r="AL37" s="25">
        <f t="shared" si="19"/>
        <v>1866788</v>
      </c>
      <c r="AM37" s="25">
        <f t="shared" si="19"/>
        <v>1866788</v>
      </c>
      <c r="AN37" s="25">
        <f t="shared" si="19"/>
        <v>1866788</v>
      </c>
      <c r="AO37" s="25">
        <f t="shared" si="19"/>
        <v>1953788</v>
      </c>
      <c r="AP37" s="27">
        <f t="shared" si="19"/>
        <v>1953788</v>
      </c>
    </row>
    <row r="38" spans="1:42">
      <c r="A38" s="47" t="s">
        <v>14</v>
      </c>
      <c r="B38" s="28">
        <f t="shared" ref="B38:J38" si="20">B26/B37</f>
        <v>1.2704201600913248E-2</v>
      </c>
      <c r="C38" s="28">
        <f t="shared" si="20"/>
        <v>1.2463082976921131E-2</v>
      </c>
      <c r="D38" s="28">
        <f t="shared" si="20"/>
        <v>1.260564785759374E-2</v>
      </c>
      <c r="E38" s="28">
        <f t="shared" si="20"/>
        <v>1.3585659520220094E-2</v>
      </c>
      <c r="F38" s="28">
        <f t="shared" si="20"/>
        <v>1.3350261693993228E-2</v>
      </c>
      <c r="G38" s="28">
        <f t="shared" si="20"/>
        <v>1.2842475883261921E-2</v>
      </c>
      <c r="H38" s="28">
        <f t="shared" si="20"/>
        <v>1.1940605117383618E-2</v>
      </c>
      <c r="I38" s="28">
        <f t="shared" si="20"/>
        <v>1.1189360356301687E-2</v>
      </c>
      <c r="J38" s="29">
        <f t="shared" si="20"/>
        <v>1.2030057591531137E-2</v>
      </c>
      <c r="K38" s="89">
        <f t="shared" ref="K38:AP38" si="21">K37*$B$39</f>
        <v>19264.211111111112</v>
      </c>
      <c r="L38" s="12">
        <f t="shared" si="21"/>
        <v>19264.211111111112</v>
      </c>
      <c r="M38" s="12">
        <f t="shared" si="21"/>
        <v>19358.137238276213</v>
      </c>
      <c r="N38" s="12">
        <f t="shared" si="21"/>
        <v>19358.137238276213</v>
      </c>
      <c r="O38" s="12">
        <f t="shared" si="21"/>
        <v>19358.137238276213</v>
      </c>
      <c r="P38" s="12">
        <f t="shared" si="21"/>
        <v>20233.215656364391</v>
      </c>
      <c r="Q38" s="12">
        <f t="shared" si="21"/>
        <v>20233.215656364391</v>
      </c>
      <c r="R38" s="12">
        <f t="shared" si="21"/>
        <v>20233.215656364391</v>
      </c>
      <c r="S38" s="12">
        <f t="shared" si="21"/>
        <v>19753.941938149943</v>
      </c>
      <c r="T38" s="12">
        <f t="shared" si="21"/>
        <v>21071.788119694404</v>
      </c>
      <c r="U38" s="12">
        <f t="shared" si="21"/>
        <v>21071.788119694404</v>
      </c>
      <c r="V38" s="12">
        <f t="shared" si="21"/>
        <v>21274.04238018992</v>
      </c>
      <c r="W38" s="12">
        <f t="shared" si="21"/>
        <v>21549.55901987421</v>
      </c>
      <c r="X38" s="12">
        <f t="shared" si="21"/>
        <v>22474.581090646981</v>
      </c>
      <c r="Y38" s="12">
        <f t="shared" si="21"/>
        <v>22474.581090646981</v>
      </c>
      <c r="Z38" s="12">
        <f t="shared" si="21"/>
        <v>21657.22340857266</v>
      </c>
      <c r="AA38" s="12">
        <f t="shared" si="21"/>
        <v>21984.712505288309</v>
      </c>
      <c r="AB38" s="12">
        <f t="shared" si="21"/>
        <v>22312.201602003955</v>
      </c>
      <c r="AC38" s="12">
        <f t="shared" si="21"/>
        <v>22499.427682153055</v>
      </c>
      <c r="AD38" s="12">
        <f t="shared" si="21"/>
        <v>22499.427682153055</v>
      </c>
      <c r="AE38" s="12">
        <f t="shared" si="21"/>
        <v>22499.427682153055</v>
      </c>
      <c r="AF38" s="12">
        <f t="shared" si="21"/>
        <v>22689.897344560257</v>
      </c>
      <c r="AG38" s="12">
        <f t="shared" si="21"/>
        <v>22689.897344560257</v>
      </c>
      <c r="AH38" s="12">
        <f t="shared" si="21"/>
        <v>22689.897344560257</v>
      </c>
      <c r="AI38" s="12">
        <f t="shared" si="21"/>
        <v>22689.897344560257</v>
      </c>
      <c r="AJ38" s="12">
        <f t="shared" si="21"/>
        <v>22689.897344560257</v>
      </c>
      <c r="AK38" s="12">
        <f t="shared" si="21"/>
        <v>23378.688943770987</v>
      </c>
      <c r="AL38" s="12">
        <f t="shared" si="21"/>
        <v>23378.688943770987</v>
      </c>
      <c r="AM38" s="12">
        <f t="shared" si="21"/>
        <v>23378.688943770987</v>
      </c>
      <c r="AN38" s="12">
        <f t="shared" si="21"/>
        <v>23378.688943770987</v>
      </c>
      <c r="AO38" s="12">
        <f t="shared" si="21"/>
        <v>24468.232018886145</v>
      </c>
      <c r="AP38" s="30">
        <f t="shared" si="21"/>
        <v>24468.232018886145</v>
      </c>
    </row>
    <row r="39" spans="1:42">
      <c r="A39" s="47" t="s">
        <v>15</v>
      </c>
      <c r="B39" s="31">
        <f>AVERAGE(B38:J38)</f>
        <v>1.2523483622013313E-2</v>
      </c>
      <c r="C39" s="2"/>
      <c r="D39" s="2"/>
      <c r="E39" s="2"/>
      <c r="F39" s="2"/>
      <c r="G39" s="2"/>
      <c r="H39" s="2"/>
      <c r="I39" s="2"/>
      <c r="J39" s="20"/>
      <c r="K39" s="9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32"/>
    </row>
    <row r="40" spans="1:42">
      <c r="A40" s="47" t="s">
        <v>16</v>
      </c>
      <c r="B40" s="12">
        <v>179849</v>
      </c>
      <c r="C40" s="2"/>
      <c r="D40" s="2"/>
      <c r="E40" s="2"/>
      <c r="F40" s="2"/>
      <c r="G40" s="2"/>
      <c r="H40" s="2"/>
      <c r="I40" s="2"/>
      <c r="J40" s="20"/>
      <c r="K40" s="9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32"/>
    </row>
    <row r="41" spans="1:42" ht="15.75" customHeight="1">
      <c r="A41" s="52" t="s">
        <v>17</v>
      </c>
      <c r="B41" s="34">
        <f>(B40*1000)/B37</f>
        <v>116.91815423660829</v>
      </c>
      <c r="C41" s="33"/>
      <c r="D41" s="33"/>
      <c r="E41" s="33"/>
      <c r="F41" s="33"/>
      <c r="G41" s="33"/>
      <c r="H41" s="33"/>
      <c r="I41" s="33"/>
      <c r="J41" s="35"/>
      <c r="K41" s="91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6"/>
    </row>
    <row r="42" spans="1:42" ht="15.75" customHeight="1">
      <c r="A42" s="2"/>
      <c r="B42" s="3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5.75" customHeight="1">
      <c r="A43" s="3" t="s">
        <v>18</v>
      </c>
      <c r="B43" s="3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5.75" customHeight="1">
      <c r="A44" s="92" t="s">
        <v>19</v>
      </c>
      <c r="B44" s="25">
        <f>B37</f>
        <v>1538247</v>
      </c>
      <c r="C44" s="25">
        <f t="shared" ref="C44:L44" si="22">B44</f>
        <v>1538247</v>
      </c>
      <c r="D44" s="25">
        <f t="shared" si="22"/>
        <v>1538247</v>
      </c>
      <c r="E44" s="25">
        <f t="shared" si="22"/>
        <v>1538247</v>
      </c>
      <c r="F44" s="25">
        <f t="shared" si="22"/>
        <v>1538247</v>
      </c>
      <c r="G44" s="25">
        <f t="shared" si="22"/>
        <v>1538247</v>
      </c>
      <c r="H44" s="25">
        <f t="shared" si="22"/>
        <v>1538247</v>
      </c>
      <c r="I44" s="25">
        <f t="shared" si="22"/>
        <v>1538247</v>
      </c>
      <c r="J44" s="25">
        <f t="shared" si="22"/>
        <v>1538247</v>
      </c>
      <c r="K44" s="25">
        <f t="shared" si="22"/>
        <v>1538247</v>
      </c>
      <c r="L44" s="25">
        <f t="shared" si="22"/>
        <v>1538247</v>
      </c>
      <c r="M44" s="25">
        <f t="shared" ref="M44:AP44" si="23">$B$44+M45-M46-M47-M48</f>
        <v>1505247</v>
      </c>
      <c r="N44" s="25">
        <f t="shared" si="23"/>
        <v>1505247</v>
      </c>
      <c r="O44" s="25">
        <f t="shared" si="23"/>
        <v>1505247</v>
      </c>
      <c r="P44" s="25">
        <f t="shared" si="23"/>
        <v>1505247</v>
      </c>
      <c r="Q44" s="25">
        <f t="shared" si="23"/>
        <v>1505247</v>
      </c>
      <c r="R44" s="25">
        <f t="shared" si="23"/>
        <v>1505247</v>
      </c>
      <c r="S44" s="25">
        <f t="shared" si="23"/>
        <v>1441977</v>
      </c>
      <c r="T44" s="25">
        <f t="shared" si="23"/>
        <v>1358332</v>
      </c>
      <c r="U44" s="25">
        <f t="shared" si="23"/>
        <v>1358332</v>
      </c>
      <c r="V44" s="25">
        <f t="shared" si="23"/>
        <v>1319832</v>
      </c>
      <c r="W44" s="25">
        <f t="shared" si="23"/>
        <v>1267994</v>
      </c>
      <c r="X44" s="25">
        <f t="shared" si="23"/>
        <v>1175768</v>
      </c>
      <c r="Y44" s="25">
        <f t="shared" si="23"/>
        <v>1175768</v>
      </c>
      <c r="Z44" s="25">
        <f t="shared" si="23"/>
        <v>1012591</v>
      </c>
      <c r="AA44" s="25">
        <f t="shared" si="23"/>
        <v>1012591</v>
      </c>
      <c r="AB44" s="25">
        <f t="shared" si="23"/>
        <v>1012591</v>
      </c>
      <c r="AC44" s="25">
        <f t="shared" si="23"/>
        <v>1012591</v>
      </c>
      <c r="AD44" s="25">
        <f t="shared" si="23"/>
        <v>1012591</v>
      </c>
      <c r="AE44" s="25">
        <f t="shared" si="23"/>
        <v>1012591</v>
      </c>
      <c r="AF44" s="25">
        <f t="shared" si="23"/>
        <v>980879</v>
      </c>
      <c r="AG44" s="25">
        <f t="shared" si="23"/>
        <v>980879</v>
      </c>
      <c r="AH44" s="25">
        <f t="shared" si="23"/>
        <v>980879</v>
      </c>
      <c r="AI44" s="25">
        <f t="shared" si="23"/>
        <v>980879</v>
      </c>
      <c r="AJ44" s="25">
        <f t="shared" si="23"/>
        <v>980879</v>
      </c>
      <c r="AK44" s="25">
        <f t="shared" si="23"/>
        <v>980879</v>
      </c>
      <c r="AL44" s="25">
        <f t="shared" si="23"/>
        <v>980879</v>
      </c>
      <c r="AM44" s="25">
        <f t="shared" si="23"/>
        <v>980879</v>
      </c>
      <c r="AN44" s="25">
        <f t="shared" si="23"/>
        <v>980879</v>
      </c>
      <c r="AO44" s="25">
        <f t="shared" si="23"/>
        <v>980879</v>
      </c>
      <c r="AP44" s="27">
        <f t="shared" si="23"/>
        <v>980879</v>
      </c>
    </row>
    <row r="45" spans="1:42">
      <c r="A45" s="93" t="s">
        <v>20</v>
      </c>
      <c r="B45" s="12"/>
      <c r="C45" s="12"/>
      <c r="D45" s="12"/>
      <c r="E45" s="12"/>
      <c r="F45" s="12"/>
      <c r="G45" s="12"/>
      <c r="H45" s="12"/>
      <c r="I45" s="12"/>
      <c r="J45" s="12"/>
      <c r="K45" s="12">
        <f>'BAU Data'!K25</f>
        <v>0</v>
      </c>
      <c r="L45" s="12">
        <f>'BAU Data'!L25</f>
        <v>0</v>
      </c>
      <c r="M45" s="12">
        <f>'BAU Data'!M25</f>
        <v>0</v>
      </c>
      <c r="N45" s="12">
        <f>'BAU Data'!N25</f>
        <v>0</v>
      </c>
      <c r="O45" s="12">
        <f>'BAU Data'!O25</f>
        <v>0</v>
      </c>
      <c r="P45" s="12">
        <f>'BAU Data'!P25</f>
        <v>0</v>
      </c>
      <c r="Q45" s="12">
        <f>'BAU Data'!Q25</f>
        <v>0</v>
      </c>
      <c r="R45" s="12">
        <f>'BAU Data'!R25</f>
        <v>0</v>
      </c>
      <c r="S45" s="12">
        <f>'BAU Data'!S25</f>
        <v>-38270</v>
      </c>
      <c r="T45" s="12">
        <f>'BAU Data'!T25</f>
        <v>-121915</v>
      </c>
      <c r="U45" s="12">
        <f>'BAU Data'!U25</f>
        <v>-121915</v>
      </c>
      <c r="V45" s="12">
        <f>'BAU Data'!V25</f>
        <v>-121915</v>
      </c>
      <c r="W45" s="12">
        <f>'BAU Data'!W25</f>
        <v>-121915</v>
      </c>
      <c r="X45" s="12">
        <f>'BAU Data'!X25</f>
        <v>-183052</v>
      </c>
      <c r="Y45" s="12">
        <f>'BAU Data'!Y25</f>
        <v>-183052</v>
      </c>
      <c r="Z45" s="12">
        <f>'BAU Data'!Z25</f>
        <v>-248318</v>
      </c>
      <c r="AA45" s="12">
        <f>'BAU Data'!AA25</f>
        <v>-248318</v>
      </c>
      <c r="AB45" s="12">
        <f>'BAU Data'!AB25</f>
        <v>-248318</v>
      </c>
      <c r="AC45" s="12">
        <f>'BAU Data'!AC25</f>
        <v>-248318</v>
      </c>
      <c r="AD45" s="12">
        <f>'BAU Data'!AD25</f>
        <v>-248318</v>
      </c>
      <c r="AE45" s="12">
        <f>'BAU Data'!AE25</f>
        <v>-248318</v>
      </c>
      <c r="AF45" s="12">
        <f>'BAU Data'!AF25</f>
        <v>-248318</v>
      </c>
      <c r="AG45" s="12">
        <f>'BAU Data'!AG25</f>
        <v>-248318</v>
      </c>
      <c r="AH45" s="12">
        <f>'BAU Data'!AH25</f>
        <v>-248318</v>
      </c>
      <c r="AI45" s="12">
        <f>'BAU Data'!AI25</f>
        <v>-248318</v>
      </c>
      <c r="AJ45" s="12">
        <f>'BAU Data'!AJ25</f>
        <v>-248318</v>
      </c>
      <c r="AK45" s="12">
        <f>'BAU Data'!AK25</f>
        <v>-248318</v>
      </c>
      <c r="AL45" s="12">
        <f>'BAU Data'!AL25</f>
        <v>-248318</v>
      </c>
      <c r="AM45" s="12">
        <f>'BAU Data'!AM25</f>
        <v>-248318</v>
      </c>
      <c r="AN45" s="12">
        <f>'BAU Data'!AN25</f>
        <v>-248318</v>
      </c>
      <c r="AO45" s="12">
        <f>'BAU Data'!AO25</f>
        <v>-248318</v>
      </c>
      <c r="AP45" s="30">
        <f>'BAU Data'!AP25</f>
        <v>-248318</v>
      </c>
    </row>
    <row r="46" spans="1:42">
      <c r="A46" s="93" t="s">
        <v>74</v>
      </c>
      <c r="B46" s="12"/>
      <c r="C46" s="12"/>
      <c r="D46" s="12"/>
      <c r="E46" s="12"/>
      <c r="F46" s="12"/>
      <c r="G46" s="12"/>
      <c r="H46" s="12"/>
      <c r="I46" s="12"/>
      <c r="J46" s="12"/>
      <c r="K46" s="12">
        <f>'BAU Data'!K26</f>
        <v>0</v>
      </c>
      <c r="L46" s="12">
        <f>'BAU Data'!L26</f>
        <v>0</v>
      </c>
      <c r="M46" s="12">
        <f>'BAU Data'!M26</f>
        <v>33000</v>
      </c>
      <c r="N46" s="12">
        <f>'BAU Data'!N26</f>
        <v>33000</v>
      </c>
      <c r="O46" s="12">
        <f>'BAU Data'!O26</f>
        <v>33000</v>
      </c>
      <c r="P46" s="12">
        <f>'BAU Data'!P26</f>
        <v>33000</v>
      </c>
      <c r="Q46" s="12">
        <f>'BAU Data'!Q26</f>
        <v>33000</v>
      </c>
      <c r="R46" s="12">
        <f>'BAU Data'!R26</f>
        <v>33000</v>
      </c>
      <c r="S46" s="12">
        <f>'BAU Data'!S26</f>
        <v>58000</v>
      </c>
      <c r="T46" s="12">
        <f>'BAU Data'!T26</f>
        <v>58000</v>
      </c>
      <c r="U46" s="12">
        <f>'BAU Data'!U26</f>
        <v>58000</v>
      </c>
      <c r="V46" s="12">
        <f>'BAU Data'!V26</f>
        <v>96500</v>
      </c>
      <c r="W46" s="12">
        <f>'BAU Data'!W26</f>
        <v>148338</v>
      </c>
      <c r="X46" s="12">
        <f>'BAU Data'!X26</f>
        <v>179427</v>
      </c>
      <c r="Y46" s="12">
        <f>'BAU Data'!Y26</f>
        <v>179427</v>
      </c>
      <c r="Z46" s="12">
        <f>'BAU Data'!Z26</f>
        <v>249827</v>
      </c>
      <c r="AA46" s="12">
        <f>'BAU Data'!AA26</f>
        <v>249827</v>
      </c>
      <c r="AB46" s="12">
        <f>'BAU Data'!AB26</f>
        <v>249827</v>
      </c>
      <c r="AC46" s="12">
        <f>'BAU Data'!AC26</f>
        <v>249827</v>
      </c>
      <c r="AD46" s="12">
        <f>'BAU Data'!AD26</f>
        <v>249827</v>
      </c>
      <c r="AE46" s="12">
        <f>'BAU Data'!AE26</f>
        <v>249827</v>
      </c>
      <c r="AF46" s="12">
        <f>'BAU Data'!AF26</f>
        <v>281539</v>
      </c>
      <c r="AG46" s="12">
        <f>'BAU Data'!AG26</f>
        <v>281539</v>
      </c>
      <c r="AH46" s="12">
        <f>'BAU Data'!AH26</f>
        <v>281539</v>
      </c>
      <c r="AI46" s="12">
        <f>'BAU Data'!AI26</f>
        <v>281539</v>
      </c>
      <c r="AJ46" s="12">
        <f>'BAU Data'!AJ26</f>
        <v>281539</v>
      </c>
      <c r="AK46" s="12">
        <f>'BAU Data'!AK26</f>
        <v>281539</v>
      </c>
      <c r="AL46" s="12">
        <f>'BAU Data'!AL26</f>
        <v>281539</v>
      </c>
      <c r="AM46" s="12">
        <f>'BAU Data'!AM26</f>
        <v>281539</v>
      </c>
      <c r="AN46" s="12">
        <f>'BAU Data'!AN26</f>
        <v>281539</v>
      </c>
      <c r="AO46" s="12">
        <f>'BAU Data'!AO26</f>
        <v>281539</v>
      </c>
      <c r="AP46" s="30">
        <f>'BAU Data'!AP26</f>
        <v>281539</v>
      </c>
    </row>
    <row r="47" spans="1:42">
      <c r="A47" s="93" t="s">
        <v>75</v>
      </c>
      <c r="B47" s="12"/>
      <c r="C47" s="12"/>
      <c r="D47" s="12"/>
      <c r="E47" s="12"/>
      <c r="F47" s="12"/>
      <c r="G47" s="12"/>
      <c r="H47" s="12"/>
      <c r="I47" s="12"/>
      <c r="J47" s="12"/>
      <c r="K47" s="12">
        <f t="shared" ref="K47:Y47" si="24">J47</f>
        <v>0</v>
      </c>
      <c r="L47" s="12">
        <f t="shared" si="24"/>
        <v>0</v>
      </c>
      <c r="M47" s="12">
        <f t="shared" si="24"/>
        <v>0</v>
      </c>
      <c r="N47" s="12">
        <f t="shared" si="24"/>
        <v>0</v>
      </c>
      <c r="O47" s="12">
        <f t="shared" si="24"/>
        <v>0</v>
      </c>
      <c r="P47" s="12">
        <f t="shared" si="24"/>
        <v>0</v>
      </c>
      <c r="Q47" s="12">
        <f t="shared" si="24"/>
        <v>0</v>
      </c>
      <c r="R47" s="12">
        <f t="shared" si="24"/>
        <v>0</v>
      </c>
      <c r="S47" s="12">
        <f t="shared" si="24"/>
        <v>0</v>
      </c>
      <c r="T47" s="12">
        <f t="shared" si="24"/>
        <v>0</v>
      </c>
      <c r="U47" s="12">
        <f t="shared" si="24"/>
        <v>0</v>
      </c>
      <c r="V47" s="12">
        <f t="shared" si="24"/>
        <v>0</v>
      </c>
      <c r="W47" s="12">
        <f t="shared" si="24"/>
        <v>0</v>
      </c>
      <c r="X47" s="12">
        <f t="shared" si="24"/>
        <v>0</v>
      </c>
      <c r="Y47" s="12">
        <f t="shared" si="24"/>
        <v>0</v>
      </c>
      <c r="Z47" s="12">
        <v>27511</v>
      </c>
      <c r="AA47" s="12">
        <f t="shared" ref="AA47:AP47" si="25">Z47</f>
        <v>27511</v>
      </c>
      <c r="AB47" s="12">
        <f t="shared" si="25"/>
        <v>27511</v>
      </c>
      <c r="AC47" s="12">
        <f t="shared" si="25"/>
        <v>27511</v>
      </c>
      <c r="AD47" s="12">
        <f t="shared" si="25"/>
        <v>27511</v>
      </c>
      <c r="AE47" s="12">
        <f t="shared" si="25"/>
        <v>27511</v>
      </c>
      <c r="AF47" s="12">
        <f t="shared" si="25"/>
        <v>27511</v>
      </c>
      <c r="AG47" s="12">
        <f t="shared" si="25"/>
        <v>27511</v>
      </c>
      <c r="AH47" s="12">
        <f t="shared" si="25"/>
        <v>27511</v>
      </c>
      <c r="AI47" s="12">
        <f t="shared" si="25"/>
        <v>27511</v>
      </c>
      <c r="AJ47" s="12">
        <f t="shared" si="25"/>
        <v>27511</v>
      </c>
      <c r="AK47" s="12">
        <f t="shared" si="25"/>
        <v>27511</v>
      </c>
      <c r="AL47" s="12">
        <f t="shared" si="25"/>
        <v>27511</v>
      </c>
      <c r="AM47" s="12">
        <f t="shared" si="25"/>
        <v>27511</v>
      </c>
      <c r="AN47" s="12">
        <f t="shared" si="25"/>
        <v>27511</v>
      </c>
      <c r="AO47" s="12">
        <f t="shared" si="25"/>
        <v>27511</v>
      </c>
      <c r="AP47" s="30">
        <f t="shared" si="25"/>
        <v>27511</v>
      </c>
    </row>
    <row r="48" spans="1:42">
      <c r="A48" s="93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>
        <f t="shared" ref="K48:AP48" si="26">J48</f>
        <v>0</v>
      </c>
      <c r="L48" s="12">
        <f t="shared" si="26"/>
        <v>0</v>
      </c>
      <c r="M48" s="12">
        <f t="shared" si="26"/>
        <v>0</v>
      </c>
      <c r="N48" s="12">
        <f t="shared" si="26"/>
        <v>0</v>
      </c>
      <c r="O48" s="12">
        <f t="shared" si="26"/>
        <v>0</v>
      </c>
      <c r="P48" s="12">
        <f t="shared" si="26"/>
        <v>0</v>
      </c>
      <c r="Q48" s="12">
        <f t="shared" si="26"/>
        <v>0</v>
      </c>
      <c r="R48" s="12">
        <f t="shared" si="26"/>
        <v>0</v>
      </c>
      <c r="S48" s="12">
        <f t="shared" si="26"/>
        <v>0</v>
      </c>
      <c r="T48" s="12">
        <f t="shared" si="26"/>
        <v>0</v>
      </c>
      <c r="U48" s="12">
        <f t="shared" si="26"/>
        <v>0</v>
      </c>
      <c r="V48" s="12">
        <f t="shared" si="26"/>
        <v>0</v>
      </c>
      <c r="W48" s="12">
        <f t="shared" si="26"/>
        <v>0</v>
      </c>
      <c r="X48" s="12">
        <f t="shared" si="26"/>
        <v>0</v>
      </c>
      <c r="Y48" s="12">
        <f t="shared" si="26"/>
        <v>0</v>
      </c>
      <c r="Z48" s="12">
        <f t="shared" si="26"/>
        <v>0</v>
      </c>
      <c r="AA48" s="12">
        <f t="shared" si="26"/>
        <v>0</v>
      </c>
      <c r="AB48" s="12">
        <f t="shared" si="26"/>
        <v>0</v>
      </c>
      <c r="AC48" s="12">
        <f t="shared" si="26"/>
        <v>0</v>
      </c>
      <c r="AD48" s="12">
        <f t="shared" si="26"/>
        <v>0</v>
      </c>
      <c r="AE48" s="12">
        <f t="shared" si="26"/>
        <v>0</v>
      </c>
      <c r="AF48" s="12">
        <f t="shared" si="26"/>
        <v>0</v>
      </c>
      <c r="AG48" s="12">
        <f t="shared" si="26"/>
        <v>0</v>
      </c>
      <c r="AH48" s="12">
        <f t="shared" si="26"/>
        <v>0</v>
      </c>
      <c r="AI48" s="12">
        <f t="shared" si="26"/>
        <v>0</v>
      </c>
      <c r="AJ48" s="12">
        <f t="shared" si="26"/>
        <v>0</v>
      </c>
      <c r="AK48" s="12">
        <f t="shared" si="26"/>
        <v>0</v>
      </c>
      <c r="AL48" s="12">
        <f t="shared" si="26"/>
        <v>0</v>
      </c>
      <c r="AM48" s="12">
        <f t="shared" si="26"/>
        <v>0</v>
      </c>
      <c r="AN48" s="12">
        <f t="shared" si="26"/>
        <v>0</v>
      </c>
      <c r="AO48" s="12">
        <f t="shared" si="26"/>
        <v>0</v>
      </c>
      <c r="AP48" s="30">
        <f t="shared" si="26"/>
        <v>0</v>
      </c>
    </row>
    <row r="49" spans="1:42">
      <c r="A49" s="93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>
        <f>'BAU Data'!K27</f>
        <v>0</v>
      </c>
      <c r="L49" s="12">
        <f>'BAU Data'!L27</f>
        <v>0</v>
      </c>
      <c r="M49" s="12">
        <f>'BAU Data'!M27</f>
        <v>7500</v>
      </c>
      <c r="N49" s="12">
        <f>'BAU Data'!N27</f>
        <v>7500</v>
      </c>
      <c r="O49" s="12">
        <f>'BAU Data'!O27</f>
        <v>7500</v>
      </c>
      <c r="P49" s="12">
        <f>'BAU Data'!P27</f>
        <v>77375</v>
      </c>
      <c r="Q49" s="12">
        <f>'BAU Data'!Q27</f>
        <v>77375</v>
      </c>
      <c r="R49" s="12">
        <f>'BAU Data'!R27</f>
        <v>77375</v>
      </c>
      <c r="S49" s="12">
        <f>'BAU Data'!S27</f>
        <v>77375</v>
      </c>
      <c r="T49" s="12">
        <f>'BAU Data'!T27</f>
        <v>266250</v>
      </c>
      <c r="U49" s="12">
        <f>'BAU Data'!U27</f>
        <v>266250</v>
      </c>
      <c r="V49" s="12">
        <f>'BAU Data'!V27</f>
        <v>282400</v>
      </c>
      <c r="W49" s="12">
        <f>'BAU Data'!W27</f>
        <v>304400</v>
      </c>
      <c r="X49" s="12">
        <f>'BAU Data'!X27</f>
        <v>304400</v>
      </c>
      <c r="Y49" s="12">
        <f>'BAU Data'!Y27</f>
        <v>304400</v>
      </c>
      <c r="Z49" s="12">
        <f>'BAU Data'!Z27</f>
        <v>304400</v>
      </c>
      <c r="AA49" s="12">
        <f>'BAU Data'!AA27</f>
        <v>330550</v>
      </c>
      <c r="AB49" s="12">
        <f>'BAU Data'!AB27</f>
        <v>356700</v>
      </c>
      <c r="AC49" s="12">
        <f>'BAU Data'!AC27</f>
        <v>371650</v>
      </c>
      <c r="AD49" s="12">
        <f>'BAU Data'!AD27</f>
        <v>371650</v>
      </c>
      <c r="AE49" s="12">
        <f>'BAU Data'!AE27</f>
        <v>371650</v>
      </c>
      <c r="AF49" s="12">
        <f>'BAU Data'!AF27</f>
        <v>386859</v>
      </c>
      <c r="AG49" s="12">
        <f>'BAU Data'!AG27</f>
        <v>386859</v>
      </c>
      <c r="AH49" s="12">
        <f>'BAU Data'!AH27</f>
        <v>386859</v>
      </c>
      <c r="AI49" s="12">
        <f>'BAU Data'!AI27</f>
        <v>386859</v>
      </c>
      <c r="AJ49" s="12">
        <f>'BAU Data'!AJ27</f>
        <v>386859</v>
      </c>
      <c r="AK49" s="12">
        <f>'BAU Data'!AK27</f>
        <v>441859</v>
      </c>
      <c r="AL49" s="12">
        <f>'BAU Data'!AL27</f>
        <v>441859</v>
      </c>
      <c r="AM49" s="12">
        <f>'BAU Data'!AM27</f>
        <v>441859</v>
      </c>
      <c r="AN49" s="12">
        <f>'BAU Data'!AN27</f>
        <v>441859</v>
      </c>
      <c r="AO49" s="12">
        <f>'BAU Data'!AO27</f>
        <v>528859</v>
      </c>
      <c r="AP49" s="30">
        <f>'BAU Data'!AP27</f>
        <v>528859</v>
      </c>
    </row>
    <row r="50" spans="1:42">
      <c r="A50" s="93" t="s">
        <v>78</v>
      </c>
      <c r="B50" s="12"/>
      <c r="C50" s="12"/>
      <c r="D50" s="12"/>
      <c r="E50" s="12"/>
      <c r="F50" s="12"/>
      <c r="G50" s="12"/>
      <c r="H50" s="12"/>
      <c r="I50" s="12"/>
      <c r="J50" s="12"/>
      <c r="K50" s="12">
        <f t="shared" ref="K50:AC50" si="27">J50</f>
        <v>0</v>
      </c>
      <c r="L50" s="12">
        <f t="shared" si="27"/>
        <v>0</v>
      </c>
      <c r="M50" s="12">
        <f t="shared" si="27"/>
        <v>0</v>
      </c>
      <c r="N50" s="12">
        <f t="shared" si="27"/>
        <v>0</v>
      </c>
      <c r="O50" s="12">
        <f t="shared" si="27"/>
        <v>0</v>
      </c>
      <c r="P50" s="12">
        <f t="shared" si="27"/>
        <v>0</v>
      </c>
      <c r="Q50" s="12">
        <f t="shared" si="27"/>
        <v>0</v>
      </c>
      <c r="R50" s="12">
        <f t="shared" si="27"/>
        <v>0</v>
      </c>
      <c r="S50" s="12">
        <f t="shared" si="27"/>
        <v>0</v>
      </c>
      <c r="T50" s="12">
        <f t="shared" si="27"/>
        <v>0</v>
      </c>
      <c r="U50" s="12">
        <f t="shared" si="27"/>
        <v>0</v>
      </c>
      <c r="V50" s="12">
        <f t="shared" si="27"/>
        <v>0</v>
      </c>
      <c r="W50" s="12">
        <f t="shared" si="27"/>
        <v>0</v>
      </c>
      <c r="X50" s="12">
        <f t="shared" si="27"/>
        <v>0</v>
      </c>
      <c r="Y50" s="12">
        <f t="shared" si="27"/>
        <v>0</v>
      </c>
      <c r="Z50" s="12">
        <f t="shared" si="27"/>
        <v>0</v>
      </c>
      <c r="AA50" s="12">
        <f t="shared" si="27"/>
        <v>0</v>
      </c>
      <c r="AB50" s="12">
        <f t="shared" si="27"/>
        <v>0</v>
      </c>
      <c r="AC50" s="12">
        <f t="shared" si="27"/>
        <v>0</v>
      </c>
      <c r="AD50" s="12">
        <v>0</v>
      </c>
      <c r="AE50" s="12">
        <f t="shared" ref="AE50:AP50" si="28">AD50</f>
        <v>0</v>
      </c>
      <c r="AF50" s="12">
        <f t="shared" si="28"/>
        <v>0</v>
      </c>
      <c r="AG50" s="12">
        <f t="shared" si="28"/>
        <v>0</v>
      </c>
      <c r="AH50" s="12">
        <f t="shared" si="28"/>
        <v>0</v>
      </c>
      <c r="AI50" s="12">
        <f t="shared" si="28"/>
        <v>0</v>
      </c>
      <c r="AJ50" s="12">
        <f t="shared" si="28"/>
        <v>0</v>
      </c>
      <c r="AK50" s="12">
        <f t="shared" si="28"/>
        <v>0</v>
      </c>
      <c r="AL50" s="12">
        <f t="shared" si="28"/>
        <v>0</v>
      </c>
      <c r="AM50" s="12">
        <f t="shared" si="28"/>
        <v>0</v>
      </c>
      <c r="AN50" s="12">
        <f t="shared" si="28"/>
        <v>0</v>
      </c>
      <c r="AO50" s="12">
        <f t="shared" si="28"/>
        <v>0</v>
      </c>
      <c r="AP50" s="30">
        <f t="shared" si="28"/>
        <v>0</v>
      </c>
    </row>
    <row r="51" spans="1:42">
      <c r="A51" s="93" t="s">
        <v>79</v>
      </c>
      <c r="B51" s="12"/>
      <c r="C51" s="12"/>
      <c r="D51" s="12"/>
      <c r="E51" s="12"/>
      <c r="F51" s="12"/>
      <c r="G51" s="12"/>
      <c r="H51" s="12"/>
      <c r="I51" s="12"/>
      <c r="J51" s="12"/>
      <c r="K51" s="12">
        <f>'BAU Data'!K28</f>
        <v>0</v>
      </c>
      <c r="L51" s="12">
        <f>'BAU Data'!L28</f>
        <v>0</v>
      </c>
      <c r="M51" s="12">
        <f>'BAU Data'!M28</f>
        <v>0</v>
      </c>
      <c r="N51" s="12">
        <f>'BAU Data'!N28</f>
        <v>0</v>
      </c>
      <c r="O51" s="12">
        <f>'BAU Data'!O28</f>
        <v>0</v>
      </c>
      <c r="P51" s="12">
        <f>'BAU Data'!P28</f>
        <v>0</v>
      </c>
      <c r="Q51" s="12">
        <f>'BAU Data'!Q28</f>
        <v>0</v>
      </c>
      <c r="R51" s="12">
        <f>'BAU Data'!R28</f>
        <v>0</v>
      </c>
      <c r="S51" s="12">
        <f>'BAU Data'!S28</f>
        <v>0</v>
      </c>
      <c r="T51" s="12">
        <f>'BAU Data'!T28</f>
        <v>0</v>
      </c>
      <c r="U51" s="12">
        <f>'BAU Data'!U28</f>
        <v>0</v>
      </c>
      <c r="V51" s="12">
        <f>'BAU Data'!V28</f>
        <v>0</v>
      </c>
      <c r="W51" s="12">
        <f>'BAU Data'!W28</f>
        <v>0</v>
      </c>
      <c r="X51" s="12">
        <f>'BAU Data'!X28</f>
        <v>135000</v>
      </c>
      <c r="Y51" s="12">
        <f>'BAU Data'!Y28</f>
        <v>135000</v>
      </c>
      <c r="Z51" s="12">
        <f>'BAU Data'!Z28</f>
        <v>135000</v>
      </c>
      <c r="AA51" s="12">
        <f>'BAU Data'!AA28</f>
        <v>135000</v>
      </c>
      <c r="AB51" s="12">
        <f>'BAU Data'!AB28</f>
        <v>135000</v>
      </c>
      <c r="AC51" s="12">
        <f>'BAU Data'!AC28</f>
        <v>135000</v>
      </c>
      <c r="AD51" s="12">
        <f>'BAU Data'!AD28</f>
        <v>135000</v>
      </c>
      <c r="AE51" s="12">
        <f>'BAU Data'!AE28</f>
        <v>135000</v>
      </c>
      <c r="AF51" s="12">
        <f>'BAU Data'!AF28</f>
        <v>135000</v>
      </c>
      <c r="AG51" s="12">
        <f>'BAU Data'!AG28</f>
        <v>135000</v>
      </c>
      <c r="AH51" s="12">
        <f>'BAU Data'!AH28</f>
        <v>135000</v>
      </c>
      <c r="AI51" s="12">
        <f>'BAU Data'!AI28</f>
        <v>135000</v>
      </c>
      <c r="AJ51" s="12">
        <f>'BAU Data'!AJ28</f>
        <v>135000</v>
      </c>
      <c r="AK51" s="12">
        <f>'BAU Data'!AK28</f>
        <v>135000</v>
      </c>
      <c r="AL51" s="12">
        <f>'BAU Data'!AL28</f>
        <v>135000</v>
      </c>
      <c r="AM51" s="12">
        <f>'BAU Data'!AM28</f>
        <v>135000</v>
      </c>
      <c r="AN51" s="12">
        <f>'BAU Data'!AN28</f>
        <v>135000</v>
      </c>
      <c r="AO51" s="12">
        <f>'BAU Data'!AO28</f>
        <v>135000</v>
      </c>
      <c r="AP51" s="30">
        <f>'BAU Data'!AP28</f>
        <v>135000</v>
      </c>
    </row>
    <row r="52" spans="1:42" ht="15.75" customHeight="1">
      <c r="A52" s="96" t="s">
        <v>24</v>
      </c>
      <c r="B52" s="38">
        <f t="shared" ref="B52:J52" si="29">SUM(B44:B51)</f>
        <v>1538247</v>
      </c>
      <c r="C52" s="38">
        <f t="shared" si="29"/>
        <v>1538247</v>
      </c>
      <c r="D52" s="38">
        <f t="shared" si="29"/>
        <v>1538247</v>
      </c>
      <c r="E52" s="38">
        <f t="shared" si="29"/>
        <v>1538247</v>
      </c>
      <c r="F52" s="38">
        <f t="shared" si="29"/>
        <v>1538247</v>
      </c>
      <c r="G52" s="38">
        <f t="shared" si="29"/>
        <v>1538247</v>
      </c>
      <c r="H52" s="38">
        <f t="shared" si="29"/>
        <v>1538247</v>
      </c>
      <c r="I52" s="38">
        <f t="shared" si="29"/>
        <v>1538247</v>
      </c>
      <c r="J52" s="38">
        <f t="shared" si="29"/>
        <v>1538247</v>
      </c>
      <c r="K52" s="38">
        <f t="shared" ref="K52:AP52" si="30">SUM(K46:K51)+K44</f>
        <v>1538247</v>
      </c>
      <c r="L52" s="38">
        <f t="shared" si="30"/>
        <v>1538247</v>
      </c>
      <c r="M52" s="38">
        <f t="shared" si="30"/>
        <v>1545747</v>
      </c>
      <c r="N52" s="38">
        <f t="shared" si="30"/>
        <v>1545747</v>
      </c>
      <c r="O52" s="38">
        <f t="shared" si="30"/>
        <v>1545747</v>
      </c>
      <c r="P52" s="38">
        <f t="shared" si="30"/>
        <v>1615622</v>
      </c>
      <c r="Q52" s="38">
        <f t="shared" si="30"/>
        <v>1615622</v>
      </c>
      <c r="R52" s="38">
        <f t="shared" si="30"/>
        <v>1615622</v>
      </c>
      <c r="S52" s="38">
        <f t="shared" si="30"/>
        <v>1577352</v>
      </c>
      <c r="T52" s="38">
        <f t="shared" si="30"/>
        <v>1682582</v>
      </c>
      <c r="U52" s="38">
        <f t="shared" si="30"/>
        <v>1682582</v>
      </c>
      <c r="V52" s="38">
        <f t="shared" si="30"/>
        <v>1698732</v>
      </c>
      <c r="W52" s="38">
        <f t="shared" si="30"/>
        <v>1720732</v>
      </c>
      <c r="X52" s="38">
        <f t="shared" si="30"/>
        <v>1794595</v>
      </c>
      <c r="Y52" s="38">
        <f t="shared" si="30"/>
        <v>1794595</v>
      </c>
      <c r="Z52" s="38">
        <f t="shared" si="30"/>
        <v>1729329</v>
      </c>
      <c r="AA52" s="38">
        <f t="shared" si="30"/>
        <v>1755479</v>
      </c>
      <c r="AB52" s="38">
        <f t="shared" si="30"/>
        <v>1781629</v>
      </c>
      <c r="AC52" s="38">
        <f t="shared" si="30"/>
        <v>1796579</v>
      </c>
      <c r="AD52" s="38">
        <f t="shared" si="30"/>
        <v>1796579</v>
      </c>
      <c r="AE52" s="38">
        <f t="shared" si="30"/>
        <v>1796579</v>
      </c>
      <c r="AF52" s="38">
        <f t="shared" si="30"/>
        <v>1811788</v>
      </c>
      <c r="AG52" s="38">
        <f t="shared" si="30"/>
        <v>1811788</v>
      </c>
      <c r="AH52" s="38">
        <f t="shared" si="30"/>
        <v>1811788</v>
      </c>
      <c r="AI52" s="38">
        <f t="shared" si="30"/>
        <v>1811788</v>
      </c>
      <c r="AJ52" s="38">
        <f t="shared" si="30"/>
        <v>1811788</v>
      </c>
      <c r="AK52" s="38">
        <f t="shared" si="30"/>
        <v>1866788</v>
      </c>
      <c r="AL52" s="38">
        <f t="shared" si="30"/>
        <v>1866788</v>
      </c>
      <c r="AM52" s="38">
        <f t="shared" si="30"/>
        <v>1866788</v>
      </c>
      <c r="AN52" s="38">
        <f t="shared" si="30"/>
        <v>1866788</v>
      </c>
      <c r="AO52" s="38">
        <f t="shared" si="30"/>
        <v>1953788</v>
      </c>
      <c r="AP52" s="39">
        <f t="shared" si="30"/>
        <v>1953788</v>
      </c>
    </row>
    <row r="53" spans="1:42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</row>
    <row r="54" spans="1:42" ht="15.75" customHeight="1">
      <c r="A54" s="21" t="s">
        <v>80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</row>
    <row r="55" spans="1:42" ht="15.75" customHeight="1">
      <c r="A55" s="92" t="s">
        <v>26</v>
      </c>
      <c r="B55" s="25">
        <f t="shared" ref="B55:AP55" si="31">B44*$B$67</f>
        <v>179849000</v>
      </c>
      <c r="C55" s="25">
        <f t="shared" si="31"/>
        <v>179849000</v>
      </c>
      <c r="D55" s="25">
        <f t="shared" si="31"/>
        <v>179849000</v>
      </c>
      <c r="E55" s="25">
        <f t="shared" si="31"/>
        <v>179849000</v>
      </c>
      <c r="F55" s="25">
        <f t="shared" si="31"/>
        <v>179849000</v>
      </c>
      <c r="G55" s="25">
        <f t="shared" si="31"/>
        <v>179849000</v>
      </c>
      <c r="H55" s="25">
        <f t="shared" si="31"/>
        <v>179849000</v>
      </c>
      <c r="I55" s="25">
        <f t="shared" si="31"/>
        <v>179849000</v>
      </c>
      <c r="J55" s="25">
        <f t="shared" si="31"/>
        <v>179849000</v>
      </c>
      <c r="K55" s="25">
        <f t="shared" si="31"/>
        <v>179849000</v>
      </c>
      <c r="L55" s="25">
        <f t="shared" si="31"/>
        <v>179849000</v>
      </c>
      <c r="M55" s="25">
        <f t="shared" si="31"/>
        <v>175990700.91019192</v>
      </c>
      <c r="N55" s="25">
        <f t="shared" si="31"/>
        <v>175990700.91019192</v>
      </c>
      <c r="O55" s="25">
        <f t="shared" si="31"/>
        <v>175990700.91019192</v>
      </c>
      <c r="P55" s="25">
        <f t="shared" si="31"/>
        <v>175990700.91019192</v>
      </c>
      <c r="Q55" s="25">
        <f t="shared" si="31"/>
        <v>175990700.91019192</v>
      </c>
      <c r="R55" s="25">
        <f t="shared" si="31"/>
        <v>175990700.91019192</v>
      </c>
      <c r="S55" s="25">
        <f t="shared" si="31"/>
        <v>168593289.29164171</v>
      </c>
      <c r="T55" s="25">
        <f t="shared" si="31"/>
        <v>158813670.28052062</v>
      </c>
      <c r="U55" s="25">
        <f t="shared" si="31"/>
        <v>158813670.28052062</v>
      </c>
      <c r="V55" s="25">
        <f t="shared" si="31"/>
        <v>154312321.34241119</v>
      </c>
      <c r="W55" s="25">
        <f t="shared" si="31"/>
        <v>148251518.0630939</v>
      </c>
      <c r="X55" s="25">
        <f t="shared" si="31"/>
        <v>137468624.37046847</v>
      </c>
      <c r="Y55" s="25">
        <f t="shared" si="31"/>
        <v>137468624.37046847</v>
      </c>
      <c r="Z55" s="25">
        <f t="shared" si="31"/>
        <v>118390270.71660142</v>
      </c>
      <c r="AA55" s="25">
        <f t="shared" si="31"/>
        <v>118390270.71660142</v>
      </c>
      <c r="AB55" s="25">
        <f t="shared" si="31"/>
        <v>118390270.71660142</v>
      </c>
      <c r="AC55" s="25">
        <f t="shared" si="31"/>
        <v>118390270.71660142</v>
      </c>
      <c r="AD55" s="25">
        <f t="shared" si="31"/>
        <v>118390270.71660142</v>
      </c>
      <c r="AE55" s="25">
        <f t="shared" si="31"/>
        <v>118390270.71660142</v>
      </c>
      <c r="AF55" s="25">
        <f t="shared" si="31"/>
        <v>114682562.2094501</v>
      </c>
      <c r="AG55" s="25">
        <f t="shared" si="31"/>
        <v>114682562.2094501</v>
      </c>
      <c r="AH55" s="25">
        <f t="shared" si="31"/>
        <v>114682562.2094501</v>
      </c>
      <c r="AI55" s="25">
        <f t="shared" si="31"/>
        <v>114682562.2094501</v>
      </c>
      <c r="AJ55" s="25">
        <f t="shared" si="31"/>
        <v>114682562.2094501</v>
      </c>
      <c r="AK55" s="25">
        <f t="shared" si="31"/>
        <v>114682562.2094501</v>
      </c>
      <c r="AL55" s="25">
        <f t="shared" si="31"/>
        <v>114682562.2094501</v>
      </c>
      <c r="AM55" s="25">
        <f t="shared" si="31"/>
        <v>114682562.2094501</v>
      </c>
      <c r="AN55" s="25">
        <f t="shared" si="31"/>
        <v>114682562.2094501</v>
      </c>
      <c r="AO55" s="25">
        <f t="shared" si="31"/>
        <v>114682562.2094501</v>
      </c>
      <c r="AP55" s="27">
        <f t="shared" si="31"/>
        <v>114682562.2094501</v>
      </c>
    </row>
    <row r="56" spans="1:42">
      <c r="A56" s="93" t="s">
        <v>81</v>
      </c>
      <c r="B56" s="12"/>
      <c r="C56" s="12"/>
      <c r="D56" s="12"/>
      <c r="E56" s="12"/>
      <c r="F56" s="12"/>
      <c r="G56" s="12"/>
      <c r="H56" s="12"/>
      <c r="I56" s="12"/>
      <c r="J56" s="12"/>
      <c r="K56" s="12">
        <f t="shared" ref="K56:AP56" si="32">K46*$B$68</f>
        <v>0</v>
      </c>
      <c r="L56" s="12">
        <f t="shared" si="32"/>
        <v>0</v>
      </c>
      <c r="M56" s="12">
        <f t="shared" si="32"/>
        <v>2640000</v>
      </c>
      <c r="N56" s="12">
        <f t="shared" si="32"/>
        <v>2640000</v>
      </c>
      <c r="O56" s="12">
        <f t="shared" si="32"/>
        <v>2640000</v>
      </c>
      <c r="P56" s="12">
        <f t="shared" si="32"/>
        <v>2640000</v>
      </c>
      <c r="Q56" s="12">
        <f t="shared" si="32"/>
        <v>2640000</v>
      </c>
      <c r="R56" s="12">
        <f t="shared" si="32"/>
        <v>2640000</v>
      </c>
      <c r="S56" s="12">
        <f t="shared" si="32"/>
        <v>4640000</v>
      </c>
      <c r="T56" s="12">
        <f t="shared" si="32"/>
        <v>4640000</v>
      </c>
      <c r="U56" s="12">
        <f t="shared" si="32"/>
        <v>4640000</v>
      </c>
      <c r="V56" s="12">
        <f t="shared" si="32"/>
        <v>7720000</v>
      </c>
      <c r="W56" s="12">
        <f t="shared" si="32"/>
        <v>11867040</v>
      </c>
      <c r="X56" s="12">
        <f t="shared" si="32"/>
        <v>14354160</v>
      </c>
      <c r="Y56" s="12">
        <f t="shared" si="32"/>
        <v>14354160</v>
      </c>
      <c r="Z56" s="12">
        <f t="shared" si="32"/>
        <v>19986160</v>
      </c>
      <c r="AA56" s="12">
        <f t="shared" si="32"/>
        <v>19986160</v>
      </c>
      <c r="AB56" s="12">
        <f t="shared" si="32"/>
        <v>19986160</v>
      </c>
      <c r="AC56" s="12">
        <f t="shared" si="32"/>
        <v>19986160</v>
      </c>
      <c r="AD56" s="12">
        <f t="shared" si="32"/>
        <v>19986160</v>
      </c>
      <c r="AE56" s="12">
        <f t="shared" si="32"/>
        <v>19986160</v>
      </c>
      <c r="AF56" s="12">
        <f t="shared" si="32"/>
        <v>22523120</v>
      </c>
      <c r="AG56" s="12">
        <f t="shared" si="32"/>
        <v>22523120</v>
      </c>
      <c r="AH56" s="12">
        <f t="shared" si="32"/>
        <v>22523120</v>
      </c>
      <c r="AI56" s="12">
        <f t="shared" si="32"/>
        <v>22523120</v>
      </c>
      <c r="AJ56" s="12">
        <f t="shared" si="32"/>
        <v>22523120</v>
      </c>
      <c r="AK56" s="12">
        <f t="shared" si="32"/>
        <v>22523120</v>
      </c>
      <c r="AL56" s="12">
        <f t="shared" si="32"/>
        <v>22523120</v>
      </c>
      <c r="AM56" s="12">
        <f t="shared" si="32"/>
        <v>22523120</v>
      </c>
      <c r="AN56" s="12">
        <f t="shared" si="32"/>
        <v>22523120</v>
      </c>
      <c r="AO56" s="12">
        <f t="shared" si="32"/>
        <v>22523120</v>
      </c>
      <c r="AP56" s="30">
        <f t="shared" si="32"/>
        <v>22523120</v>
      </c>
    </row>
    <row r="57" spans="1:42">
      <c r="A57" s="93" t="s">
        <v>82</v>
      </c>
      <c r="B57" s="12"/>
      <c r="C57" s="12"/>
      <c r="D57" s="12"/>
      <c r="E57" s="12"/>
      <c r="F57" s="12"/>
      <c r="G57" s="12"/>
      <c r="H57" s="12"/>
      <c r="I57" s="12"/>
      <c r="J57" s="12"/>
      <c r="K57" s="12">
        <f t="shared" ref="K57:AP57" si="33">K47*$B$69</f>
        <v>0</v>
      </c>
      <c r="L57" s="12">
        <f t="shared" si="33"/>
        <v>0</v>
      </c>
      <c r="M57" s="12">
        <f t="shared" si="33"/>
        <v>0</v>
      </c>
      <c r="N57" s="12">
        <f t="shared" si="33"/>
        <v>0</v>
      </c>
      <c r="O57" s="12">
        <f t="shared" si="33"/>
        <v>0</v>
      </c>
      <c r="P57" s="12">
        <f t="shared" si="33"/>
        <v>0</v>
      </c>
      <c r="Q57" s="12">
        <f t="shared" si="33"/>
        <v>0</v>
      </c>
      <c r="R57" s="12">
        <f t="shared" si="33"/>
        <v>0</v>
      </c>
      <c r="S57" s="12">
        <f t="shared" si="33"/>
        <v>0</v>
      </c>
      <c r="T57" s="12">
        <f t="shared" si="33"/>
        <v>0</v>
      </c>
      <c r="U57" s="12">
        <f t="shared" si="33"/>
        <v>0</v>
      </c>
      <c r="V57" s="12">
        <f t="shared" si="33"/>
        <v>0</v>
      </c>
      <c r="W57" s="12">
        <f t="shared" si="33"/>
        <v>0</v>
      </c>
      <c r="X57" s="12">
        <f t="shared" si="33"/>
        <v>0</v>
      </c>
      <c r="Y57" s="12">
        <f t="shared" si="33"/>
        <v>0</v>
      </c>
      <c r="Z57" s="12">
        <f t="shared" si="33"/>
        <v>2200880</v>
      </c>
      <c r="AA57" s="12">
        <f t="shared" si="33"/>
        <v>2200880</v>
      </c>
      <c r="AB57" s="12">
        <f t="shared" si="33"/>
        <v>2200880</v>
      </c>
      <c r="AC57" s="12">
        <f t="shared" si="33"/>
        <v>2200880</v>
      </c>
      <c r="AD57" s="12">
        <f t="shared" si="33"/>
        <v>2200880</v>
      </c>
      <c r="AE57" s="12">
        <f t="shared" si="33"/>
        <v>2200880</v>
      </c>
      <c r="AF57" s="12">
        <f t="shared" si="33"/>
        <v>2200880</v>
      </c>
      <c r="AG57" s="12">
        <f t="shared" si="33"/>
        <v>2200880</v>
      </c>
      <c r="AH57" s="12">
        <f t="shared" si="33"/>
        <v>2200880</v>
      </c>
      <c r="AI57" s="12">
        <f t="shared" si="33"/>
        <v>2200880</v>
      </c>
      <c r="AJ57" s="12">
        <f t="shared" si="33"/>
        <v>2200880</v>
      </c>
      <c r="AK57" s="12">
        <f t="shared" si="33"/>
        <v>2200880</v>
      </c>
      <c r="AL57" s="12">
        <f t="shared" si="33"/>
        <v>2200880</v>
      </c>
      <c r="AM57" s="12">
        <f t="shared" si="33"/>
        <v>2200880</v>
      </c>
      <c r="AN57" s="12">
        <f t="shared" si="33"/>
        <v>2200880</v>
      </c>
      <c r="AO57" s="12">
        <f t="shared" si="33"/>
        <v>2200880</v>
      </c>
      <c r="AP57" s="30">
        <f t="shared" si="33"/>
        <v>2200880</v>
      </c>
    </row>
    <row r="58" spans="1:42">
      <c r="A58" s="93" t="s">
        <v>83</v>
      </c>
      <c r="B58" s="12"/>
      <c r="C58" s="12"/>
      <c r="D58" s="12"/>
      <c r="E58" s="12"/>
      <c r="F58" s="12"/>
      <c r="G58" s="12"/>
      <c r="H58" s="12"/>
      <c r="I58" s="12"/>
      <c r="J58" s="12"/>
      <c r="K58" s="12">
        <f t="shared" ref="K58:AP58" si="34">K48*$B$70</f>
        <v>0</v>
      </c>
      <c r="L58" s="12">
        <f t="shared" si="34"/>
        <v>0</v>
      </c>
      <c r="M58" s="12">
        <f t="shared" si="34"/>
        <v>0</v>
      </c>
      <c r="N58" s="12">
        <f t="shared" si="34"/>
        <v>0</v>
      </c>
      <c r="O58" s="12">
        <f t="shared" si="34"/>
        <v>0</v>
      </c>
      <c r="P58" s="12">
        <f t="shared" si="34"/>
        <v>0</v>
      </c>
      <c r="Q58" s="12">
        <f t="shared" si="34"/>
        <v>0</v>
      </c>
      <c r="R58" s="12">
        <f t="shared" si="34"/>
        <v>0</v>
      </c>
      <c r="S58" s="12">
        <f t="shared" si="34"/>
        <v>0</v>
      </c>
      <c r="T58" s="12">
        <f t="shared" si="34"/>
        <v>0</v>
      </c>
      <c r="U58" s="12">
        <f t="shared" si="34"/>
        <v>0</v>
      </c>
      <c r="V58" s="12">
        <f t="shared" si="34"/>
        <v>0</v>
      </c>
      <c r="W58" s="12">
        <f t="shared" si="34"/>
        <v>0</v>
      </c>
      <c r="X58" s="12">
        <f t="shared" si="34"/>
        <v>0</v>
      </c>
      <c r="Y58" s="12">
        <f t="shared" si="34"/>
        <v>0</v>
      </c>
      <c r="Z58" s="12">
        <f t="shared" si="34"/>
        <v>0</v>
      </c>
      <c r="AA58" s="12">
        <f t="shared" si="34"/>
        <v>0</v>
      </c>
      <c r="AB58" s="12">
        <f t="shared" si="34"/>
        <v>0</v>
      </c>
      <c r="AC58" s="12">
        <f t="shared" si="34"/>
        <v>0</v>
      </c>
      <c r="AD58" s="12">
        <f t="shared" si="34"/>
        <v>0</v>
      </c>
      <c r="AE58" s="12">
        <f t="shared" si="34"/>
        <v>0</v>
      </c>
      <c r="AF58" s="12">
        <f t="shared" si="34"/>
        <v>0</v>
      </c>
      <c r="AG58" s="12">
        <f t="shared" si="34"/>
        <v>0</v>
      </c>
      <c r="AH58" s="12">
        <f t="shared" si="34"/>
        <v>0</v>
      </c>
      <c r="AI58" s="12">
        <f t="shared" si="34"/>
        <v>0</v>
      </c>
      <c r="AJ58" s="12">
        <f t="shared" si="34"/>
        <v>0</v>
      </c>
      <c r="AK58" s="12">
        <f t="shared" si="34"/>
        <v>0</v>
      </c>
      <c r="AL58" s="12">
        <f t="shared" si="34"/>
        <v>0</v>
      </c>
      <c r="AM58" s="12">
        <f t="shared" si="34"/>
        <v>0</v>
      </c>
      <c r="AN58" s="12">
        <f t="shared" si="34"/>
        <v>0</v>
      </c>
      <c r="AO58" s="12">
        <f t="shared" si="34"/>
        <v>0</v>
      </c>
      <c r="AP58" s="30">
        <f t="shared" si="34"/>
        <v>0</v>
      </c>
    </row>
    <row r="59" spans="1:42">
      <c r="A59" s="93" t="s">
        <v>84</v>
      </c>
      <c r="B59" s="12"/>
      <c r="C59" s="12"/>
      <c r="D59" s="12"/>
      <c r="E59" s="12"/>
      <c r="F59" s="12"/>
      <c r="G59" s="12"/>
      <c r="H59" s="12"/>
      <c r="I59" s="12"/>
      <c r="J59" s="12"/>
      <c r="K59" s="12">
        <f t="shared" ref="K59:AP59" si="35">K49*$B$71</f>
        <v>0</v>
      </c>
      <c r="L59" s="12">
        <f t="shared" si="35"/>
        <v>0</v>
      </c>
      <c r="M59" s="12">
        <f t="shared" si="35"/>
        <v>600000</v>
      </c>
      <c r="N59" s="12">
        <f t="shared" si="35"/>
        <v>600000</v>
      </c>
      <c r="O59" s="12">
        <f t="shared" si="35"/>
        <v>600000</v>
      </c>
      <c r="P59" s="12">
        <f t="shared" si="35"/>
        <v>6190000</v>
      </c>
      <c r="Q59" s="12">
        <f t="shared" si="35"/>
        <v>6190000</v>
      </c>
      <c r="R59" s="12">
        <f t="shared" si="35"/>
        <v>6190000</v>
      </c>
      <c r="S59" s="12">
        <f t="shared" si="35"/>
        <v>6190000</v>
      </c>
      <c r="T59" s="12">
        <f t="shared" si="35"/>
        <v>21300000</v>
      </c>
      <c r="U59" s="12">
        <f t="shared" si="35"/>
        <v>21300000</v>
      </c>
      <c r="V59" s="12">
        <f t="shared" si="35"/>
        <v>22592000</v>
      </c>
      <c r="W59" s="12">
        <f t="shared" si="35"/>
        <v>24352000</v>
      </c>
      <c r="X59" s="12">
        <f t="shared" si="35"/>
        <v>24352000</v>
      </c>
      <c r="Y59" s="12">
        <f t="shared" si="35"/>
        <v>24352000</v>
      </c>
      <c r="Z59" s="12">
        <f t="shared" si="35"/>
        <v>24352000</v>
      </c>
      <c r="AA59" s="12">
        <f t="shared" si="35"/>
        <v>26444000</v>
      </c>
      <c r="AB59" s="12">
        <f t="shared" si="35"/>
        <v>28536000</v>
      </c>
      <c r="AC59" s="12">
        <f t="shared" si="35"/>
        <v>29732000</v>
      </c>
      <c r="AD59" s="12">
        <f t="shared" si="35"/>
        <v>29732000</v>
      </c>
      <c r="AE59" s="12">
        <f t="shared" si="35"/>
        <v>29732000</v>
      </c>
      <c r="AF59" s="12">
        <f t="shared" si="35"/>
        <v>30948720</v>
      </c>
      <c r="AG59" s="12">
        <f t="shared" si="35"/>
        <v>30948720</v>
      </c>
      <c r="AH59" s="12">
        <f t="shared" si="35"/>
        <v>30948720</v>
      </c>
      <c r="AI59" s="12">
        <f t="shared" si="35"/>
        <v>30948720</v>
      </c>
      <c r="AJ59" s="12">
        <f t="shared" si="35"/>
        <v>30948720</v>
      </c>
      <c r="AK59" s="12">
        <f t="shared" si="35"/>
        <v>35348720</v>
      </c>
      <c r="AL59" s="12">
        <f t="shared" si="35"/>
        <v>35348720</v>
      </c>
      <c r="AM59" s="12">
        <f t="shared" si="35"/>
        <v>35348720</v>
      </c>
      <c r="AN59" s="12">
        <f t="shared" si="35"/>
        <v>35348720</v>
      </c>
      <c r="AO59" s="12">
        <f t="shared" si="35"/>
        <v>42308720</v>
      </c>
      <c r="AP59" s="30">
        <f t="shared" si="35"/>
        <v>42308720</v>
      </c>
    </row>
    <row r="60" spans="1:42">
      <c r="A60" s="93" t="s">
        <v>85</v>
      </c>
      <c r="B60" s="12"/>
      <c r="C60" s="12"/>
      <c r="D60" s="12"/>
      <c r="E60" s="12"/>
      <c r="F60" s="12"/>
      <c r="G60" s="12"/>
      <c r="H60" s="12"/>
      <c r="I60" s="12"/>
      <c r="J60" s="12"/>
      <c r="K60" s="12">
        <f t="shared" ref="K60:AP60" si="36">K50*$B$72</f>
        <v>0</v>
      </c>
      <c r="L60" s="12">
        <f t="shared" si="36"/>
        <v>0</v>
      </c>
      <c r="M60" s="12">
        <f t="shared" si="36"/>
        <v>0</v>
      </c>
      <c r="N60" s="12">
        <f t="shared" si="36"/>
        <v>0</v>
      </c>
      <c r="O60" s="12">
        <f t="shared" si="36"/>
        <v>0</v>
      </c>
      <c r="P60" s="12">
        <f t="shared" si="36"/>
        <v>0</v>
      </c>
      <c r="Q60" s="12">
        <f t="shared" si="36"/>
        <v>0</v>
      </c>
      <c r="R60" s="12">
        <f t="shared" si="36"/>
        <v>0</v>
      </c>
      <c r="S60" s="12">
        <f t="shared" si="36"/>
        <v>0</v>
      </c>
      <c r="T60" s="12">
        <f t="shared" si="36"/>
        <v>0</v>
      </c>
      <c r="U60" s="12">
        <f t="shared" si="36"/>
        <v>0</v>
      </c>
      <c r="V60" s="12">
        <f t="shared" si="36"/>
        <v>0</v>
      </c>
      <c r="W60" s="12">
        <f t="shared" si="36"/>
        <v>0</v>
      </c>
      <c r="X60" s="12">
        <f t="shared" si="36"/>
        <v>0</v>
      </c>
      <c r="Y60" s="12">
        <f t="shared" si="36"/>
        <v>0</v>
      </c>
      <c r="Z60" s="12">
        <f t="shared" si="36"/>
        <v>0</v>
      </c>
      <c r="AA60" s="12">
        <f t="shared" si="36"/>
        <v>0</v>
      </c>
      <c r="AB60" s="12">
        <f t="shared" si="36"/>
        <v>0</v>
      </c>
      <c r="AC60" s="12">
        <f t="shared" si="36"/>
        <v>0</v>
      </c>
      <c r="AD60" s="12">
        <f t="shared" si="36"/>
        <v>0</v>
      </c>
      <c r="AE60" s="12">
        <f t="shared" si="36"/>
        <v>0</v>
      </c>
      <c r="AF60" s="12">
        <f t="shared" si="36"/>
        <v>0</v>
      </c>
      <c r="AG60" s="12">
        <f t="shared" si="36"/>
        <v>0</v>
      </c>
      <c r="AH60" s="12">
        <f t="shared" si="36"/>
        <v>0</v>
      </c>
      <c r="AI60" s="12">
        <f t="shared" si="36"/>
        <v>0</v>
      </c>
      <c r="AJ60" s="12">
        <f t="shared" si="36"/>
        <v>0</v>
      </c>
      <c r="AK60" s="12">
        <f t="shared" si="36"/>
        <v>0</v>
      </c>
      <c r="AL60" s="12">
        <f t="shared" si="36"/>
        <v>0</v>
      </c>
      <c r="AM60" s="12">
        <f t="shared" si="36"/>
        <v>0</v>
      </c>
      <c r="AN60" s="12">
        <f t="shared" si="36"/>
        <v>0</v>
      </c>
      <c r="AO60" s="12">
        <f t="shared" si="36"/>
        <v>0</v>
      </c>
      <c r="AP60" s="30">
        <f t="shared" si="36"/>
        <v>0</v>
      </c>
    </row>
    <row r="61" spans="1:42">
      <c r="A61" s="93" t="s">
        <v>86</v>
      </c>
      <c r="B61" s="12"/>
      <c r="C61" s="12"/>
      <c r="D61" s="12"/>
      <c r="E61" s="12"/>
      <c r="F61" s="12"/>
      <c r="G61" s="12"/>
      <c r="H61" s="12"/>
      <c r="I61" s="12"/>
      <c r="J61" s="12"/>
      <c r="K61" s="12">
        <f t="shared" ref="K61:AP61" si="37">K51*$B$73</f>
        <v>0</v>
      </c>
      <c r="L61" s="12">
        <f t="shared" si="37"/>
        <v>0</v>
      </c>
      <c r="M61" s="12">
        <f t="shared" si="37"/>
        <v>0</v>
      </c>
      <c r="N61" s="12">
        <f t="shared" si="37"/>
        <v>0</v>
      </c>
      <c r="O61" s="12">
        <f t="shared" si="37"/>
        <v>0</v>
      </c>
      <c r="P61" s="12">
        <f t="shared" si="37"/>
        <v>0</v>
      </c>
      <c r="Q61" s="12">
        <f t="shared" si="37"/>
        <v>0</v>
      </c>
      <c r="R61" s="12">
        <f t="shared" si="37"/>
        <v>0</v>
      </c>
      <c r="S61" s="12">
        <f t="shared" si="37"/>
        <v>0</v>
      </c>
      <c r="T61" s="12">
        <f t="shared" si="37"/>
        <v>0</v>
      </c>
      <c r="U61" s="12">
        <f t="shared" si="37"/>
        <v>0</v>
      </c>
      <c r="V61" s="12">
        <f t="shared" si="37"/>
        <v>0</v>
      </c>
      <c r="W61" s="12">
        <f t="shared" si="37"/>
        <v>0</v>
      </c>
      <c r="X61" s="12">
        <f t="shared" si="37"/>
        <v>10800000</v>
      </c>
      <c r="Y61" s="12">
        <f t="shared" si="37"/>
        <v>10800000</v>
      </c>
      <c r="Z61" s="12">
        <f t="shared" si="37"/>
        <v>10800000</v>
      </c>
      <c r="AA61" s="12">
        <f t="shared" si="37"/>
        <v>10800000</v>
      </c>
      <c r="AB61" s="12">
        <f t="shared" si="37"/>
        <v>10800000</v>
      </c>
      <c r="AC61" s="12">
        <f t="shared" si="37"/>
        <v>10800000</v>
      </c>
      <c r="AD61" s="12">
        <f t="shared" si="37"/>
        <v>10800000</v>
      </c>
      <c r="AE61" s="12">
        <f t="shared" si="37"/>
        <v>10800000</v>
      </c>
      <c r="AF61" s="12">
        <f t="shared" si="37"/>
        <v>10800000</v>
      </c>
      <c r="AG61" s="12">
        <f t="shared" si="37"/>
        <v>10800000</v>
      </c>
      <c r="AH61" s="12">
        <f t="shared" si="37"/>
        <v>10800000</v>
      </c>
      <c r="AI61" s="12">
        <f t="shared" si="37"/>
        <v>10800000</v>
      </c>
      <c r="AJ61" s="12">
        <f t="shared" si="37"/>
        <v>10800000</v>
      </c>
      <c r="AK61" s="12">
        <f t="shared" si="37"/>
        <v>10800000</v>
      </c>
      <c r="AL61" s="12">
        <f t="shared" si="37"/>
        <v>10800000</v>
      </c>
      <c r="AM61" s="12">
        <f t="shared" si="37"/>
        <v>10800000</v>
      </c>
      <c r="AN61" s="12">
        <f t="shared" si="37"/>
        <v>10800000</v>
      </c>
      <c r="AO61" s="12">
        <f t="shared" si="37"/>
        <v>10800000</v>
      </c>
      <c r="AP61" s="30">
        <f t="shared" si="37"/>
        <v>10800000</v>
      </c>
    </row>
    <row r="62" spans="1:42" ht="15.75" customHeight="1">
      <c r="A62" s="96" t="s">
        <v>30</v>
      </c>
      <c r="B62" s="38">
        <f t="shared" ref="B62:AP62" si="38">SUM(B55:B61)</f>
        <v>179849000</v>
      </c>
      <c r="C62" s="38">
        <f t="shared" si="38"/>
        <v>179849000</v>
      </c>
      <c r="D62" s="38">
        <f t="shared" si="38"/>
        <v>179849000</v>
      </c>
      <c r="E62" s="38">
        <f t="shared" si="38"/>
        <v>179849000</v>
      </c>
      <c r="F62" s="38">
        <f t="shared" si="38"/>
        <v>179849000</v>
      </c>
      <c r="G62" s="38">
        <f t="shared" si="38"/>
        <v>179849000</v>
      </c>
      <c r="H62" s="38">
        <f t="shared" si="38"/>
        <v>179849000</v>
      </c>
      <c r="I62" s="38">
        <f t="shared" si="38"/>
        <v>179849000</v>
      </c>
      <c r="J62" s="38">
        <f t="shared" si="38"/>
        <v>179849000</v>
      </c>
      <c r="K62" s="38">
        <f t="shared" si="38"/>
        <v>179849000</v>
      </c>
      <c r="L62" s="38">
        <f t="shared" si="38"/>
        <v>179849000</v>
      </c>
      <c r="M62" s="38">
        <f t="shared" si="38"/>
        <v>179230700.91019192</v>
      </c>
      <c r="N62" s="38">
        <f t="shared" si="38"/>
        <v>179230700.91019192</v>
      </c>
      <c r="O62" s="38">
        <f t="shared" si="38"/>
        <v>179230700.91019192</v>
      </c>
      <c r="P62" s="38">
        <f t="shared" si="38"/>
        <v>184820700.91019192</v>
      </c>
      <c r="Q62" s="38">
        <f t="shared" si="38"/>
        <v>184820700.91019192</v>
      </c>
      <c r="R62" s="38">
        <f t="shared" si="38"/>
        <v>184820700.91019192</v>
      </c>
      <c r="S62" s="38">
        <f t="shared" si="38"/>
        <v>179423289.29164171</v>
      </c>
      <c r="T62" s="38">
        <f t="shared" si="38"/>
        <v>184753670.28052062</v>
      </c>
      <c r="U62" s="38">
        <f t="shared" si="38"/>
        <v>184753670.28052062</v>
      </c>
      <c r="V62" s="38">
        <f t="shared" si="38"/>
        <v>184624321.34241119</v>
      </c>
      <c r="W62" s="38">
        <f t="shared" si="38"/>
        <v>184470558.0630939</v>
      </c>
      <c r="X62" s="38">
        <f t="shared" si="38"/>
        <v>186974784.37046847</v>
      </c>
      <c r="Y62" s="38">
        <f t="shared" si="38"/>
        <v>186974784.37046847</v>
      </c>
      <c r="Z62" s="38">
        <f t="shared" si="38"/>
        <v>175729310.71660143</v>
      </c>
      <c r="AA62" s="38">
        <f t="shared" si="38"/>
        <v>177821310.71660143</v>
      </c>
      <c r="AB62" s="38">
        <f t="shared" si="38"/>
        <v>179913310.71660143</v>
      </c>
      <c r="AC62" s="38">
        <f t="shared" si="38"/>
        <v>181109310.71660143</v>
      </c>
      <c r="AD62" s="38">
        <f t="shared" si="38"/>
        <v>181109310.71660143</v>
      </c>
      <c r="AE62" s="38">
        <f t="shared" si="38"/>
        <v>181109310.71660143</v>
      </c>
      <c r="AF62" s="38">
        <f t="shared" si="38"/>
        <v>181155282.2094501</v>
      </c>
      <c r="AG62" s="38">
        <f t="shared" si="38"/>
        <v>181155282.2094501</v>
      </c>
      <c r="AH62" s="38">
        <f t="shared" si="38"/>
        <v>181155282.2094501</v>
      </c>
      <c r="AI62" s="38">
        <f t="shared" si="38"/>
        <v>181155282.2094501</v>
      </c>
      <c r="AJ62" s="38">
        <f t="shared" si="38"/>
        <v>181155282.2094501</v>
      </c>
      <c r="AK62" s="38">
        <f t="shared" si="38"/>
        <v>185555282.2094501</v>
      </c>
      <c r="AL62" s="38">
        <f t="shared" si="38"/>
        <v>185555282.2094501</v>
      </c>
      <c r="AM62" s="38">
        <f t="shared" si="38"/>
        <v>185555282.2094501</v>
      </c>
      <c r="AN62" s="38">
        <f t="shared" si="38"/>
        <v>185555282.2094501</v>
      </c>
      <c r="AO62" s="38">
        <f t="shared" si="38"/>
        <v>192515282.2094501</v>
      </c>
      <c r="AP62" s="39">
        <f t="shared" si="38"/>
        <v>192515282.2094501</v>
      </c>
    </row>
    <row r="63" spans="1:42" ht="15.75" customHeight="1">
      <c r="A63" s="66"/>
      <c r="B63" s="40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</row>
    <row r="64" spans="1:42" ht="15.75" customHeight="1">
      <c r="A64" s="41" t="s">
        <v>31</v>
      </c>
      <c r="B64" s="40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</row>
    <row r="65" spans="1:42" ht="15.75" customHeight="1">
      <c r="A65" s="57" t="s">
        <v>32</v>
      </c>
      <c r="B65" s="42">
        <f>(131543*1000)/B37</f>
        <v>85.514875049325624</v>
      </c>
      <c r="C65" s="66"/>
      <c r="D65" s="43" t="s">
        <v>33</v>
      </c>
      <c r="E65" s="44"/>
      <c r="F65" s="44"/>
      <c r="G65" s="45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</row>
    <row r="66" spans="1:42">
      <c r="A66" s="47" t="s">
        <v>34</v>
      </c>
      <c r="B66" s="46">
        <f>(48306*1000)/B37</f>
        <v>31.403279187282667</v>
      </c>
      <c r="C66" s="66"/>
      <c r="D66" s="47" t="s">
        <v>5</v>
      </c>
      <c r="E66" s="48">
        <f t="shared" ref="E66:G66" si="39">I19/I26</f>
        <v>7.1055077852660931E-3</v>
      </c>
      <c r="F66" s="48">
        <f t="shared" si="39"/>
        <v>7.0412640771242698E-3</v>
      </c>
      <c r="G66" s="49">
        <f t="shared" si="39"/>
        <v>6.8805095707562035E-3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</row>
    <row r="67" spans="1:42">
      <c r="A67" s="47" t="s">
        <v>35</v>
      </c>
      <c r="B67" s="46">
        <f>B41</f>
        <v>116.91815423660829</v>
      </c>
      <c r="C67" s="66"/>
      <c r="D67" s="47" t="s">
        <v>36</v>
      </c>
      <c r="E67" s="50">
        <f t="shared" ref="E67:G67" si="40">I20/I26</f>
        <v>9.2958401115500813E-3</v>
      </c>
      <c r="F67" s="50">
        <f t="shared" si="40"/>
        <v>8.6462183602446889E-3</v>
      </c>
      <c r="G67" s="51">
        <f t="shared" si="40"/>
        <v>8.6957466928988363E-3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</row>
    <row r="68" spans="1:42" ht="15.75" customHeight="1">
      <c r="A68" s="47" t="s">
        <v>87</v>
      </c>
      <c r="B68" s="46">
        <v>80</v>
      </c>
      <c r="C68" s="66"/>
      <c r="D68" s="52" t="s">
        <v>38</v>
      </c>
      <c r="E68" s="53">
        <f t="shared" ref="E68:G68" si="41">I21/I26</f>
        <v>1.6837090402045087E-2</v>
      </c>
      <c r="F68" s="53">
        <f t="shared" si="41"/>
        <v>1.609277392300543E-2</v>
      </c>
      <c r="G68" s="54">
        <f t="shared" si="41"/>
        <v>1.5983869389884674E-2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</row>
    <row r="69" spans="1:42" ht="15.75" customHeight="1">
      <c r="A69" s="47" t="s">
        <v>88</v>
      </c>
      <c r="B69" s="46">
        <v>80</v>
      </c>
      <c r="C69" s="66"/>
      <c r="D69" s="2"/>
      <c r="E69" s="55"/>
      <c r="F69" s="55"/>
      <c r="G69" s="55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</row>
    <row r="70" spans="1:42">
      <c r="A70" s="47" t="s">
        <v>89</v>
      </c>
      <c r="B70" s="46">
        <v>80</v>
      </c>
      <c r="C70" s="66"/>
      <c r="D70" s="2"/>
      <c r="E70" s="55"/>
      <c r="F70" s="55"/>
      <c r="G70" s="55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</row>
    <row r="71" spans="1:42">
      <c r="A71" s="47" t="s">
        <v>90</v>
      </c>
      <c r="B71" s="46">
        <v>80</v>
      </c>
      <c r="C71" s="66"/>
      <c r="D71" s="2"/>
      <c r="E71" s="55"/>
      <c r="F71" s="55"/>
      <c r="G71" s="55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</row>
    <row r="72" spans="1:42">
      <c r="A72" s="47" t="s">
        <v>91</v>
      </c>
      <c r="B72" s="46">
        <f>B67*2.5</f>
        <v>292.2953855915207</v>
      </c>
      <c r="C72" s="66"/>
      <c r="D72" s="2"/>
      <c r="E72" s="55"/>
      <c r="F72" s="55"/>
      <c r="G72" s="55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</row>
    <row r="73" spans="1:42">
      <c r="A73" s="47" t="s">
        <v>92</v>
      </c>
      <c r="B73" s="46">
        <v>80</v>
      </c>
      <c r="C73" s="66"/>
      <c r="D73" s="2"/>
      <c r="E73" s="55"/>
      <c r="F73" s="55"/>
      <c r="G73" s="55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</row>
    <row r="74" spans="1:42">
      <c r="A74" s="47" t="s">
        <v>39</v>
      </c>
      <c r="B74" s="49">
        <f>B65/B67</f>
        <v>0.73140801450105364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</row>
    <row r="75" spans="1:42" ht="15.75" customHeight="1">
      <c r="A75" s="47" t="s">
        <v>40</v>
      </c>
      <c r="B75" s="49">
        <f>B66/B67</f>
        <v>0.26859198549894636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</row>
    <row r="76" spans="1:42" ht="15.75" customHeight="1">
      <c r="A76" s="47" t="s">
        <v>41</v>
      </c>
      <c r="B76" s="56">
        <f>K18/(B62*B74)</f>
        <v>5.7030780809317106E-5</v>
      </c>
      <c r="C76" s="66"/>
      <c r="D76" s="57"/>
      <c r="E76" s="23"/>
      <c r="F76" s="58" t="s">
        <v>42</v>
      </c>
      <c r="G76" s="23"/>
      <c r="H76" s="23"/>
      <c r="I76" s="23"/>
      <c r="J76" s="59"/>
      <c r="K76" s="60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61"/>
      <c r="AK76" s="66"/>
      <c r="AL76" s="66"/>
      <c r="AM76" s="66"/>
      <c r="AN76" s="66"/>
      <c r="AO76" s="66"/>
      <c r="AP76" s="66"/>
    </row>
    <row r="77" spans="1:42">
      <c r="A77" s="47" t="s">
        <v>43</v>
      </c>
      <c r="B77" s="56">
        <f>K22/(B62*B75)</f>
        <v>1.7738997226017471E-4</v>
      </c>
      <c r="C77" s="66"/>
      <c r="D77" s="47" t="s">
        <v>44</v>
      </c>
      <c r="E77" s="2" t="s">
        <v>45</v>
      </c>
      <c r="F77" s="62">
        <f t="shared" ref="F77:AJ77" si="42">(L18+L19+L20+L21+L23+L24)*4.5</f>
        <v>39695.4</v>
      </c>
      <c r="G77" s="62">
        <f t="shared" si="42"/>
        <v>39585.628809187489</v>
      </c>
      <c r="H77" s="62">
        <f t="shared" si="42"/>
        <v>39574.179255690557</v>
      </c>
      <c r="I77" s="62">
        <f t="shared" si="42"/>
        <v>39574.179255690557</v>
      </c>
      <c r="J77" s="62">
        <f t="shared" si="42"/>
        <v>40681.531147097303</v>
      </c>
      <c r="K77" s="62">
        <f t="shared" si="42"/>
        <v>40681.531147097303</v>
      </c>
      <c r="L77" s="62">
        <f t="shared" si="42"/>
        <v>40681.531147097303</v>
      </c>
      <c r="M77" s="62">
        <f t="shared" si="42"/>
        <v>39636.593754977468</v>
      </c>
      <c r="N77" s="62">
        <f t="shared" si="42"/>
        <v>40724.593747481333</v>
      </c>
      <c r="O77" s="62">
        <f t="shared" si="42"/>
        <v>40724.593747481333</v>
      </c>
      <c r="P77" s="62">
        <f t="shared" si="42"/>
        <v>40713.734874894813</v>
      </c>
      <c r="Q77" s="62">
        <f t="shared" si="42"/>
        <v>40703.154684685571</v>
      </c>
      <c r="R77" s="62">
        <f t="shared" si="42"/>
        <v>41234.597903465838</v>
      </c>
      <c r="S77" s="62">
        <f t="shared" si="42"/>
        <v>41234.597903465838</v>
      </c>
      <c r="T77" s="62">
        <f t="shared" si="42"/>
        <v>39069.501532261173</v>
      </c>
      <c r="U77" s="62">
        <f t="shared" si="42"/>
        <v>39483.916587148989</v>
      </c>
      <c r="V77" s="62">
        <f t="shared" si="42"/>
        <v>39898.331642036814</v>
      </c>
      <c r="W77" s="62">
        <f t="shared" si="42"/>
        <v>40135.253442058718</v>
      </c>
      <c r="X77" s="62">
        <f t="shared" si="42"/>
        <v>40135.253442058718</v>
      </c>
      <c r="Y77" s="62">
        <f t="shared" si="42"/>
        <v>40135.253442058718</v>
      </c>
      <c r="Z77" s="62">
        <f t="shared" si="42"/>
        <v>40156.521538341367</v>
      </c>
      <c r="AA77" s="62">
        <f t="shared" si="42"/>
        <v>40156.521538341367</v>
      </c>
      <c r="AB77" s="62">
        <f t="shared" si="42"/>
        <v>40156.521538341367</v>
      </c>
      <c r="AC77" s="62">
        <f t="shared" si="42"/>
        <v>40156.521538341367</v>
      </c>
      <c r="AD77" s="62">
        <f t="shared" si="42"/>
        <v>40156.521538341367</v>
      </c>
      <c r="AE77" s="62">
        <f t="shared" si="42"/>
        <v>41028.140200629336</v>
      </c>
      <c r="AF77" s="62">
        <f t="shared" si="42"/>
        <v>41028.140200629336</v>
      </c>
      <c r="AG77" s="62">
        <f t="shared" si="42"/>
        <v>41028.140200629336</v>
      </c>
      <c r="AH77" s="62">
        <f t="shared" si="42"/>
        <v>41028.140200629336</v>
      </c>
      <c r="AI77" s="62">
        <f t="shared" si="42"/>
        <v>42406.882448248471</v>
      </c>
      <c r="AJ77" s="63">
        <f t="shared" si="42"/>
        <v>42406.882448248471</v>
      </c>
      <c r="AK77" s="66"/>
      <c r="AL77" s="66"/>
      <c r="AM77" s="66"/>
      <c r="AN77" s="66"/>
      <c r="AO77" s="66"/>
      <c r="AP77" s="66"/>
    </row>
    <row r="78" spans="1:42">
      <c r="A78" s="47"/>
      <c r="B78" s="32"/>
      <c r="C78" s="66"/>
      <c r="D78" s="47"/>
      <c r="E78" s="2" t="s">
        <v>46</v>
      </c>
      <c r="F78" s="62">
        <f t="shared" ref="F78:AJ78" si="43">(L22/0.682)*3</f>
        <v>33052.785923753661</v>
      </c>
      <c r="G78" s="62">
        <f t="shared" si="43"/>
        <v>32307.364290384943</v>
      </c>
      <c r="H78" s="62">
        <f t="shared" si="43"/>
        <v>31691.52851325884</v>
      </c>
      <c r="I78" s="62">
        <f t="shared" si="43"/>
        <v>31075.692736132747</v>
      </c>
      <c r="J78" s="62">
        <f t="shared" si="43"/>
        <v>31631.433867879481</v>
      </c>
      <c r="K78" s="62">
        <f t="shared" si="43"/>
        <v>31015.598090753385</v>
      </c>
      <c r="L78" s="62">
        <f t="shared" si="43"/>
        <v>30399.762313627281</v>
      </c>
      <c r="M78" s="62">
        <f t="shared" si="43"/>
        <v>28652.713151890199</v>
      </c>
      <c r="N78" s="62">
        <f t="shared" si="43"/>
        <v>29154.042183720318</v>
      </c>
      <c r="O78" s="62">
        <f t="shared" si="43"/>
        <v>28538.206406594225</v>
      </c>
      <c r="P78" s="62">
        <f t="shared" si="43"/>
        <v>28511.096884398117</v>
      </c>
      <c r="Q78" s="62">
        <f t="shared" si="43"/>
        <v>28478.8704966556</v>
      </c>
      <c r="R78" s="62">
        <f t="shared" si="43"/>
        <v>29003.717315316055</v>
      </c>
      <c r="S78" s="62">
        <f t="shared" si="43"/>
        <v>29003.717315316055</v>
      </c>
      <c r="T78" s="62">
        <f t="shared" si="43"/>
        <v>26646.841239786809</v>
      </c>
      <c r="U78" s="62">
        <f t="shared" si="43"/>
        <v>27085.291846828306</v>
      </c>
      <c r="V78" s="62">
        <f t="shared" si="43"/>
        <v>27523.742453869803</v>
      </c>
      <c r="W78" s="62">
        <f t="shared" si="43"/>
        <v>27774.405420419338</v>
      </c>
      <c r="X78" s="62">
        <f t="shared" si="43"/>
        <v>27774.405420419338</v>
      </c>
      <c r="Y78" s="62">
        <f t="shared" si="43"/>
        <v>27774.405420419338</v>
      </c>
      <c r="Z78" s="62">
        <f t="shared" si="43"/>
        <v>27784.040329093386</v>
      </c>
      <c r="AA78" s="62">
        <f t="shared" si="43"/>
        <v>27784.040329093386</v>
      </c>
      <c r="AB78" s="62">
        <f t="shared" si="43"/>
        <v>27784.040329093386</v>
      </c>
      <c r="AC78" s="62">
        <f t="shared" si="43"/>
        <v>27784.040329093386</v>
      </c>
      <c r="AD78" s="62">
        <f t="shared" si="43"/>
        <v>27784.040329093386</v>
      </c>
      <c r="AE78" s="62">
        <f t="shared" si="43"/>
        <v>28706.211777937846</v>
      </c>
      <c r="AF78" s="62">
        <f t="shared" si="43"/>
        <v>28706.211777937846</v>
      </c>
      <c r="AG78" s="62">
        <f t="shared" si="43"/>
        <v>28706.211777937846</v>
      </c>
      <c r="AH78" s="62">
        <f t="shared" si="43"/>
        <v>28706.211777937846</v>
      </c>
      <c r="AI78" s="62">
        <f t="shared" si="43"/>
        <v>30164.9193424736</v>
      </c>
      <c r="AJ78" s="63">
        <f t="shared" si="43"/>
        <v>30164.9193424736</v>
      </c>
      <c r="AK78" s="66"/>
      <c r="AL78" s="66"/>
      <c r="AM78" s="66"/>
      <c r="AN78" s="66"/>
      <c r="AO78" s="66"/>
      <c r="AP78" s="66"/>
    </row>
    <row r="79" spans="1:42">
      <c r="A79" s="47" t="s">
        <v>47</v>
      </c>
      <c r="B79" s="32">
        <f>K19/B37</f>
        <v>8.2301476940959407E-5</v>
      </c>
      <c r="C79" s="66"/>
      <c r="D79" s="47" t="s">
        <v>48</v>
      </c>
      <c r="E79" s="2" t="s">
        <v>49</v>
      </c>
      <c r="F79" s="62">
        <f t="shared" ref="F79:AJ79" si="44">(L18+L19+L20+L21+L23+L24)*16</f>
        <v>141139.20000000001</v>
      </c>
      <c r="G79" s="62">
        <f t="shared" si="44"/>
        <v>140748.90243266663</v>
      </c>
      <c r="H79" s="62">
        <f t="shared" si="44"/>
        <v>140708.19290912198</v>
      </c>
      <c r="I79" s="62">
        <f t="shared" si="44"/>
        <v>140708.19290912198</v>
      </c>
      <c r="J79" s="62">
        <f t="shared" si="44"/>
        <v>144645.44407856819</v>
      </c>
      <c r="K79" s="62">
        <f t="shared" si="44"/>
        <v>144645.44407856819</v>
      </c>
      <c r="L79" s="62">
        <f t="shared" si="44"/>
        <v>144645.44407856819</v>
      </c>
      <c r="M79" s="62">
        <f t="shared" si="44"/>
        <v>140930.11112880878</v>
      </c>
      <c r="N79" s="62">
        <f t="shared" si="44"/>
        <v>144798.55554660028</v>
      </c>
      <c r="O79" s="62">
        <f t="shared" si="44"/>
        <v>144798.55554660028</v>
      </c>
      <c r="P79" s="62">
        <f t="shared" si="44"/>
        <v>144759.94622184822</v>
      </c>
      <c r="Q79" s="62">
        <f t="shared" si="44"/>
        <v>144722.32776777091</v>
      </c>
      <c r="R79" s="62">
        <f t="shared" si="44"/>
        <v>146611.90365676742</v>
      </c>
      <c r="S79" s="62">
        <f t="shared" si="44"/>
        <v>146611.90365676742</v>
      </c>
      <c r="T79" s="62">
        <f t="shared" si="44"/>
        <v>138913.78322581749</v>
      </c>
      <c r="U79" s="62">
        <f t="shared" si="44"/>
        <v>140387.25897652973</v>
      </c>
      <c r="V79" s="62">
        <f t="shared" si="44"/>
        <v>141860.734727242</v>
      </c>
      <c r="W79" s="62">
        <f t="shared" si="44"/>
        <v>142703.12334954212</v>
      </c>
      <c r="X79" s="62">
        <f t="shared" si="44"/>
        <v>142703.12334954212</v>
      </c>
      <c r="Y79" s="62">
        <f t="shared" si="44"/>
        <v>142703.12334954212</v>
      </c>
      <c r="Z79" s="62">
        <f t="shared" si="44"/>
        <v>142778.74324743598</v>
      </c>
      <c r="AA79" s="62">
        <f t="shared" si="44"/>
        <v>142778.74324743598</v>
      </c>
      <c r="AB79" s="62">
        <f t="shared" si="44"/>
        <v>142778.74324743598</v>
      </c>
      <c r="AC79" s="62">
        <f t="shared" si="44"/>
        <v>142778.74324743598</v>
      </c>
      <c r="AD79" s="62">
        <f t="shared" si="44"/>
        <v>142778.74324743598</v>
      </c>
      <c r="AE79" s="62">
        <f t="shared" si="44"/>
        <v>145877.83182445986</v>
      </c>
      <c r="AF79" s="62">
        <f t="shared" si="44"/>
        <v>145877.83182445986</v>
      </c>
      <c r="AG79" s="62">
        <f t="shared" si="44"/>
        <v>145877.83182445986</v>
      </c>
      <c r="AH79" s="62">
        <f t="shared" si="44"/>
        <v>145877.83182445986</v>
      </c>
      <c r="AI79" s="62">
        <f t="shared" si="44"/>
        <v>150780.02648266123</v>
      </c>
      <c r="AJ79" s="63">
        <f t="shared" si="44"/>
        <v>150780.02648266123</v>
      </c>
      <c r="AK79" s="66"/>
      <c r="AL79" s="66"/>
      <c r="AM79" s="66"/>
      <c r="AN79" s="66"/>
      <c r="AO79" s="66"/>
      <c r="AP79" s="66"/>
    </row>
    <row r="80" spans="1:42" ht="15.75" customHeight="1">
      <c r="A80" s="52" t="s">
        <v>50</v>
      </c>
      <c r="B80" s="36">
        <f>K20/B37</f>
        <v>1.0401450482269753E-4</v>
      </c>
      <c r="C80" s="66"/>
      <c r="D80" s="52"/>
      <c r="E80" s="33" t="s">
        <v>46</v>
      </c>
      <c r="F80" s="64">
        <f t="shared" ref="F80:AJ80" si="45">(L22/0.682)*6</f>
        <v>66105.571847507323</v>
      </c>
      <c r="G80" s="64">
        <f t="shared" si="45"/>
        <v>64614.728580769886</v>
      </c>
      <c r="H80" s="64">
        <f t="shared" si="45"/>
        <v>63383.057026517679</v>
      </c>
      <c r="I80" s="64">
        <f t="shared" si="45"/>
        <v>62151.385472265494</v>
      </c>
      <c r="J80" s="64">
        <f t="shared" si="45"/>
        <v>63262.867735758962</v>
      </c>
      <c r="K80" s="64">
        <f t="shared" si="45"/>
        <v>62031.19618150677</v>
      </c>
      <c r="L80" s="64">
        <f t="shared" si="45"/>
        <v>60799.524627254563</v>
      </c>
      <c r="M80" s="64">
        <f t="shared" si="45"/>
        <v>57305.426303780398</v>
      </c>
      <c r="N80" s="64">
        <f t="shared" si="45"/>
        <v>58308.084367440635</v>
      </c>
      <c r="O80" s="64">
        <f t="shared" si="45"/>
        <v>57076.41281318845</v>
      </c>
      <c r="P80" s="64">
        <f t="shared" si="45"/>
        <v>57022.193768796235</v>
      </c>
      <c r="Q80" s="64">
        <f t="shared" si="45"/>
        <v>56957.740993311199</v>
      </c>
      <c r="R80" s="64">
        <f t="shared" si="45"/>
        <v>58007.434630632109</v>
      </c>
      <c r="S80" s="64">
        <f t="shared" si="45"/>
        <v>58007.434630632109</v>
      </c>
      <c r="T80" s="64">
        <f t="shared" si="45"/>
        <v>53293.682479573617</v>
      </c>
      <c r="U80" s="64">
        <f t="shared" si="45"/>
        <v>54170.583693656612</v>
      </c>
      <c r="V80" s="64">
        <f t="shared" si="45"/>
        <v>55047.484907739607</v>
      </c>
      <c r="W80" s="64">
        <f t="shared" si="45"/>
        <v>55548.810840838676</v>
      </c>
      <c r="X80" s="64">
        <f t="shared" si="45"/>
        <v>55548.810840838676</v>
      </c>
      <c r="Y80" s="64">
        <f t="shared" si="45"/>
        <v>55548.810840838676</v>
      </c>
      <c r="Z80" s="64">
        <f t="shared" si="45"/>
        <v>55568.080658186773</v>
      </c>
      <c r="AA80" s="64">
        <f t="shared" si="45"/>
        <v>55568.080658186773</v>
      </c>
      <c r="AB80" s="64">
        <f t="shared" si="45"/>
        <v>55568.080658186773</v>
      </c>
      <c r="AC80" s="64">
        <f t="shared" si="45"/>
        <v>55568.080658186773</v>
      </c>
      <c r="AD80" s="64">
        <f t="shared" si="45"/>
        <v>55568.080658186773</v>
      </c>
      <c r="AE80" s="64">
        <f t="shared" si="45"/>
        <v>57412.423555875692</v>
      </c>
      <c r="AF80" s="64">
        <f t="shared" si="45"/>
        <v>57412.423555875692</v>
      </c>
      <c r="AG80" s="64">
        <f t="shared" si="45"/>
        <v>57412.423555875692</v>
      </c>
      <c r="AH80" s="64">
        <f t="shared" si="45"/>
        <v>57412.423555875692</v>
      </c>
      <c r="AI80" s="64">
        <f t="shared" si="45"/>
        <v>60329.838684947201</v>
      </c>
      <c r="AJ80" s="65">
        <f t="shared" si="45"/>
        <v>60329.838684947201</v>
      </c>
      <c r="AK80" s="66"/>
      <c r="AL80" s="66"/>
      <c r="AM80" s="66"/>
      <c r="AN80" s="66"/>
      <c r="AO80" s="66"/>
      <c r="AP80" s="66"/>
    </row>
    <row r="81" spans="1:42" ht="15.75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</row>
    <row r="82" spans="1:42">
      <c r="A82" s="66"/>
      <c r="B82" s="66"/>
      <c r="C82" s="66"/>
      <c r="D82" s="14" t="s">
        <v>93</v>
      </c>
      <c r="E82" s="14" t="s">
        <v>94</v>
      </c>
      <c r="F82" s="14" t="s">
        <v>95</v>
      </c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</row>
    <row r="83" spans="1:42">
      <c r="A83" s="66"/>
      <c r="B83" s="66"/>
      <c r="C83" s="66"/>
      <c r="D83" s="97">
        <f>E83/(F83/1000)</f>
        <v>0.61062836516506114</v>
      </c>
      <c r="E83" s="18">
        <f>AVERAGE(I22:K22)</f>
        <v>8370.4</v>
      </c>
      <c r="F83" s="98">
        <f>AVERAGE(F84:F86)</f>
        <v>13707846.666666666</v>
      </c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</row>
    <row r="84" spans="1:42">
      <c r="A84" s="66"/>
      <c r="B84" s="31">
        <f>SUM(B76:B77)</f>
        <v>2.344207530694918E-4</v>
      </c>
      <c r="C84" s="66"/>
      <c r="D84" s="14"/>
      <c r="E84" s="14"/>
      <c r="F84" s="99">
        <v>13811482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</row>
    <row r="85" spans="1:42">
      <c r="A85" s="66"/>
      <c r="B85" s="66"/>
      <c r="C85" s="66"/>
      <c r="D85" s="14"/>
      <c r="E85" s="14"/>
      <c r="F85" s="99">
        <v>13275754</v>
      </c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</row>
    <row r="86" spans="1:42">
      <c r="A86" s="66"/>
      <c r="B86" s="48"/>
      <c r="C86" s="66"/>
      <c r="D86" s="14"/>
      <c r="E86" s="14"/>
      <c r="F86" s="99">
        <v>14036304</v>
      </c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</row>
    <row r="87" spans="1:4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</row>
    <row r="88" spans="1:4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</row>
    <row r="89" spans="1:4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</row>
    <row r="90" spans="1:4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</row>
    <row r="91" spans="1:4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</row>
    <row r="92" spans="1:4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</row>
    <row r="93" spans="1:4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</row>
    <row r="94" spans="1:4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</row>
    <row r="95" spans="1:4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</row>
    <row r="96" spans="1:42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</row>
    <row r="97" spans="1:4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</row>
    <row r="98" spans="1:42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</row>
    <row r="99" spans="1:42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</row>
    <row r="100" spans="1:4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</row>
    <row r="101" spans="1:4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</row>
    <row r="102" spans="1:4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</row>
    <row r="103" spans="1:4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</row>
    <row r="104" spans="1:4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</row>
    <row r="105" spans="1:4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</row>
    <row r="106" spans="1:4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</row>
    <row r="107" spans="1:4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</row>
    <row r="108" spans="1:4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</row>
    <row r="109" spans="1:4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</row>
    <row r="110" spans="1:4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</row>
    <row r="111" spans="1:4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</row>
    <row r="112" spans="1:4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</row>
    <row r="113" spans="1:4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</row>
    <row r="114" spans="1:4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</row>
    <row r="115" spans="1:4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</row>
    <row r="116" spans="1:4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</row>
    <row r="117" spans="1:4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</row>
    <row r="118" spans="1:4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</row>
    <row r="119" spans="1:4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</row>
    <row r="120" spans="1:4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</row>
    <row r="121" spans="1:4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</row>
    <row r="122" spans="1:4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</row>
    <row r="123" spans="1:4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</row>
    <row r="124" spans="1:4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</row>
    <row r="125" spans="1:4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</row>
    <row r="126" spans="1:4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</row>
    <row r="127" spans="1:4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</row>
    <row r="128" spans="1:4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</row>
    <row r="129" spans="1:4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</row>
    <row r="130" spans="1:4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</row>
    <row r="131" spans="1:4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</row>
    <row r="132" spans="1:4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</row>
    <row r="133" spans="1:4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</row>
    <row r="134" spans="1:4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</row>
    <row r="135" spans="1:4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</row>
    <row r="136" spans="1:4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</row>
    <row r="137" spans="1:4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</row>
    <row r="138" spans="1:4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</row>
    <row r="139" spans="1:4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</row>
    <row r="140" spans="1:4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</row>
    <row r="141" spans="1:4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</row>
    <row r="142" spans="1:4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</row>
    <row r="143" spans="1:4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</row>
    <row r="144" spans="1:4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</row>
    <row r="145" spans="1:4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</row>
    <row r="146" spans="1:4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</row>
    <row r="147" spans="1:4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</row>
    <row r="148" spans="1:4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</row>
    <row r="149" spans="1:4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</row>
    <row r="150" spans="1:4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</row>
    <row r="151" spans="1:4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</row>
    <row r="152" spans="1:4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</row>
    <row r="153" spans="1:4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</row>
    <row r="154" spans="1:4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</row>
    <row r="155" spans="1:4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</row>
    <row r="156" spans="1:4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</row>
    <row r="157" spans="1:4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</row>
    <row r="158" spans="1:4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</row>
    <row r="159" spans="1:4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</row>
    <row r="160" spans="1:4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</row>
    <row r="161" spans="1:4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</row>
    <row r="162" spans="1:4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</row>
    <row r="163" spans="1:42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</row>
    <row r="164" spans="1:42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</row>
    <row r="165" spans="1:42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</row>
    <row r="166" spans="1:4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</row>
    <row r="167" spans="1:42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</row>
    <row r="168" spans="1:4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</row>
    <row r="169" spans="1:42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</row>
    <row r="170" spans="1:42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</row>
    <row r="171" spans="1:4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</row>
    <row r="172" spans="1:4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</row>
    <row r="173" spans="1:42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</row>
    <row r="174" spans="1:42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</row>
    <row r="175" spans="1:42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</row>
    <row r="176" spans="1:42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</row>
    <row r="177" spans="1:4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</row>
    <row r="178" spans="1:4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</row>
    <row r="179" spans="1:42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</row>
    <row r="180" spans="1:42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</row>
    <row r="181" spans="1:42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</row>
    <row r="182" spans="1:4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</row>
    <row r="183" spans="1:42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</row>
    <row r="184" spans="1:42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</row>
    <row r="185" spans="1:42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</row>
    <row r="186" spans="1:42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</row>
    <row r="187" spans="1:4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</row>
    <row r="188" spans="1:4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</row>
    <row r="189" spans="1:42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</row>
    <row r="190" spans="1:42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</row>
    <row r="191" spans="1:42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</row>
    <row r="192" spans="1:4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</row>
    <row r="193" spans="1:4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</row>
    <row r="194" spans="1:4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</row>
    <row r="195" spans="1:4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</row>
    <row r="196" spans="1:42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</row>
    <row r="197" spans="1:4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</row>
    <row r="198" spans="1:42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</row>
    <row r="199" spans="1:4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</row>
    <row r="200" spans="1:4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</row>
    <row r="201" spans="1:4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</row>
    <row r="202" spans="1:4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</row>
    <row r="203" spans="1:42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</row>
    <row r="204" spans="1:42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</row>
    <row r="205" spans="1:42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</row>
    <row r="206" spans="1:42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</row>
    <row r="207" spans="1:42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</row>
    <row r="208" spans="1:42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</row>
    <row r="209" spans="1:42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</row>
    <row r="210" spans="1:42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</row>
    <row r="211" spans="1:42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</row>
    <row r="212" spans="1:4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</row>
    <row r="213" spans="1:42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</row>
    <row r="214" spans="1:42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</row>
    <row r="215" spans="1:42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</row>
    <row r="216" spans="1:42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</row>
    <row r="217" spans="1:42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</row>
    <row r="218" spans="1:42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</row>
    <row r="219" spans="1:42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</row>
    <row r="220" spans="1:42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</row>
    <row r="221" spans="1:42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</row>
    <row r="222" spans="1:4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</row>
    <row r="223" spans="1:42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</row>
    <row r="224" spans="1:42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</row>
    <row r="225" spans="1:42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</row>
    <row r="226" spans="1:42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</row>
    <row r="227" spans="1:42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</row>
    <row r="228" spans="1:42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</row>
    <row r="229" spans="1:42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</row>
    <row r="230" spans="1:42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</row>
    <row r="231" spans="1:42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</row>
    <row r="232" spans="1:4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</row>
    <row r="233" spans="1:42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</row>
    <row r="234" spans="1:42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</row>
    <row r="235" spans="1:42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</row>
    <row r="236" spans="1:42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</row>
    <row r="237" spans="1:4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</row>
    <row r="238" spans="1:42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</row>
    <row r="239" spans="1:42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</row>
    <row r="240" spans="1:42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</row>
    <row r="241" spans="1:42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</row>
    <row r="242" spans="1:4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</row>
    <row r="243" spans="1:42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</row>
    <row r="244" spans="1:42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</row>
    <row r="245" spans="1:42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</row>
    <row r="246" spans="1:42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</row>
    <row r="247" spans="1:42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</row>
    <row r="248" spans="1:42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</row>
    <row r="249" spans="1:42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</row>
    <row r="250" spans="1:42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</row>
    <row r="251" spans="1:42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</row>
    <row r="252" spans="1:4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</row>
    <row r="253" spans="1:42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</row>
    <row r="254" spans="1:42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</row>
    <row r="255" spans="1:42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</row>
    <row r="256" spans="1:42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</row>
    <row r="257" spans="1:4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</row>
    <row r="258" spans="1:42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</row>
    <row r="259" spans="1:42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</row>
    <row r="260" spans="1:42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</row>
    <row r="261" spans="1:42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</row>
    <row r="262" spans="1:4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</row>
    <row r="263" spans="1:42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</row>
    <row r="264" spans="1:42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</row>
    <row r="265" spans="1:42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</row>
    <row r="266" spans="1:42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</row>
    <row r="267" spans="1:42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</row>
    <row r="268" spans="1:42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</row>
    <row r="269" spans="1:42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</row>
    <row r="270" spans="1:42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</row>
    <row r="271" spans="1:42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</row>
    <row r="272" spans="1:4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</row>
    <row r="273" spans="1:4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</row>
    <row r="274" spans="1:4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</row>
    <row r="275" spans="1:4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</row>
    <row r="276" spans="1:42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</row>
    <row r="277" spans="1:42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</row>
    <row r="278" spans="1:42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</row>
    <row r="279" spans="1:42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</row>
    <row r="280" spans="1:42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</row>
    <row r="281" spans="1:42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</row>
    <row r="282" spans="1:4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</row>
    <row r="283" spans="1:42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</row>
    <row r="284" spans="1:42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</row>
    <row r="285" spans="1:42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</row>
    <row r="286" spans="1:42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</row>
    <row r="287" spans="1:42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</row>
    <row r="288" spans="1:42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</row>
    <row r="289" spans="1:42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</row>
    <row r="290" spans="1:42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</row>
    <row r="291" spans="1:42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</row>
    <row r="292" spans="1:4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</row>
    <row r="293" spans="1:42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</row>
    <row r="294" spans="1:42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</row>
    <row r="295" spans="1:42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</row>
    <row r="296" spans="1:42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</row>
    <row r="297" spans="1:42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</row>
    <row r="298" spans="1:42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</row>
    <row r="299" spans="1:42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</row>
    <row r="300" spans="1:42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</row>
    <row r="301" spans="1:42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</row>
    <row r="302" spans="1:4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</row>
    <row r="303" spans="1:42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</row>
    <row r="304" spans="1:42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</row>
    <row r="305" spans="1:42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</row>
    <row r="306" spans="1:42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</row>
    <row r="307" spans="1:42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</row>
    <row r="308" spans="1:42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</row>
    <row r="309" spans="1:42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</row>
    <row r="310" spans="1:42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</row>
    <row r="311" spans="1:42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</row>
    <row r="312" spans="1:4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</row>
    <row r="313" spans="1:42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</row>
    <row r="314" spans="1:42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</row>
    <row r="315" spans="1:42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</row>
    <row r="316" spans="1:42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</row>
    <row r="317" spans="1:42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</row>
    <row r="318" spans="1:42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</row>
    <row r="319" spans="1:4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</row>
    <row r="320" spans="1:4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</row>
    <row r="321" spans="1:42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</row>
    <row r="322" spans="1:4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</row>
    <row r="323" spans="1:42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</row>
    <row r="324" spans="1:42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</row>
    <row r="325" spans="1:42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</row>
    <row r="326" spans="1:42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</row>
    <row r="327" spans="1:42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</row>
    <row r="328" spans="1:42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</row>
    <row r="329" spans="1:42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</row>
    <row r="330" spans="1:42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</row>
    <row r="331" spans="1:42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</row>
    <row r="332" spans="1:4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</row>
    <row r="333" spans="1:42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</row>
    <row r="334" spans="1:42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</row>
    <row r="335" spans="1:42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</row>
    <row r="336" spans="1:42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</row>
    <row r="337" spans="1:42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</row>
    <row r="338" spans="1:42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</row>
    <row r="339" spans="1:42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</row>
    <row r="340" spans="1:42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</row>
    <row r="341" spans="1:42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</row>
    <row r="342" spans="1:4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</row>
    <row r="343" spans="1:42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</row>
    <row r="344" spans="1:42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</row>
    <row r="345" spans="1:42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</row>
    <row r="346" spans="1:42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</row>
    <row r="347" spans="1:42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</row>
    <row r="348" spans="1:42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</row>
    <row r="349" spans="1:42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</row>
    <row r="350" spans="1:42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</row>
    <row r="351" spans="1:42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</row>
    <row r="352" spans="1:4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</row>
    <row r="353" spans="1:4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</row>
    <row r="354" spans="1:42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</row>
    <row r="355" spans="1:42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</row>
    <row r="356" spans="1:42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</row>
    <row r="357" spans="1:42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</row>
    <row r="358" spans="1:42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</row>
    <row r="359" spans="1:42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</row>
    <row r="360" spans="1:42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</row>
    <row r="361" spans="1:42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</row>
    <row r="362" spans="1:4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</row>
    <row r="363" spans="1:42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</row>
    <row r="364" spans="1:4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</row>
    <row r="365" spans="1:4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</row>
    <row r="366" spans="1:4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</row>
    <row r="367" spans="1:42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</row>
    <row r="368" spans="1:42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</row>
    <row r="369" spans="1:42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</row>
    <row r="370" spans="1:42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</row>
    <row r="371" spans="1:42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</row>
    <row r="372" spans="1:4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</row>
    <row r="373" spans="1:42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</row>
    <row r="374" spans="1:42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</row>
    <row r="375" spans="1:42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</row>
    <row r="376" spans="1:42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</row>
    <row r="377" spans="1:42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</row>
    <row r="378" spans="1:42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</row>
    <row r="379" spans="1:42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</row>
    <row r="380" spans="1:42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</row>
    <row r="381" spans="1:42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</row>
    <row r="382" spans="1:4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</row>
    <row r="383" spans="1:42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</row>
    <row r="384" spans="1:42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</row>
    <row r="385" spans="1:42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</row>
    <row r="386" spans="1:42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</row>
    <row r="387" spans="1:42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</row>
    <row r="388" spans="1:4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</row>
    <row r="389" spans="1:42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</row>
    <row r="390" spans="1:42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</row>
    <row r="391" spans="1:42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</row>
    <row r="392" spans="1:4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</row>
    <row r="393" spans="1:42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</row>
    <row r="394" spans="1:42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</row>
    <row r="395" spans="1:42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</row>
    <row r="396" spans="1:42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</row>
    <row r="397" spans="1:42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</row>
    <row r="398" spans="1:42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</row>
    <row r="399" spans="1:42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</row>
    <row r="400" spans="1:42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</row>
    <row r="401" spans="1:42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</row>
    <row r="402" spans="1:4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</row>
    <row r="403" spans="1:42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</row>
    <row r="404" spans="1:42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</row>
    <row r="405" spans="1:42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</row>
    <row r="406" spans="1:42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</row>
    <row r="407" spans="1:42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</row>
    <row r="408" spans="1:42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</row>
    <row r="409" spans="1:4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</row>
    <row r="410" spans="1:42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</row>
    <row r="411" spans="1:42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</row>
    <row r="412" spans="1:42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</row>
    <row r="413" spans="1:42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</row>
    <row r="414" spans="1:42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</row>
    <row r="415" spans="1:42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</row>
    <row r="416" spans="1:42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</row>
    <row r="417" spans="1:42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</row>
    <row r="418" spans="1:42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</row>
    <row r="419" spans="1:42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</row>
    <row r="420" spans="1:42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</row>
    <row r="421" spans="1:42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</row>
    <row r="422" spans="1:42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</row>
    <row r="423" spans="1:42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</row>
    <row r="424" spans="1:42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</row>
    <row r="425" spans="1:42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</row>
    <row r="426" spans="1:42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</row>
    <row r="427" spans="1:42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</row>
    <row r="428" spans="1:42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</row>
    <row r="429" spans="1:42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</row>
    <row r="430" spans="1:42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</row>
    <row r="431" spans="1:42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</row>
    <row r="432" spans="1:4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</row>
    <row r="433" spans="1:42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</row>
    <row r="434" spans="1:42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</row>
    <row r="435" spans="1:42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</row>
    <row r="436" spans="1:42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</row>
    <row r="437" spans="1:42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</row>
    <row r="438" spans="1:42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</row>
    <row r="439" spans="1:42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</row>
    <row r="440" spans="1:42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</row>
    <row r="441" spans="1:42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</row>
    <row r="442" spans="1:42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</row>
    <row r="443" spans="1:42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</row>
    <row r="444" spans="1:42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</row>
    <row r="445" spans="1:42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</row>
    <row r="446" spans="1:42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</row>
    <row r="447" spans="1:42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</row>
    <row r="448" spans="1:42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</row>
    <row r="449" spans="1:42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</row>
    <row r="450" spans="1:42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</row>
    <row r="451" spans="1:42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</row>
    <row r="452" spans="1:42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</row>
    <row r="453" spans="1:42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</row>
    <row r="454" spans="1:42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</row>
    <row r="455" spans="1:42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</row>
    <row r="456" spans="1:42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</row>
    <row r="457" spans="1:42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</row>
    <row r="458" spans="1:42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</row>
    <row r="459" spans="1:42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</row>
    <row r="460" spans="1:42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</row>
    <row r="461" spans="1:42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</row>
    <row r="462" spans="1:42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</row>
    <row r="463" spans="1:42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</row>
    <row r="464" spans="1:42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</row>
    <row r="465" spans="1:42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</row>
    <row r="466" spans="1:42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</row>
    <row r="467" spans="1:42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</row>
    <row r="468" spans="1:42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</row>
    <row r="469" spans="1:42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</row>
    <row r="470" spans="1:42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</row>
    <row r="471" spans="1:4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</row>
    <row r="472" spans="1:42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</row>
    <row r="473" spans="1:42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</row>
    <row r="474" spans="1:42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</row>
    <row r="475" spans="1:42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</row>
    <row r="476" spans="1:42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</row>
    <row r="477" spans="1:42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</row>
    <row r="478" spans="1:42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</row>
    <row r="479" spans="1:42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</row>
    <row r="480" spans="1:42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</row>
    <row r="481" spans="1:42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</row>
    <row r="482" spans="1:42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</row>
    <row r="483" spans="1:42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</row>
    <row r="484" spans="1:42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</row>
    <row r="485" spans="1:42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</row>
    <row r="486" spans="1:42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</row>
    <row r="487" spans="1:42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</row>
    <row r="488" spans="1:42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</row>
    <row r="489" spans="1:42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</row>
    <row r="490" spans="1:42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</row>
    <row r="491" spans="1:42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</row>
    <row r="492" spans="1:4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</row>
    <row r="493" spans="1:42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</row>
    <row r="494" spans="1:42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</row>
    <row r="495" spans="1:42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</row>
    <row r="496" spans="1:42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</row>
    <row r="497" spans="1:42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</row>
    <row r="498" spans="1:42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</row>
    <row r="499" spans="1:42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</row>
    <row r="500" spans="1:42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</row>
    <row r="501" spans="1:42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</row>
    <row r="502" spans="1:42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</row>
    <row r="503" spans="1:42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</row>
    <row r="504" spans="1:42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</row>
    <row r="505" spans="1:42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</row>
    <row r="506" spans="1:42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</row>
    <row r="507" spans="1:42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</row>
    <row r="508" spans="1:42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</row>
    <row r="509" spans="1:42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</row>
    <row r="510" spans="1:42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</row>
    <row r="511" spans="1:42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</row>
    <row r="512" spans="1:42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</row>
    <row r="513" spans="1:42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</row>
    <row r="514" spans="1:42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</row>
    <row r="515" spans="1:42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</row>
    <row r="516" spans="1:42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</row>
    <row r="517" spans="1:42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</row>
    <row r="518" spans="1:42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</row>
    <row r="519" spans="1:42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</row>
    <row r="520" spans="1:42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</row>
    <row r="521" spans="1:42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</row>
    <row r="522" spans="1:42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</row>
    <row r="523" spans="1:42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</row>
    <row r="524" spans="1:42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</row>
    <row r="525" spans="1:42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</row>
    <row r="526" spans="1:42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</row>
    <row r="527" spans="1:42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</row>
    <row r="528" spans="1:42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</row>
    <row r="529" spans="1:42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</row>
    <row r="530" spans="1:42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</row>
    <row r="531" spans="1:42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</row>
    <row r="532" spans="1:42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</row>
    <row r="533" spans="1:42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</row>
    <row r="534" spans="1:42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</row>
    <row r="535" spans="1:42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</row>
    <row r="536" spans="1:42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</row>
    <row r="537" spans="1:42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</row>
    <row r="538" spans="1:42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</row>
    <row r="539" spans="1:42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</row>
    <row r="540" spans="1:42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</row>
    <row r="541" spans="1:42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</row>
    <row r="542" spans="1:4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</row>
    <row r="543" spans="1:42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</row>
    <row r="544" spans="1:42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</row>
    <row r="545" spans="1:42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</row>
    <row r="546" spans="1:42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</row>
    <row r="547" spans="1:42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</row>
    <row r="548" spans="1:42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</row>
    <row r="549" spans="1:42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</row>
    <row r="550" spans="1:42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</row>
    <row r="551" spans="1:42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</row>
    <row r="552" spans="1:42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</row>
    <row r="553" spans="1:42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</row>
    <row r="554" spans="1:42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</row>
    <row r="555" spans="1:42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</row>
    <row r="556" spans="1:42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</row>
    <row r="557" spans="1:42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</row>
    <row r="558" spans="1:42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</row>
    <row r="559" spans="1:42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</row>
    <row r="560" spans="1:42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</row>
    <row r="561" spans="1:42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</row>
    <row r="562" spans="1:42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</row>
    <row r="563" spans="1:42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</row>
    <row r="564" spans="1:42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</row>
    <row r="565" spans="1:42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</row>
    <row r="566" spans="1:42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</row>
    <row r="567" spans="1:42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</row>
    <row r="568" spans="1:42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</row>
    <row r="569" spans="1:42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</row>
    <row r="570" spans="1:42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</row>
    <row r="571" spans="1:42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</row>
    <row r="572" spans="1:42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</row>
    <row r="573" spans="1:42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</row>
    <row r="574" spans="1:42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</row>
    <row r="575" spans="1:42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</row>
    <row r="576" spans="1:42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</row>
    <row r="577" spans="1:42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</row>
    <row r="578" spans="1:42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</row>
    <row r="579" spans="1:42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</row>
    <row r="580" spans="1:42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</row>
    <row r="581" spans="1:42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</row>
    <row r="582" spans="1:42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</row>
    <row r="583" spans="1:42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</row>
    <row r="584" spans="1:42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</row>
    <row r="585" spans="1:42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</row>
    <row r="586" spans="1:42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</row>
    <row r="587" spans="1:42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</row>
    <row r="588" spans="1:42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</row>
    <row r="589" spans="1:42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</row>
    <row r="590" spans="1:42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</row>
    <row r="591" spans="1:42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</row>
    <row r="592" spans="1:42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</row>
    <row r="593" spans="1:42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</row>
    <row r="594" spans="1:42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</row>
    <row r="595" spans="1:42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</row>
    <row r="596" spans="1:42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</row>
    <row r="597" spans="1:42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</row>
    <row r="598" spans="1:42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</row>
    <row r="599" spans="1:42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</row>
    <row r="600" spans="1:42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</row>
    <row r="601" spans="1:42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</row>
    <row r="602" spans="1:42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</row>
    <row r="603" spans="1:42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</row>
    <row r="604" spans="1:42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</row>
    <row r="605" spans="1:42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</row>
    <row r="606" spans="1:42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</row>
    <row r="607" spans="1:42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</row>
    <row r="608" spans="1:42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</row>
    <row r="609" spans="1:42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</row>
    <row r="610" spans="1:42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</row>
    <row r="611" spans="1:42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</row>
    <row r="612" spans="1:42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</row>
    <row r="613" spans="1:42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</row>
    <row r="614" spans="1:42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</row>
    <row r="615" spans="1:42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</row>
    <row r="616" spans="1:42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</row>
    <row r="617" spans="1:42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</row>
    <row r="618" spans="1:42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</row>
    <row r="619" spans="1:42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</row>
    <row r="620" spans="1:42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</row>
    <row r="621" spans="1:42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</row>
    <row r="622" spans="1:42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</row>
    <row r="623" spans="1:42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</row>
    <row r="624" spans="1:42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</row>
    <row r="625" spans="1:42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</row>
    <row r="626" spans="1:42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</row>
    <row r="627" spans="1:42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</row>
    <row r="628" spans="1:42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</row>
    <row r="629" spans="1:42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</row>
    <row r="630" spans="1:42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</row>
    <row r="631" spans="1:42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</row>
    <row r="632" spans="1:42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</row>
    <row r="633" spans="1:42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</row>
    <row r="634" spans="1:42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</row>
    <row r="635" spans="1:42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</row>
    <row r="636" spans="1:42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</row>
    <row r="637" spans="1:42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</row>
    <row r="638" spans="1:42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</row>
    <row r="639" spans="1:42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</row>
    <row r="640" spans="1:42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</row>
    <row r="641" spans="1:42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</row>
    <row r="642" spans="1:42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</row>
    <row r="643" spans="1:42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</row>
    <row r="644" spans="1:42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</row>
    <row r="645" spans="1:42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</row>
    <row r="646" spans="1:42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</row>
    <row r="647" spans="1:42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</row>
    <row r="648" spans="1:42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</row>
    <row r="649" spans="1:42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</row>
    <row r="650" spans="1:42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</row>
    <row r="651" spans="1:42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</row>
    <row r="652" spans="1:42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</row>
    <row r="653" spans="1:42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</row>
    <row r="654" spans="1:42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</row>
    <row r="655" spans="1:42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</row>
    <row r="656" spans="1:42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</row>
    <row r="657" spans="1:42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</row>
    <row r="658" spans="1:42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</row>
    <row r="659" spans="1:42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</row>
    <row r="660" spans="1:42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</row>
    <row r="661" spans="1:42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</row>
    <row r="662" spans="1:42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</row>
    <row r="663" spans="1:42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</row>
    <row r="664" spans="1:42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</row>
    <row r="665" spans="1:42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</row>
    <row r="666" spans="1:42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</row>
    <row r="667" spans="1:42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</row>
    <row r="668" spans="1:42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</row>
    <row r="669" spans="1:42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</row>
    <row r="670" spans="1:42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</row>
    <row r="671" spans="1:42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</row>
    <row r="672" spans="1:42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</row>
    <row r="673" spans="1:42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</row>
    <row r="674" spans="1:42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</row>
    <row r="675" spans="1:42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</row>
    <row r="676" spans="1:42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</row>
    <row r="677" spans="1:42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</row>
    <row r="678" spans="1:42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</row>
    <row r="679" spans="1:42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</row>
    <row r="680" spans="1:42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</row>
    <row r="681" spans="1:42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</row>
    <row r="682" spans="1:42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</row>
    <row r="683" spans="1:42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</row>
    <row r="684" spans="1:42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</row>
    <row r="685" spans="1:42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</row>
    <row r="686" spans="1:42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</row>
    <row r="687" spans="1:42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</row>
    <row r="688" spans="1:42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</row>
    <row r="689" spans="1:42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</row>
    <row r="690" spans="1:42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</row>
    <row r="691" spans="1:42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</row>
    <row r="692" spans="1:42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</row>
    <row r="693" spans="1:42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</row>
    <row r="694" spans="1:42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</row>
    <row r="695" spans="1:42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</row>
    <row r="696" spans="1:42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</row>
    <row r="697" spans="1:42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</row>
    <row r="698" spans="1:42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</row>
    <row r="699" spans="1:42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</row>
    <row r="700" spans="1:42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</row>
    <row r="701" spans="1:42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</row>
    <row r="702" spans="1:42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</row>
    <row r="703" spans="1:42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</row>
    <row r="704" spans="1:42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</row>
    <row r="705" spans="1:42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</row>
    <row r="706" spans="1:42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</row>
    <row r="707" spans="1:42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</row>
    <row r="708" spans="1:42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</row>
    <row r="709" spans="1:42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</row>
    <row r="710" spans="1:42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</row>
    <row r="711" spans="1:42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</row>
    <row r="712" spans="1:42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</row>
    <row r="713" spans="1:42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</row>
    <row r="714" spans="1:42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</row>
    <row r="715" spans="1:42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</row>
    <row r="716" spans="1:42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</row>
    <row r="717" spans="1:42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</row>
    <row r="718" spans="1:42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</row>
    <row r="719" spans="1:42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</row>
    <row r="720" spans="1:42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</row>
    <row r="721" spans="1:42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</row>
    <row r="722" spans="1:42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</row>
    <row r="723" spans="1:42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</row>
    <row r="724" spans="1:42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</row>
    <row r="725" spans="1:42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</row>
    <row r="726" spans="1:42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</row>
    <row r="727" spans="1:42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</row>
    <row r="728" spans="1:42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</row>
    <row r="729" spans="1:42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</row>
    <row r="730" spans="1:42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</row>
    <row r="731" spans="1:42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</row>
    <row r="732" spans="1:42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</row>
    <row r="733" spans="1:42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</row>
    <row r="734" spans="1:42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</row>
    <row r="735" spans="1:42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</row>
    <row r="736" spans="1:42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</row>
    <row r="737" spans="1:42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</row>
    <row r="738" spans="1:42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</row>
    <row r="739" spans="1:42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</row>
    <row r="740" spans="1:42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</row>
    <row r="741" spans="1:42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</row>
    <row r="742" spans="1:42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</row>
    <row r="743" spans="1:42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</row>
    <row r="744" spans="1:42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</row>
    <row r="745" spans="1:42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</row>
    <row r="746" spans="1:42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</row>
    <row r="747" spans="1:42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</row>
    <row r="748" spans="1:42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</row>
    <row r="749" spans="1:42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</row>
    <row r="750" spans="1:42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</row>
    <row r="751" spans="1:42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</row>
    <row r="752" spans="1:42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</row>
    <row r="753" spans="1:42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</row>
    <row r="754" spans="1:42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</row>
    <row r="755" spans="1:42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</row>
    <row r="756" spans="1:42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</row>
    <row r="757" spans="1:42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</row>
    <row r="758" spans="1:42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</row>
    <row r="759" spans="1:42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</row>
    <row r="760" spans="1:42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</row>
    <row r="761" spans="1:42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</row>
    <row r="762" spans="1:42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</row>
    <row r="763" spans="1:42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</row>
    <row r="764" spans="1:42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</row>
    <row r="765" spans="1:42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</row>
    <row r="766" spans="1:42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</row>
    <row r="767" spans="1:42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</row>
    <row r="768" spans="1:42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</row>
    <row r="769" spans="1:42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</row>
    <row r="770" spans="1:42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</row>
    <row r="771" spans="1:42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</row>
    <row r="772" spans="1:42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</row>
    <row r="773" spans="1:42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</row>
    <row r="774" spans="1:42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</row>
    <row r="775" spans="1:42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</row>
    <row r="776" spans="1:42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</row>
    <row r="777" spans="1:42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</row>
    <row r="778" spans="1:42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</row>
    <row r="779" spans="1:42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</row>
    <row r="780" spans="1:42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</row>
    <row r="781" spans="1:42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</row>
    <row r="782" spans="1:42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</row>
    <row r="783" spans="1:42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</row>
    <row r="784" spans="1:42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</row>
    <row r="785" spans="1:42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</row>
    <row r="786" spans="1:42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</row>
    <row r="787" spans="1:42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</row>
    <row r="788" spans="1:42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</row>
    <row r="789" spans="1:42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</row>
    <row r="790" spans="1:42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</row>
    <row r="791" spans="1:42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</row>
    <row r="792" spans="1:42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</row>
    <row r="793" spans="1:42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</row>
    <row r="794" spans="1:42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</row>
    <row r="795" spans="1:42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</row>
    <row r="796" spans="1:42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</row>
    <row r="797" spans="1:42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</row>
    <row r="798" spans="1:42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</row>
    <row r="799" spans="1:42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</row>
    <row r="800" spans="1:42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</row>
    <row r="801" spans="1:42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</row>
    <row r="802" spans="1:42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</row>
    <row r="803" spans="1:42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</row>
    <row r="804" spans="1:42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</row>
    <row r="805" spans="1:42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</row>
    <row r="806" spans="1:42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</row>
    <row r="807" spans="1:42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</row>
    <row r="808" spans="1:42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</row>
    <row r="809" spans="1:42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</row>
    <row r="810" spans="1:42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</row>
    <row r="811" spans="1:42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</row>
    <row r="812" spans="1:42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</row>
    <row r="813" spans="1:42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</row>
    <row r="814" spans="1:42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</row>
    <row r="815" spans="1:42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</row>
    <row r="816" spans="1:42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</row>
    <row r="817" spans="1:42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</row>
    <row r="818" spans="1:42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</row>
    <row r="819" spans="1:42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</row>
    <row r="820" spans="1:42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</row>
    <row r="821" spans="1:42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</row>
    <row r="822" spans="1:42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</row>
    <row r="823" spans="1:42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</row>
    <row r="824" spans="1:42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</row>
    <row r="825" spans="1:42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</row>
    <row r="826" spans="1:42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</row>
    <row r="827" spans="1:42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</row>
    <row r="828" spans="1:42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</row>
    <row r="829" spans="1:42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</row>
    <row r="830" spans="1:42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</row>
    <row r="831" spans="1:42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</row>
    <row r="832" spans="1:42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</row>
    <row r="833" spans="1:42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</row>
    <row r="834" spans="1:42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</row>
    <row r="835" spans="1:42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</row>
    <row r="836" spans="1:42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</row>
    <row r="837" spans="1:42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</row>
    <row r="838" spans="1:42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</row>
    <row r="839" spans="1:42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</row>
    <row r="840" spans="1:42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</row>
    <row r="841" spans="1:42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</row>
    <row r="842" spans="1:42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</row>
    <row r="843" spans="1:42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</row>
    <row r="844" spans="1:42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</row>
    <row r="845" spans="1:42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</row>
    <row r="846" spans="1:42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</row>
    <row r="847" spans="1:42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</row>
    <row r="848" spans="1:42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</row>
    <row r="849" spans="1:42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</row>
    <row r="850" spans="1:42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</row>
    <row r="851" spans="1:42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</row>
    <row r="852" spans="1:42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</row>
    <row r="853" spans="1:42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</row>
    <row r="854" spans="1:42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</row>
    <row r="855" spans="1:42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</row>
    <row r="856" spans="1:42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</row>
    <row r="857" spans="1:42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</row>
    <row r="858" spans="1:42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</row>
    <row r="859" spans="1:42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</row>
    <row r="860" spans="1:42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</row>
    <row r="861" spans="1:42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</row>
    <row r="862" spans="1:42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</row>
    <row r="863" spans="1:42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</row>
    <row r="864" spans="1:42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</row>
    <row r="865" spans="1:42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</row>
    <row r="866" spans="1:42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</row>
    <row r="867" spans="1:42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</row>
    <row r="868" spans="1:42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</row>
    <row r="869" spans="1:42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</row>
    <row r="870" spans="1:42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</row>
    <row r="871" spans="1:42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</row>
    <row r="872" spans="1:42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</row>
    <row r="873" spans="1:42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</row>
    <row r="874" spans="1:42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</row>
    <row r="875" spans="1:42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</row>
    <row r="876" spans="1:42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</row>
    <row r="877" spans="1:42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</row>
    <row r="878" spans="1:42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</row>
    <row r="879" spans="1:42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</row>
    <row r="880" spans="1:42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</row>
    <row r="881" spans="1:42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</row>
    <row r="882" spans="1:42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</row>
    <row r="883" spans="1:42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</row>
    <row r="884" spans="1:42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</row>
    <row r="885" spans="1:42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</row>
    <row r="886" spans="1:42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</row>
    <row r="887" spans="1:42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</row>
    <row r="888" spans="1:42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</row>
    <row r="889" spans="1:42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</row>
    <row r="890" spans="1:42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</row>
    <row r="891" spans="1:42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</row>
    <row r="892" spans="1:42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</row>
    <row r="893" spans="1:42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</row>
    <row r="894" spans="1:42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</row>
    <row r="895" spans="1:42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</row>
    <row r="896" spans="1:42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</row>
    <row r="897" spans="1:42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</row>
    <row r="898" spans="1:42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</row>
    <row r="899" spans="1:42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</row>
    <row r="900" spans="1:42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</row>
    <row r="901" spans="1:42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</row>
    <row r="902" spans="1:42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</row>
    <row r="903" spans="1:42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</row>
    <row r="904" spans="1:42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</row>
    <row r="905" spans="1:42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</row>
    <row r="906" spans="1:42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</row>
    <row r="907" spans="1:42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</row>
    <row r="908" spans="1:42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</row>
    <row r="909" spans="1:42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</row>
    <row r="910" spans="1:42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</row>
    <row r="911" spans="1:42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</row>
    <row r="912" spans="1:42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</row>
    <row r="913" spans="1:42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</row>
    <row r="914" spans="1:42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</row>
    <row r="915" spans="1:42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</row>
    <row r="916" spans="1:42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</row>
    <row r="917" spans="1:42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</row>
    <row r="918" spans="1:42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</row>
    <row r="919" spans="1:42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</row>
    <row r="920" spans="1:42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</row>
    <row r="921" spans="1:42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</row>
    <row r="922" spans="1:42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</row>
    <row r="923" spans="1:42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</row>
    <row r="924" spans="1:42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</row>
    <row r="925" spans="1:42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</row>
    <row r="926" spans="1:42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</row>
    <row r="927" spans="1:42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</row>
    <row r="928" spans="1:42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</row>
    <row r="929" spans="1:42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</row>
    <row r="930" spans="1:42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</row>
    <row r="931" spans="1:42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</row>
    <row r="932" spans="1:42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</row>
    <row r="933" spans="1:42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</row>
    <row r="934" spans="1:42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</row>
    <row r="935" spans="1:42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</row>
    <row r="936" spans="1:42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</row>
    <row r="937" spans="1:42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</row>
    <row r="938" spans="1:42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</row>
    <row r="939" spans="1:42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</row>
    <row r="940" spans="1:42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</row>
    <row r="941" spans="1:42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</row>
    <row r="942" spans="1:42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</row>
    <row r="943" spans="1:42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</row>
    <row r="944" spans="1:42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</row>
    <row r="945" spans="1:42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</row>
    <row r="946" spans="1:42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</row>
    <row r="947" spans="1:42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</row>
    <row r="948" spans="1:42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</row>
    <row r="949" spans="1:42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</row>
    <row r="950" spans="1:42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</row>
    <row r="951" spans="1:42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</row>
    <row r="952" spans="1:42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</row>
    <row r="953" spans="1:42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</row>
    <row r="954" spans="1:42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</row>
    <row r="955" spans="1:42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</row>
    <row r="956" spans="1:42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</row>
    <row r="957" spans="1:42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</row>
    <row r="958" spans="1:42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</row>
    <row r="959" spans="1:42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</row>
    <row r="960" spans="1:42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</row>
    <row r="961" spans="1:42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</row>
    <row r="962" spans="1:42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</row>
    <row r="963" spans="1:42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</row>
    <row r="964" spans="1:42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</row>
    <row r="965" spans="1:42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</row>
    <row r="966" spans="1:42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</row>
    <row r="967" spans="1:42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</row>
    <row r="968" spans="1:42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</row>
    <row r="969" spans="1:42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</row>
    <row r="970" spans="1:42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</row>
    <row r="971" spans="1:42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</row>
    <row r="972" spans="1:42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</row>
    <row r="973" spans="1:42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</row>
    <row r="974" spans="1:42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</row>
    <row r="975" spans="1:42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</row>
    <row r="976" spans="1:42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</row>
    <row r="977" spans="1:42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</row>
    <row r="978" spans="1:42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</row>
    <row r="979" spans="1:42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</row>
    <row r="980" spans="1:42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</row>
    <row r="981" spans="1:42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</row>
    <row r="982" spans="1:42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</row>
    <row r="983" spans="1:42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</row>
    <row r="984" spans="1:42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</row>
    <row r="985" spans="1:42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</row>
    <row r="986" spans="1:42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</row>
    <row r="987" spans="1:42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</row>
    <row r="988" spans="1:42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</row>
    <row r="989" spans="1:42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</row>
    <row r="990" spans="1:42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</row>
    <row r="991" spans="1:42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</row>
    <row r="992" spans="1:42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</row>
    <row r="993" spans="1:42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</row>
    <row r="994" spans="1:42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</row>
    <row r="995" spans="1:42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</row>
    <row r="996" spans="1:42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</row>
    <row r="997" spans="1:42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</row>
    <row r="998" spans="1:42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</row>
    <row r="999" spans="1:42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</row>
    <row r="1000" spans="1:42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</row>
  </sheetData>
  <mergeCells count="1">
    <mergeCell ref="B4:K4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00"/>
  <sheetViews>
    <sheetView workbookViewId="0"/>
  </sheetViews>
  <sheetFormatPr defaultColWidth="15.140625" defaultRowHeight="15" customHeight="1"/>
  <cols>
    <col min="1" max="1" width="31.140625" customWidth="1"/>
    <col min="2" max="42" width="11.140625" customWidth="1"/>
  </cols>
  <sheetData>
    <row r="1" spans="1:42" ht="21" customHeight="1">
      <c r="A1" s="1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1:4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1:42" ht="15.75" customHeight="1">
      <c r="A3" s="3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</row>
    <row r="4" spans="1:42" ht="15.75" customHeight="1">
      <c r="A4" s="66"/>
      <c r="B4" s="177" t="s">
        <v>2</v>
      </c>
      <c r="C4" s="178"/>
      <c r="D4" s="178"/>
      <c r="E4" s="178"/>
      <c r="F4" s="178"/>
      <c r="G4" s="178"/>
      <c r="H4" s="178"/>
      <c r="I4" s="178"/>
      <c r="J4" s="178"/>
      <c r="K4" s="179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</row>
    <row r="5" spans="1:42" ht="15.75" customHeight="1">
      <c r="A5" s="4" t="s">
        <v>3</v>
      </c>
      <c r="B5" s="5">
        <v>2000</v>
      </c>
      <c r="C5" s="4">
        <v>2001</v>
      </c>
      <c r="D5" s="4">
        <v>2002</v>
      </c>
      <c r="E5" s="4">
        <v>2003</v>
      </c>
      <c r="F5" s="4">
        <v>2004</v>
      </c>
      <c r="G5" s="4">
        <v>2005</v>
      </c>
      <c r="H5" s="4">
        <v>2006</v>
      </c>
      <c r="I5" s="4">
        <v>2007</v>
      </c>
      <c r="J5" s="4">
        <v>2008</v>
      </c>
      <c r="K5" s="7">
        <v>2009</v>
      </c>
      <c r="L5" s="4">
        <v>2010</v>
      </c>
      <c r="M5" s="4">
        <v>2011</v>
      </c>
      <c r="N5" s="4">
        <v>2012</v>
      </c>
      <c r="O5" s="4">
        <v>2013</v>
      </c>
      <c r="P5" s="4">
        <v>2014</v>
      </c>
      <c r="Q5" s="4">
        <v>2015</v>
      </c>
      <c r="R5" s="4">
        <v>2016</v>
      </c>
      <c r="S5" s="4">
        <v>2017</v>
      </c>
      <c r="T5" s="4">
        <v>2018</v>
      </c>
      <c r="U5" s="4">
        <v>2019</v>
      </c>
      <c r="V5" s="4">
        <v>2020</v>
      </c>
      <c r="W5" s="4">
        <v>2021</v>
      </c>
      <c r="X5" s="4">
        <v>2022</v>
      </c>
      <c r="Y5" s="4">
        <v>2023</v>
      </c>
      <c r="Z5" s="4">
        <v>2024</v>
      </c>
      <c r="AA5" s="4">
        <v>2025</v>
      </c>
      <c r="AB5" s="4">
        <v>2026</v>
      </c>
      <c r="AC5" s="4">
        <v>2027</v>
      </c>
      <c r="AD5" s="4">
        <v>2028</v>
      </c>
      <c r="AE5" s="4">
        <v>2029</v>
      </c>
      <c r="AF5" s="4">
        <v>2030</v>
      </c>
      <c r="AG5" s="4">
        <v>2031</v>
      </c>
      <c r="AH5" s="4">
        <v>2032</v>
      </c>
      <c r="AI5" s="4">
        <v>2033</v>
      </c>
      <c r="AJ5" s="4">
        <v>2034</v>
      </c>
      <c r="AK5" s="4">
        <v>2035</v>
      </c>
      <c r="AL5" s="4">
        <v>2036</v>
      </c>
      <c r="AM5" s="4">
        <v>2037</v>
      </c>
      <c r="AN5" s="4">
        <v>2038</v>
      </c>
      <c r="AO5" s="4">
        <v>2039</v>
      </c>
      <c r="AP5" s="4">
        <v>2040</v>
      </c>
    </row>
    <row r="6" spans="1:42">
      <c r="A6" s="67" t="s">
        <v>52</v>
      </c>
      <c r="B6" s="3"/>
      <c r="C6" s="3"/>
      <c r="D6" s="3"/>
      <c r="E6" s="3"/>
      <c r="F6" s="3"/>
      <c r="G6" s="3"/>
      <c r="H6" s="3"/>
      <c r="I6" s="3"/>
      <c r="J6" s="3"/>
      <c r="K6" s="68"/>
      <c r="L6" s="21"/>
      <c r="M6" s="21"/>
      <c r="N6" s="2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>
      <c r="A7" s="76" t="s">
        <v>54</v>
      </c>
      <c r="B7" s="2">
        <f>1430+112</f>
        <v>1542</v>
      </c>
      <c r="C7" s="77">
        <f t="shared" ref="C7:C8" si="0">B7/10</f>
        <v>154.19999999999999</v>
      </c>
      <c r="D7" s="3"/>
      <c r="E7" s="3"/>
      <c r="F7" s="3"/>
      <c r="G7" s="3"/>
      <c r="H7" s="3"/>
      <c r="I7" s="3"/>
      <c r="J7" s="3"/>
      <c r="K7" s="68"/>
      <c r="L7" s="12">
        <f t="shared" ref="L7:AK7" si="1">L16</f>
        <v>19247.400000000001</v>
      </c>
      <c r="M7" s="12">
        <f t="shared" si="1"/>
        <v>19332.615252429736</v>
      </c>
      <c r="N7" s="12">
        <f t="shared" si="1"/>
        <v>19332.615252429736</v>
      </c>
      <c r="O7" s="12">
        <f t="shared" si="1"/>
        <v>19332.615252429736</v>
      </c>
      <c r="P7" s="12">
        <f t="shared" si="1"/>
        <v>20127.062414172859</v>
      </c>
      <c r="Q7" s="12">
        <f t="shared" si="1"/>
        <v>20127.062414172859</v>
      </c>
      <c r="R7" s="12">
        <f t="shared" si="1"/>
        <v>20127.062414172859</v>
      </c>
      <c r="S7" s="12">
        <f t="shared" si="1"/>
        <v>19691.841762964643</v>
      </c>
      <c r="T7" s="12">
        <f t="shared" si="1"/>
        <v>20888.116443772509</v>
      </c>
      <c r="U7" s="12">
        <f t="shared" si="1"/>
        <v>20888.116443772509</v>
      </c>
      <c r="V7" s="12">
        <f t="shared" si="1"/>
        <v>21071.668892970105</v>
      </c>
      <c r="W7" s="12">
        <f t="shared" si="1"/>
        <v>21321.710419070594</v>
      </c>
      <c r="X7" s="12">
        <f t="shared" si="1"/>
        <v>24338.488382897944</v>
      </c>
      <c r="Y7" s="12">
        <f t="shared" si="1"/>
        <v>24338.488382897944</v>
      </c>
      <c r="Z7" s="12">
        <f t="shared" si="1"/>
        <v>23596.21177857733</v>
      </c>
      <c r="AA7" s="12">
        <f t="shared" si="1"/>
        <v>23893.525456997115</v>
      </c>
      <c r="AB7" s="12">
        <f t="shared" si="1"/>
        <v>24190.839135416907</v>
      </c>
      <c r="AC7" s="12">
        <f t="shared" si="1"/>
        <v>24360.813876999153</v>
      </c>
      <c r="AD7" s="12">
        <f t="shared" si="1"/>
        <v>24411.119192075341</v>
      </c>
      <c r="AE7" s="12">
        <f t="shared" si="1"/>
        <v>24411.119192075341</v>
      </c>
      <c r="AF7" s="12">
        <f t="shared" si="1"/>
        <v>24583.98448914539</v>
      </c>
      <c r="AG7" s="12">
        <f t="shared" si="1"/>
        <v>24583.98448914539</v>
      </c>
      <c r="AH7" s="12">
        <f t="shared" si="1"/>
        <v>24583.98448914539</v>
      </c>
      <c r="AI7" s="12">
        <f t="shared" si="1"/>
        <v>24583.98448914539</v>
      </c>
      <c r="AJ7" s="12">
        <f t="shared" si="1"/>
        <v>24583.98448914539</v>
      </c>
      <c r="AK7" s="12">
        <f t="shared" si="1"/>
        <v>25209.309625401154</v>
      </c>
      <c r="AL7" s="21"/>
      <c r="AM7" s="21"/>
      <c r="AN7" s="21"/>
      <c r="AO7" s="21"/>
      <c r="AP7" s="21"/>
    </row>
    <row r="8" spans="1:42">
      <c r="A8" s="76" t="s">
        <v>55</v>
      </c>
      <c r="B8" s="2">
        <v>1608</v>
      </c>
      <c r="C8" s="77">
        <f t="shared" si="0"/>
        <v>160.80000000000001</v>
      </c>
      <c r="D8" s="3"/>
      <c r="E8" s="3"/>
      <c r="F8" s="3"/>
      <c r="G8" s="3"/>
      <c r="H8" s="3"/>
      <c r="I8" s="3"/>
      <c r="J8" s="3"/>
      <c r="K8" s="68"/>
      <c r="L8" s="12">
        <f t="shared" ref="L8:L10" si="2">L7-(C7)</f>
        <v>19093.2</v>
      </c>
      <c r="M8" s="12">
        <f t="shared" ref="M8:M10" si="3">M7-(2*C7)</f>
        <v>19024.215252429734</v>
      </c>
      <c r="N8" s="12">
        <f t="shared" ref="N8:N10" si="4">N7-(3*C7)</f>
        <v>18870.015252429737</v>
      </c>
      <c r="O8" s="12">
        <f t="shared" ref="O8:O10" si="5">O7-(4*C7)</f>
        <v>18715.815252429737</v>
      </c>
      <c r="P8" s="12">
        <f t="shared" ref="P8:P10" si="6">P7-(5*C7)</f>
        <v>19356.062414172859</v>
      </c>
      <c r="Q8" s="12">
        <f t="shared" ref="Q8:Q10" si="7">Q7-(6*C7)</f>
        <v>19201.862414172858</v>
      </c>
      <c r="R8" s="12">
        <f t="shared" ref="R8:R10" si="8">R7-(7*C7)</f>
        <v>19047.662414172857</v>
      </c>
      <c r="S8" s="12">
        <f t="shared" ref="S8:S10" si="9">S7-(8*C7)</f>
        <v>18458.241762964644</v>
      </c>
      <c r="T8" s="12">
        <f t="shared" ref="T8:T10" si="10">T7-(9*C7)</f>
        <v>19500.31644377251</v>
      </c>
      <c r="U8" s="12">
        <f>U7-(10*C7)</f>
        <v>19346.116443772509</v>
      </c>
      <c r="V8" s="12">
        <f>V7-(10*$C$7)</f>
        <v>19529.668892970105</v>
      </c>
      <c r="W8" s="12">
        <f>W7-(12*$C$7)</f>
        <v>19471.310419070593</v>
      </c>
      <c r="X8" s="12">
        <f>X7-(13*$C$7)</f>
        <v>22333.888382897945</v>
      </c>
      <c r="Y8" s="12">
        <f>Y7-(14*$C$7)</f>
        <v>22179.688382897944</v>
      </c>
      <c r="Z8" s="12">
        <f>Z7-(15*$C$7)</f>
        <v>21283.21177857733</v>
      </c>
      <c r="AA8" s="12">
        <f>AA7-(16*$C$7)</f>
        <v>21426.325456997114</v>
      </c>
      <c r="AB8" s="12">
        <f>AB7-(17*$C$7)</f>
        <v>21569.439135416906</v>
      </c>
      <c r="AC8" s="12">
        <f>AC7-(18*$C$7)</f>
        <v>21585.213876999154</v>
      </c>
      <c r="AD8" s="12">
        <f>AD7-(19*$C$7)</f>
        <v>21481.319192075342</v>
      </c>
      <c r="AE8" s="12">
        <f>AE7-(20*$C$7)</f>
        <v>21327.119192075341</v>
      </c>
      <c r="AF8" s="12">
        <f>AF7-(21*$C$7)</f>
        <v>21345.78448914539</v>
      </c>
      <c r="AG8" s="12">
        <f>AG7-(22*$C$7)</f>
        <v>21191.584489145389</v>
      </c>
      <c r="AH8" s="12">
        <f>AH7-(23*$C$7)</f>
        <v>21037.384489145392</v>
      </c>
      <c r="AI8" s="12">
        <f>AI7-(24*$C$7)</f>
        <v>20883.184489145391</v>
      </c>
      <c r="AJ8" s="12">
        <f>AJ7-(25*$C$7)</f>
        <v>20728.98448914539</v>
      </c>
      <c r="AK8" s="12">
        <f>AK7-(26*$C$7)</f>
        <v>21200.109625401154</v>
      </c>
      <c r="AL8" s="3"/>
      <c r="AM8" s="3"/>
      <c r="AN8" s="3"/>
      <c r="AO8" s="3"/>
      <c r="AP8" s="3"/>
    </row>
    <row r="9" spans="1:42">
      <c r="A9" s="76" t="s">
        <v>57</v>
      </c>
      <c r="B9" s="2">
        <v>2800</v>
      </c>
      <c r="C9" s="77">
        <f>B9/25</f>
        <v>112</v>
      </c>
      <c r="D9" s="3"/>
      <c r="E9" s="3"/>
      <c r="F9" s="3"/>
      <c r="G9" s="3"/>
      <c r="H9" s="3"/>
      <c r="I9" s="3"/>
      <c r="J9" s="3"/>
      <c r="K9" s="68"/>
      <c r="L9" s="12">
        <f t="shared" si="2"/>
        <v>18932.400000000001</v>
      </c>
      <c r="M9" s="12">
        <f t="shared" si="3"/>
        <v>18702.615252429736</v>
      </c>
      <c r="N9" s="12">
        <f t="shared" si="4"/>
        <v>18387.615252429736</v>
      </c>
      <c r="O9" s="12">
        <f t="shared" si="5"/>
        <v>18072.615252429736</v>
      </c>
      <c r="P9" s="12">
        <f t="shared" si="6"/>
        <v>18552.062414172859</v>
      </c>
      <c r="Q9" s="12">
        <f t="shared" si="7"/>
        <v>18237.062414172859</v>
      </c>
      <c r="R9" s="12">
        <f t="shared" si="8"/>
        <v>17922.062414172859</v>
      </c>
      <c r="S9" s="12">
        <f t="shared" si="9"/>
        <v>17171.841762964643</v>
      </c>
      <c r="T9" s="12">
        <f t="shared" si="10"/>
        <v>18053.116443772509</v>
      </c>
      <c r="U9" s="12">
        <f>U8-(10*$C$8)</f>
        <v>17738.116443772509</v>
      </c>
      <c r="V9" s="12">
        <f>V8-(11*$C$8)</f>
        <v>17760.868892970106</v>
      </c>
      <c r="W9" s="12">
        <f t="shared" ref="W9:AK9" si="11">W8-(10*$C$8)</f>
        <v>17863.310419070593</v>
      </c>
      <c r="X9" s="12">
        <f t="shared" si="11"/>
        <v>20725.888382897945</v>
      </c>
      <c r="Y9" s="12">
        <f t="shared" si="11"/>
        <v>20571.688382897944</v>
      </c>
      <c r="Z9" s="12">
        <f t="shared" si="11"/>
        <v>19675.21177857733</v>
      </c>
      <c r="AA9" s="12">
        <f t="shared" si="11"/>
        <v>19818.325456997114</v>
      </c>
      <c r="AB9" s="12">
        <f t="shared" si="11"/>
        <v>19961.439135416906</v>
      </c>
      <c r="AC9" s="12">
        <f t="shared" si="11"/>
        <v>19977.213876999154</v>
      </c>
      <c r="AD9" s="12">
        <f t="shared" si="11"/>
        <v>19873.319192075342</v>
      </c>
      <c r="AE9" s="12">
        <f t="shared" si="11"/>
        <v>19719.119192075341</v>
      </c>
      <c r="AF9" s="12">
        <f t="shared" si="11"/>
        <v>19737.78448914539</v>
      </c>
      <c r="AG9" s="12">
        <f t="shared" si="11"/>
        <v>19583.584489145389</v>
      </c>
      <c r="AH9" s="12">
        <f t="shared" si="11"/>
        <v>19429.384489145392</v>
      </c>
      <c r="AI9" s="12">
        <f t="shared" si="11"/>
        <v>19275.184489145391</v>
      </c>
      <c r="AJ9" s="12">
        <f t="shared" si="11"/>
        <v>19120.98448914539</v>
      </c>
      <c r="AK9" s="12">
        <f t="shared" si="11"/>
        <v>19592.109625401154</v>
      </c>
      <c r="AL9" s="3"/>
      <c r="AM9" s="3"/>
      <c r="AN9" s="3"/>
      <c r="AO9" s="3"/>
      <c r="AP9" s="3"/>
    </row>
    <row r="10" spans="1:42">
      <c r="A10" s="76" t="s">
        <v>58</v>
      </c>
      <c r="B10" s="2">
        <v>8750</v>
      </c>
      <c r="C10" s="77">
        <f t="shared" ref="C10:C13" si="12">B10/10</f>
        <v>875</v>
      </c>
      <c r="D10" s="3"/>
      <c r="E10" s="3"/>
      <c r="F10" s="3"/>
      <c r="G10" s="3"/>
      <c r="H10" s="3"/>
      <c r="I10" s="3"/>
      <c r="J10" s="3"/>
      <c r="K10" s="11">
        <f>K16-K15</f>
        <v>8486.0000000000018</v>
      </c>
      <c r="L10" s="12">
        <f t="shared" si="2"/>
        <v>18820.400000000001</v>
      </c>
      <c r="M10" s="12">
        <f t="shared" si="3"/>
        <v>18478.615252429736</v>
      </c>
      <c r="N10" s="12">
        <f t="shared" si="4"/>
        <v>18051.615252429736</v>
      </c>
      <c r="O10" s="12">
        <f t="shared" si="5"/>
        <v>17624.615252429736</v>
      </c>
      <c r="P10" s="12">
        <f t="shared" si="6"/>
        <v>17992.062414172859</v>
      </c>
      <c r="Q10" s="12">
        <f t="shared" si="7"/>
        <v>17565.062414172859</v>
      </c>
      <c r="R10" s="12">
        <f t="shared" si="8"/>
        <v>17138.062414172859</v>
      </c>
      <c r="S10" s="12">
        <f t="shared" si="9"/>
        <v>16275.841762964643</v>
      </c>
      <c r="T10" s="12">
        <f t="shared" si="10"/>
        <v>17045.116443772509</v>
      </c>
      <c r="U10" s="12">
        <f t="shared" ref="U10:AK10" si="13">U9-(10*$C$9)</f>
        <v>16618.116443772509</v>
      </c>
      <c r="V10" s="12">
        <f t="shared" si="13"/>
        <v>16640.868892970106</v>
      </c>
      <c r="W10" s="12">
        <f t="shared" si="13"/>
        <v>16743.310419070593</v>
      </c>
      <c r="X10" s="12">
        <f t="shared" si="13"/>
        <v>19605.888382897945</v>
      </c>
      <c r="Y10" s="12">
        <f t="shared" si="13"/>
        <v>19451.688382897944</v>
      </c>
      <c r="Z10" s="12">
        <f t="shared" si="13"/>
        <v>18555.21177857733</v>
      </c>
      <c r="AA10" s="12">
        <f t="shared" si="13"/>
        <v>18698.325456997114</v>
      </c>
      <c r="AB10" s="12">
        <f t="shared" si="13"/>
        <v>18841.439135416906</v>
      </c>
      <c r="AC10" s="12">
        <f t="shared" si="13"/>
        <v>18857.213876999154</v>
      </c>
      <c r="AD10" s="12">
        <f t="shared" si="13"/>
        <v>18753.319192075342</v>
      </c>
      <c r="AE10" s="12">
        <f t="shared" si="13"/>
        <v>18599.119192075341</v>
      </c>
      <c r="AF10" s="12">
        <f t="shared" si="13"/>
        <v>18617.78448914539</v>
      </c>
      <c r="AG10" s="12">
        <f t="shared" si="13"/>
        <v>18463.584489145389</v>
      </c>
      <c r="AH10" s="12">
        <f t="shared" si="13"/>
        <v>18309.384489145392</v>
      </c>
      <c r="AI10" s="12">
        <f t="shared" si="13"/>
        <v>18155.184489145391</v>
      </c>
      <c r="AJ10" s="12">
        <f t="shared" si="13"/>
        <v>18000.98448914539</v>
      </c>
      <c r="AK10" s="12">
        <f t="shared" si="13"/>
        <v>18472.109625401154</v>
      </c>
      <c r="AL10" s="3"/>
      <c r="AM10" s="3"/>
      <c r="AN10" s="3"/>
      <c r="AO10" s="3"/>
      <c r="AP10" s="3"/>
    </row>
    <row r="11" spans="1:42">
      <c r="A11" s="76" t="s">
        <v>59</v>
      </c>
      <c r="B11" s="2">
        <v>1882</v>
      </c>
      <c r="C11" s="77">
        <f t="shared" si="12"/>
        <v>188.2</v>
      </c>
      <c r="D11" s="3"/>
      <c r="E11" s="3"/>
      <c r="F11" s="3"/>
      <c r="G11" s="3"/>
      <c r="H11" s="3"/>
      <c r="I11" s="3"/>
      <c r="J11" s="3"/>
      <c r="K11" s="68"/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f t="shared" ref="V11:AK11" si="14">U11</f>
        <v>0</v>
      </c>
      <c r="W11" s="12">
        <f t="shared" si="14"/>
        <v>0</v>
      </c>
      <c r="X11" s="12">
        <f t="shared" si="14"/>
        <v>0</v>
      </c>
      <c r="Y11" s="12">
        <f t="shared" si="14"/>
        <v>0</v>
      </c>
      <c r="Z11" s="12">
        <f t="shared" si="14"/>
        <v>0</v>
      </c>
      <c r="AA11" s="12">
        <f t="shared" si="14"/>
        <v>0</v>
      </c>
      <c r="AB11" s="12">
        <f t="shared" si="14"/>
        <v>0</v>
      </c>
      <c r="AC11" s="12">
        <f t="shared" si="14"/>
        <v>0</v>
      </c>
      <c r="AD11" s="12">
        <f t="shared" si="14"/>
        <v>0</v>
      </c>
      <c r="AE11" s="12">
        <f t="shared" si="14"/>
        <v>0</v>
      </c>
      <c r="AF11" s="12">
        <f t="shared" si="14"/>
        <v>0</v>
      </c>
      <c r="AG11" s="12">
        <f t="shared" si="14"/>
        <v>0</v>
      </c>
      <c r="AH11" s="12">
        <f t="shared" si="14"/>
        <v>0</v>
      </c>
      <c r="AI11" s="12">
        <f t="shared" si="14"/>
        <v>0</v>
      </c>
      <c r="AJ11" s="12">
        <f t="shared" si="14"/>
        <v>0</v>
      </c>
      <c r="AK11" s="12">
        <f t="shared" si="14"/>
        <v>0</v>
      </c>
      <c r="AL11" s="3"/>
      <c r="AM11" s="3"/>
      <c r="AN11" s="3"/>
      <c r="AO11" s="3"/>
      <c r="AP11" s="3"/>
    </row>
    <row r="12" spans="1:42">
      <c r="A12" s="76" t="s">
        <v>61</v>
      </c>
      <c r="B12" s="2">
        <v>816</v>
      </c>
      <c r="C12" s="77">
        <f t="shared" si="12"/>
        <v>81.599999999999994</v>
      </c>
      <c r="D12" s="3"/>
      <c r="E12" s="3"/>
      <c r="F12" s="3"/>
      <c r="G12" s="3"/>
      <c r="H12" s="3"/>
      <c r="I12" s="3"/>
      <c r="J12" s="3"/>
      <c r="K12" s="68"/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f t="shared" ref="V12:AK12" si="15">V13+816</f>
        <v>10216</v>
      </c>
      <c r="W12" s="12">
        <f t="shared" si="15"/>
        <v>10216</v>
      </c>
      <c r="X12" s="12">
        <f t="shared" si="15"/>
        <v>12426</v>
      </c>
      <c r="Y12" s="12">
        <f t="shared" si="15"/>
        <v>12435.688382897944</v>
      </c>
      <c r="Z12" s="12">
        <f t="shared" si="15"/>
        <v>11539.21177857733</v>
      </c>
      <c r="AA12" s="12">
        <f t="shared" si="15"/>
        <v>11682.325456997114</v>
      </c>
      <c r="AB12" s="12">
        <f t="shared" si="15"/>
        <v>11825.439135416906</v>
      </c>
      <c r="AC12" s="12">
        <f t="shared" si="15"/>
        <v>11841.213876999154</v>
      </c>
      <c r="AD12" s="12">
        <f t="shared" si="15"/>
        <v>11737.319192075342</v>
      </c>
      <c r="AE12" s="12">
        <f t="shared" si="15"/>
        <v>11583.119192075341</v>
      </c>
      <c r="AF12" s="12">
        <f t="shared" si="15"/>
        <v>11601.78448914539</v>
      </c>
      <c r="AG12" s="12">
        <f t="shared" si="15"/>
        <v>11447.584489145389</v>
      </c>
      <c r="AH12" s="12">
        <f t="shared" si="15"/>
        <v>11293.384489145392</v>
      </c>
      <c r="AI12" s="12">
        <f t="shared" si="15"/>
        <v>11139.184489145391</v>
      </c>
      <c r="AJ12" s="12">
        <f t="shared" si="15"/>
        <v>10984.98448914539</v>
      </c>
      <c r="AK12" s="12">
        <f t="shared" si="15"/>
        <v>11456.109625401154</v>
      </c>
      <c r="AL12" s="3"/>
      <c r="AM12" s="3"/>
      <c r="AN12" s="3"/>
      <c r="AO12" s="3"/>
      <c r="AP12" s="3"/>
    </row>
    <row r="13" spans="1:42">
      <c r="A13" s="76" t="s">
        <v>62</v>
      </c>
      <c r="B13" s="2">
        <v>7502</v>
      </c>
      <c r="C13" s="77">
        <f t="shared" si="12"/>
        <v>750.2</v>
      </c>
      <c r="D13" s="3"/>
      <c r="E13" s="3"/>
      <c r="F13" s="3"/>
      <c r="G13" s="3"/>
      <c r="H13" s="3"/>
      <c r="I13" s="3"/>
      <c r="J13" s="3"/>
      <c r="K13" s="68"/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/>
      <c r="S13" s="12"/>
      <c r="T13" s="12"/>
      <c r="U13" s="12">
        <v>9410</v>
      </c>
      <c r="V13" s="12">
        <v>9400</v>
      </c>
      <c r="W13" s="12">
        <f>V13</f>
        <v>9400</v>
      </c>
      <c r="X13" s="12">
        <f>W13+2210</f>
        <v>11610</v>
      </c>
      <c r="Y13" s="12">
        <f t="shared" ref="Y13:AK13" si="16">Y10-7832</f>
        <v>11619.688382897944</v>
      </c>
      <c r="Z13" s="12">
        <f t="shared" si="16"/>
        <v>10723.21177857733</v>
      </c>
      <c r="AA13" s="12">
        <f t="shared" si="16"/>
        <v>10866.325456997114</v>
      </c>
      <c r="AB13" s="12">
        <f t="shared" si="16"/>
        <v>11009.439135416906</v>
      </c>
      <c r="AC13" s="12">
        <f t="shared" si="16"/>
        <v>11025.213876999154</v>
      </c>
      <c r="AD13" s="12">
        <f t="shared" si="16"/>
        <v>10921.319192075342</v>
      </c>
      <c r="AE13" s="12">
        <f t="shared" si="16"/>
        <v>10767.119192075341</v>
      </c>
      <c r="AF13" s="12">
        <f t="shared" si="16"/>
        <v>10785.78448914539</v>
      </c>
      <c r="AG13" s="12">
        <f t="shared" si="16"/>
        <v>10631.584489145389</v>
      </c>
      <c r="AH13" s="12">
        <f t="shared" si="16"/>
        <v>10477.384489145392</v>
      </c>
      <c r="AI13" s="12">
        <f t="shared" si="16"/>
        <v>10323.184489145391</v>
      </c>
      <c r="AJ13" s="12">
        <f t="shared" si="16"/>
        <v>10168.98448914539</v>
      </c>
      <c r="AK13" s="12">
        <f t="shared" si="16"/>
        <v>10640.109625401154</v>
      </c>
      <c r="AL13" s="3"/>
      <c r="AM13" s="3"/>
      <c r="AN13" s="3"/>
      <c r="AO13" s="3"/>
      <c r="AP13" s="3"/>
    </row>
    <row r="14" spans="1:42">
      <c r="A14" s="76" t="s">
        <v>63</v>
      </c>
      <c r="B14" s="3"/>
      <c r="C14" s="3"/>
      <c r="D14" s="3"/>
      <c r="E14" s="3"/>
      <c r="F14" s="3"/>
      <c r="G14" s="3"/>
      <c r="H14" s="3"/>
      <c r="I14" s="3"/>
      <c r="J14" s="3"/>
      <c r="K14" s="68"/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2870</v>
      </c>
      <c r="V14" s="12">
        <v>2784</v>
      </c>
      <c r="W14" s="12">
        <v>2769</v>
      </c>
      <c r="X14" s="12">
        <v>2786</v>
      </c>
      <c r="Y14" s="12">
        <v>2786</v>
      </c>
      <c r="Z14" s="12">
        <v>2721</v>
      </c>
      <c r="AA14" s="12">
        <v>2736</v>
      </c>
      <c r="AB14" s="12">
        <v>2750</v>
      </c>
      <c r="AC14" s="12">
        <v>2758</v>
      </c>
      <c r="AD14" s="12">
        <v>2758</v>
      </c>
      <c r="AE14" s="12">
        <v>2758</v>
      </c>
      <c r="AF14" s="12">
        <v>2762</v>
      </c>
      <c r="AG14" s="12">
        <v>2762</v>
      </c>
      <c r="AH14" s="12">
        <v>2762</v>
      </c>
      <c r="AI14" s="12">
        <v>2762</v>
      </c>
      <c r="AJ14" s="12">
        <v>2762</v>
      </c>
      <c r="AK14" s="12">
        <v>2792</v>
      </c>
      <c r="AL14" s="12">
        <f t="shared" ref="AL14:AP14" si="17">AL15</f>
        <v>0</v>
      </c>
      <c r="AM14" s="12">
        <f t="shared" si="17"/>
        <v>2777.5806595444496</v>
      </c>
      <c r="AN14" s="12">
        <f t="shared" si="17"/>
        <v>2777.5806595444496</v>
      </c>
      <c r="AO14" s="12">
        <f t="shared" si="17"/>
        <v>2827.4435124192401</v>
      </c>
      <c r="AP14" s="12">
        <f t="shared" si="17"/>
        <v>2827.4435124192401</v>
      </c>
    </row>
    <row r="15" spans="1:42">
      <c r="A15" s="76" t="s">
        <v>64</v>
      </c>
      <c r="B15" s="3"/>
      <c r="C15" s="3"/>
      <c r="D15" s="3"/>
      <c r="E15" s="3"/>
      <c r="F15" s="3"/>
      <c r="G15" s="3"/>
      <c r="H15" s="3"/>
      <c r="I15" s="3"/>
      <c r="J15" s="3"/>
      <c r="K15" s="11">
        <f t="shared" ref="K15:S15" si="18">K27</f>
        <v>10761.4</v>
      </c>
      <c r="L15" s="12">
        <f t="shared" si="18"/>
        <v>9648.8374000000003</v>
      </c>
      <c r="M15" s="12">
        <f t="shared" si="18"/>
        <v>9607.1912121901132</v>
      </c>
      <c r="N15" s="12">
        <f t="shared" si="18"/>
        <v>9590.772866968573</v>
      </c>
      <c r="O15" s="12">
        <f t="shared" si="18"/>
        <v>9576.8988669685732</v>
      </c>
      <c r="P15" s="12">
        <f t="shared" si="18"/>
        <v>9728.3121927688735</v>
      </c>
      <c r="Q15" s="12">
        <f t="shared" si="18"/>
        <v>9714.4381927688737</v>
      </c>
      <c r="R15" s="12">
        <f t="shared" si="18"/>
        <v>9700.5641927688739</v>
      </c>
      <c r="S15" s="12">
        <f t="shared" si="18"/>
        <v>9409.8356873498124</v>
      </c>
      <c r="T15" s="12">
        <v>9410</v>
      </c>
      <c r="U15" s="12">
        <v>9410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f t="shared" ref="AM15:AP15" si="19">AM27</f>
        <v>2777.5806595444496</v>
      </c>
      <c r="AN15" s="12">
        <f t="shared" si="19"/>
        <v>2777.5806595444496</v>
      </c>
      <c r="AO15" s="12">
        <f t="shared" si="19"/>
        <v>2827.4435124192401</v>
      </c>
      <c r="AP15" s="12">
        <f t="shared" si="19"/>
        <v>2827.4435124192401</v>
      </c>
    </row>
    <row r="16" spans="1:42">
      <c r="A16" s="76" t="s">
        <v>65</v>
      </c>
      <c r="B16" s="3"/>
      <c r="C16" s="3"/>
      <c r="D16" s="3"/>
      <c r="E16" s="3"/>
      <c r="F16" s="3"/>
      <c r="G16" s="3"/>
      <c r="H16" s="3"/>
      <c r="I16" s="3"/>
      <c r="J16" s="3"/>
      <c r="K16" s="11">
        <f t="shared" ref="K16:AP16" si="20">K28</f>
        <v>19247.400000000001</v>
      </c>
      <c r="L16" s="12">
        <f t="shared" si="20"/>
        <v>19247.400000000001</v>
      </c>
      <c r="M16" s="12">
        <f t="shared" si="20"/>
        <v>19332.615252429736</v>
      </c>
      <c r="N16" s="12">
        <f t="shared" si="20"/>
        <v>19332.615252429736</v>
      </c>
      <c r="O16" s="12">
        <f t="shared" si="20"/>
        <v>19332.615252429736</v>
      </c>
      <c r="P16" s="12">
        <f t="shared" si="20"/>
        <v>20127.062414172859</v>
      </c>
      <c r="Q16" s="12">
        <f t="shared" si="20"/>
        <v>20127.062414172859</v>
      </c>
      <c r="R16" s="12">
        <f t="shared" si="20"/>
        <v>20127.062414172859</v>
      </c>
      <c r="S16" s="12">
        <f t="shared" si="20"/>
        <v>19691.841762964643</v>
      </c>
      <c r="T16" s="12">
        <f t="shared" si="20"/>
        <v>20888.116443772509</v>
      </c>
      <c r="U16" s="12">
        <f t="shared" si="20"/>
        <v>20888.116443772509</v>
      </c>
      <c r="V16" s="12">
        <f t="shared" si="20"/>
        <v>21071.668892970105</v>
      </c>
      <c r="W16" s="12">
        <f t="shared" si="20"/>
        <v>21321.710419070594</v>
      </c>
      <c r="X16" s="12">
        <f t="shared" si="20"/>
        <v>24338.488382897944</v>
      </c>
      <c r="Y16" s="12">
        <f t="shared" si="20"/>
        <v>24338.488382897944</v>
      </c>
      <c r="Z16" s="12">
        <f t="shared" si="20"/>
        <v>23596.21177857733</v>
      </c>
      <c r="AA16" s="12">
        <f t="shared" si="20"/>
        <v>23893.525456997115</v>
      </c>
      <c r="AB16" s="12">
        <f t="shared" si="20"/>
        <v>24190.839135416907</v>
      </c>
      <c r="AC16" s="12">
        <f t="shared" si="20"/>
        <v>24360.813876999153</v>
      </c>
      <c r="AD16" s="12">
        <f t="shared" si="20"/>
        <v>24411.119192075341</v>
      </c>
      <c r="AE16" s="12">
        <f t="shared" si="20"/>
        <v>24411.119192075341</v>
      </c>
      <c r="AF16" s="12">
        <f t="shared" si="20"/>
        <v>24583.98448914539</v>
      </c>
      <c r="AG16" s="12">
        <f t="shared" si="20"/>
        <v>24583.98448914539</v>
      </c>
      <c r="AH16" s="12">
        <f t="shared" si="20"/>
        <v>24583.98448914539</v>
      </c>
      <c r="AI16" s="12">
        <f t="shared" si="20"/>
        <v>24583.98448914539</v>
      </c>
      <c r="AJ16" s="12">
        <f t="shared" si="20"/>
        <v>24583.98448914539</v>
      </c>
      <c r="AK16" s="12">
        <f t="shared" si="20"/>
        <v>25209.309625401154</v>
      </c>
      <c r="AL16" s="12">
        <f t="shared" si="20"/>
        <v>25209.309625401154</v>
      </c>
      <c r="AM16" s="12">
        <f t="shared" si="20"/>
        <v>25209.309625401154</v>
      </c>
      <c r="AN16" s="12">
        <f t="shared" si="20"/>
        <v>25209.309625401154</v>
      </c>
      <c r="AO16" s="12">
        <f t="shared" si="20"/>
        <v>26198.46029547846</v>
      </c>
      <c r="AP16" s="12">
        <f t="shared" si="20"/>
        <v>26198.46029547846</v>
      </c>
    </row>
    <row r="17" spans="1:42">
      <c r="A17" s="3"/>
      <c r="B17" s="3"/>
      <c r="C17" s="3"/>
      <c r="D17" s="3"/>
      <c r="E17" s="3"/>
      <c r="F17" s="3"/>
      <c r="G17" s="3"/>
      <c r="H17" s="3"/>
      <c r="I17" s="3"/>
      <c r="J17" s="3"/>
      <c r="K17" s="6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15.75" customHeight="1">
      <c r="A18" s="3" t="s">
        <v>51</v>
      </c>
      <c r="B18" s="3"/>
      <c r="C18" s="3"/>
      <c r="D18" s="3"/>
      <c r="E18" s="3"/>
      <c r="F18" s="3"/>
      <c r="G18" s="3"/>
      <c r="H18" s="3"/>
      <c r="I18" s="3"/>
      <c r="J18" s="3"/>
      <c r="K18" s="6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15.75" customHeight="1">
      <c r="A19" s="57" t="s">
        <v>7</v>
      </c>
      <c r="B19" s="69">
        <f t="shared" ref="B19:AP19" si="21">B37</f>
        <v>727.9</v>
      </c>
      <c r="C19" s="69">
        <f t="shared" si="21"/>
        <v>720.2</v>
      </c>
      <c r="D19" s="69">
        <f t="shared" si="21"/>
        <v>725.5</v>
      </c>
      <c r="E19" s="69">
        <f t="shared" si="21"/>
        <v>715.6</v>
      </c>
      <c r="F19" s="69">
        <f t="shared" si="21"/>
        <v>723</v>
      </c>
      <c r="G19" s="69">
        <f t="shared" si="21"/>
        <v>713.2</v>
      </c>
      <c r="H19" s="69">
        <f t="shared" si="21"/>
        <v>729.6</v>
      </c>
      <c r="I19" s="69">
        <f t="shared" si="21"/>
        <v>754</v>
      </c>
      <c r="J19" s="69">
        <f t="shared" si="21"/>
        <v>725.6</v>
      </c>
      <c r="K19" s="70">
        <f t="shared" si="21"/>
        <v>725.6</v>
      </c>
      <c r="L19" s="25">
        <f t="shared" si="21"/>
        <v>725.6</v>
      </c>
      <c r="M19" s="25">
        <f t="shared" si="21"/>
        <v>725.6</v>
      </c>
      <c r="N19" s="25">
        <f t="shared" si="21"/>
        <v>725.6</v>
      </c>
      <c r="O19" s="25">
        <f t="shared" si="21"/>
        <v>725.6</v>
      </c>
      <c r="P19" s="25">
        <f t="shared" si="21"/>
        <v>725.6</v>
      </c>
      <c r="Q19" s="25">
        <f t="shared" si="21"/>
        <v>725.6</v>
      </c>
      <c r="R19" s="25">
        <f t="shared" si="21"/>
        <v>725.6</v>
      </c>
      <c r="S19" s="25">
        <f t="shared" si="21"/>
        <v>725.6</v>
      </c>
      <c r="T19" s="25">
        <f t="shared" si="21"/>
        <v>725.6</v>
      </c>
      <c r="U19" s="25">
        <f t="shared" si="21"/>
        <v>725.6</v>
      </c>
      <c r="V19" s="25">
        <f t="shared" si="21"/>
        <v>725.6</v>
      </c>
      <c r="W19" s="25">
        <f t="shared" si="21"/>
        <v>725.6</v>
      </c>
      <c r="X19" s="25">
        <f t="shared" si="21"/>
        <v>725.6</v>
      </c>
      <c r="Y19" s="25">
        <f t="shared" si="21"/>
        <v>725.6</v>
      </c>
      <c r="Z19" s="25">
        <f t="shared" si="21"/>
        <v>725.6</v>
      </c>
      <c r="AA19" s="25">
        <f t="shared" si="21"/>
        <v>725.6</v>
      </c>
      <c r="AB19" s="25">
        <f t="shared" si="21"/>
        <v>725.6</v>
      </c>
      <c r="AC19" s="25">
        <f t="shared" si="21"/>
        <v>725.6</v>
      </c>
      <c r="AD19" s="25">
        <f t="shared" si="21"/>
        <v>725.6</v>
      </c>
      <c r="AE19" s="25">
        <f t="shared" si="21"/>
        <v>725.6</v>
      </c>
      <c r="AF19" s="25">
        <f t="shared" si="21"/>
        <v>725.6</v>
      </c>
      <c r="AG19" s="25">
        <f t="shared" si="21"/>
        <v>725.6</v>
      </c>
      <c r="AH19" s="25">
        <f t="shared" si="21"/>
        <v>725.6</v>
      </c>
      <c r="AI19" s="25">
        <f t="shared" si="21"/>
        <v>725.6</v>
      </c>
      <c r="AJ19" s="25">
        <f t="shared" si="21"/>
        <v>725.6</v>
      </c>
      <c r="AK19" s="25">
        <f t="shared" si="21"/>
        <v>725.6</v>
      </c>
      <c r="AL19" s="25">
        <f t="shared" si="21"/>
        <v>725.6</v>
      </c>
      <c r="AM19" s="25">
        <f t="shared" si="21"/>
        <v>725.6</v>
      </c>
      <c r="AN19" s="25">
        <f t="shared" si="21"/>
        <v>725.6</v>
      </c>
      <c r="AO19" s="25">
        <f t="shared" si="21"/>
        <v>725.6</v>
      </c>
      <c r="AP19" s="27">
        <f t="shared" si="21"/>
        <v>725.6</v>
      </c>
    </row>
    <row r="20" spans="1:42">
      <c r="A20" s="71" t="s">
        <v>9</v>
      </c>
      <c r="B20" s="72">
        <f t="shared" ref="B20:K20" si="22">B36</f>
        <v>1000</v>
      </c>
      <c r="C20" s="72">
        <f t="shared" si="22"/>
        <v>1000</v>
      </c>
      <c r="D20" s="72">
        <f t="shared" si="22"/>
        <v>1000</v>
      </c>
      <c r="E20" s="72">
        <f t="shared" si="22"/>
        <v>1000</v>
      </c>
      <c r="F20" s="72">
        <f t="shared" si="22"/>
        <v>1000</v>
      </c>
      <c r="G20" s="72">
        <f t="shared" si="22"/>
        <v>1000</v>
      </c>
      <c r="H20" s="72">
        <f t="shared" si="22"/>
        <v>1000</v>
      </c>
      <c r="I20" s="72">
        <f t="shared" si="22"/>
        <v>1000</v>
      </c>
      <c r="J20" s="72">
        <f t="shared" si="22"/>
        <v>1000</v>
      </c>
      <c r="K20" s="73">
        <f t="shared" si="22"/>
        <v>1022.5</v>
      </c>
      <c r="L20" s="72">
        <f>'BAU Data'!L11</f>
        <v>1022.5</v>
      </c>
      <c r="M20" s="72">
        <f>'BAU Data'!M11</f>
        <v>1022.5</v>
      </c>
      <c r="N20" s="72">
        <f>'BAU Data'!N11</f>
        <v>1022.5</v>
      </c>
      <c r="O20" s="72">
        <f>'BAU Data'!O11</f>
        <v>1022.5</v>
      </c>
      <c r="P20" s="72">
        <f>'BAU Data'!P11</f>
        <v>1022.5</v>
      </c>
      <c r="Q20" s="72">
        <f>'BAU Data'!Q11</f>
        <v>1022.5</v>
      </c>
      <c r="R20" s="72">
        <f>'BAU Data'!R11</f>
        <v>1022.5</v>
      </c>
      <c r="S20" s="72">
        <f>'BAU Data'!S11</f>
        <v>1022.5</v>
      </c>
      <c r="T20" s="72">
        <f>'BAU Data'!T11</f>
        <v>1022.5</v>
      </c>
      <c r="U20" s="72">
        <f>'BAU Data'!U11</f>
        <v>1022.5</v>
      </c>
      <c r="V20" s="72">
        <f>'BAU Data'!V11</f>
        <v>1022.5</v>
      </c>
      <c r="W20" s="72">
        <f>'BAU Data'!W11</f>
        <v>1022.5</v>
      </c>
      <c r="X20" s="72">
        <f>'BAU Data'!X11</f>
        <v>1022.5</v>
      </c>
      <c r="Y20" s="72">
        <f>'BAU Data'!Y11</f>
        <v>1022.5</v>
      </c>
      <c r="Z20" s="72">
        <f>'BAU Data'!Z11</f>
        <v>1022.5</v>
      </c>
      <c r="AA20" s="72">
        <f>'BAU Data'!AA11</f>
        <v>1022.5</v>
      </c>
      <c r="AB20" s="72">
        <f>'BAU Data'!AB11</f>
        <v>1022.5</v>
      </c>
      <c r="AC20" s="72">
        <f>'BAU Data'!AC11</f>
        <v>1022.5</v>
      </c>
      <c r="AD20" s="72">
        <f>'BAU Data'!AD11</f>
        <v>1022.5</v>
      </c>
      <c r="AE20" s="72">
        <f>'BAU Data'!AE11</f>
        <v>1022.5</v>
      </c>
      <c r="AF20" s="72">
        <f>'BAU Data'!AF11</f>
        <v>1022.5</v>
      </c>
      <c r="AG20" s="72">
        <f>'BAU Data'!AG11</f>
        <v>1022.5</v>
      </c>
      <c r="AH20" s="72">
        <f>'BAU Data'!AH11</f>
        <v>1022.5</v>
      </c>
      <c r="AI20" s="72">
        <f>'BAU Data'!AI11</f>
        <v>1022.5</v>
      </c>
      <c r="AJ20" s="72">
        <f>'BAU Data'!AJ11</f>
        <v>1022.5</v>
      </c>
      <c r="AK20" s="72">
        <f>'BAU Data'!AK11</f>
        <v>1022.5</v>
      </c>
      <c r="AL20" s="72">
        <f>'BAU Data'!AL11</f>
        <v>1022.5</v>
      </c>
      <c r="AM20" s="72">
        <f>'BAU Data'!AM11</f>
        <v>1022.5</v>
      </c>
      <c r="AN20" s="72">
        <f>'BAU Data'!AN11</f>
        <v>1022.5</v>
      </c>
      <c r="AO20" s="72">
        <f>'BAU Data'!AO11</f>
        <v>1022.5</v>
      </c>
      <c r="AP20" s="74">
        <f>'BAU Data'!AP11</f>
        <v>1022.5</v>
      </c>
    </row>
    <row r="21" spans="1:42">
      <c r="A21" s="75" t="s">
        <v>67</v>
      </c>
      <c r="B21" s="18">
        <f t="shared" ref="B21:K21" si="23">B34</f>
        <v>295</v>
      </c>
      <c r="C21" s="18">
        <f t="shared" si="23"/>
        <v>346.1</v>
      </c>
      <c r="D21" s="18">
        <f t="shared" si="23"/>
        <v>404.2</v>
      </c>
      <c r="E21" s="18">
        <f t="shared" si="23"/>
        <v>424.3</v>
      </c>
      <c r="F21" s="18">
        <f t="shared" si="23"/>
        <v>423.5</v>
      </c>
      <c r="G21" s="18">
        <f t="shared" si="23"/>
        <v>441.7</v>
      </c>
      <c r="H21" s="18">
        <f t="shared" si="23"/>
        <v>421.4</v>
      </c>
      <c r="I21" s="18">
        <f t="shared" si="23"/>
        <v>289.8</v>
      </c>
      <c r="J21" s="18">
        <f t="shared" si="23"/>
        <v>297.8</v>
      </c>
      <c r="K21" s="19">
        <f t="shared" si="23"/>
        <v>294.10000000000002</v>
      </c>
      <c r="L21" s="18">
        <v>7.5</v>
      </c>
      <c r="M21" s="18">
        <v>7.5</v>
      </c>
      <c r="N21" s="18">
        <v>7.5</v>
      </c>
      <c r="O21" s="18">
        <v>7.5</v>
      </c>
      <c r="P21" s="18">
        <v>7.5</v>
      </c>
      <c r="Q21" s="18">
        <v>7.5</v>
      </c>
      <c r="R21" s="18">
        <v>7.5</v>
      </c>
      <c r="S21" s="18">
        <v>7.5</v>
      </c>
      <c r="T21" s="18">
        <v>7.5</v>
      </c>
      <c r="U21" s="18">
        <v>7.5</v>
      </c>
      <c r="V21" s="18">
        <v>7.5</v>
      </c>
      <c r="W21" s="18">
        <v>7.5</v>
      </c>
      <c r="X21" s="18">
        <v>7.5</v>
      </c>
      <c r="Y21" s="18">
        <v>7.5</v>
      </c>
      <c r="Z21" s="18">
        <v>7.5</v>
      </c>
      <c r="AA21" s="18">
        <v>7.5</v>
      </c>
      <c r="AB21" s="18">
        <v>7.5</v>
      </c>
      <c r="AC21" s="18">
        <v>7.5</v>
      </c>
      <c r="AD21" s="18">
        <v>7.5</v>
      </c>
      <c r="AE21" s="18">
        <v>7.5</v>
      </c>
      <c r="AF21" s="18">
        <v>7.5</v>
      </c>
      <c r="AG21" s="18">
        <v>7.5</v>
      </c>
      <c r="AH21" s="18">
        <v>7.5</v>
      </c>
      <c r="AI21" s="18">
        <v>7.5</v>
      </c>
      <c r="AJ21" s="18">
        <v>7.5</v>
      </c>
      <c r="AK21" s="18">
        <v>7.5</v>
      </c>
      <c r="AL21" s="18">
        <v>7.5</v>
      </c>
      <c r="AM21" s="18">
        <v>7.5</v>
      </c>
      <c r="AN21" s="18">
        <v>7.5</v>
      </c>
      <c r="AO21" s="18">
        <v>7.5</v>
      </c>
      <c r="AP21" s="78">
        <v>7.5</v>
      </c>
    </row>
    <row r="22" spans="1:42">
      <c r="A22" s="47" t="s">
        <v>6</v>
      </c>
      <c r="B22" s="77">
        <f t="shared" ref="B22:AP22" si="24">B33</f>
        <v>160</v>
      </c>
      <c r="C22" s="77">
        <f t="shared" si="24"/>
        <v>160</v>
      </c>
      <c r="D22" s="77">
        <f t="shared" si="24"/>
        <v>160</v>
      </c>
      <c r="E22" s="77">
        <f t="shared" si="24"/>
        <v>160</v>
      </c>
      <c r="F22" s="77">
        <f t="shared" si="24"/>
        <v>160</v>
      </c>
      <c r="G22" s="77">
        <f t="shared" si="24"/>
        <v>160</v>
      </c>
      <c r="H22" s="77">
        <f t="shared" si="24"/>
        <v>160</v>
      </c>
      <c r="I22" s="77">
        <f t="shared" si="24"/>
        <v>160</v>
      </c>
      <c r="J22" s="77">
        <f t="shared" si="24"/>
        <v>160</v>
      </c>
      <c r="K22" s="79">
        <f t="shared" si="24"/>
        <v>160</v>
      </c>
      <c r="L22" s="12">
        <f t="shared" si="24"/>
        <v>160</v>
      </c>
      <c r="M22" s="12">
        <f t="shared" si="24"/>
        <v>160.78010878617025</v>
      </c>
      <c r="N22" s="12">
        <f t="shared" si="24"/>
        <v>160.78010878617025</v>
      </c>
      <c r="O22" s="12">
        <f t="shared" si="24"/>
        <v>160.78010878617025</v>
      </c>
      <c r="P22" s="12">
        <f t="shared" si="24"/>
        <v>168.04812231065623</v>
      </c>
      <c r="Q22" s="12">
        <f t="shared" si="24"/>
        <v>168.04812231065623</v>
      </c>
      <c r="R22" s="12">
        <f t="shared" si="24"/>
        <v>168.04812231065623</v>
      </c>
      <c r="S22" s="12">
        <f t="shared" si="24"/>
        <v>164.06748721109159</v>
      </c>
      <c r="T22" s="12">
        <f t="shared" si="24"/>
        <v>175.01293355358405</v>
      </c>
      <c r="U22" s="12">
        <f t="shared" si="24"/>
        <v>175.01293355358405</v>
      </c>
      <c r="V22" s="12">
        <f t="shared" si="24"/>
        <v>176.69276780647061</v>
      </c>
      <c r="W22" s="12">
        <f t="shared" si="24"/>
        <v>178.98108691256996</v>
      </c>
      <c r="X22" s="12">
        <f t="shared" si="24"/>
        <v>186.66391028228887</v>
      </c>
      <c r="Y22" s="12">
        <f t="shared" si="24"/>
        <v>186.66391028228887</v>
      </c>
      <c r="Z22" s="12">
        <f t="shared" si="24"/>
        <v>179.8752996105307</v>
      </c>
      <c r="AA22" s="12">
        <f t="shared" si="24"/>
        <v>182.59527891164424</v>
      </c>
      <c r="AB22" s="12">
        <f t="shared" si="24"/>
        <v>185.31525821275778</v>
      </c>
      <c r="AC22" s="12">
        <f t="shared" si="24"/>
        <v>186.87027505985711</v>
      </c>
      <c r="AD22" s="12">
        <f t="shared" si="24"/>
        <v>186.87027505985711</v>
      </c>
      <c r="AE22" s="12">
        <f t="shared" si="24"/>
        <v>186.87027505985711</v>
      </c>
      <c r="AF22" s="12">
        <f t="shared" si="24"/>
        <v>188.4522316637055</v>
      </c>
      <c r="AG22" s="12">
        <f t="shared" si="24"/>
        <v>188.4522316637055</v>
      </c>
      <c r="AH22" s="12">
        <f t="shared" si="24"/>
        <v>188.4522316637055</v>
      </c>
      <c r="AI22" s="12">
        <f t="shared" si="24"/>
        <v>188.4522316637055</v>
      </c>
      <c r="AJ22" s="12">
        <f t="shared" si="24"/>
        <v>188.4522316637055</v>
      </c>
      <c r="AK22" s="12">
        <f t="shared" si="24"/>
        <v>194.17302942895387</v>
      </c>
      <c r="AL22" s="12">
        <f t="shared" si="24"/>
        <v>194.17302942895387</v>
      </c>
      <c r="AM22" s="12">
        <f t="shared" si="24"/>
        <v>194.17302942895387</v>
      </c>
      <c r="AN22" s="12">
        <f t="shared" si="24"/>
        <v>194.17302942895387</v>
      </c>
      <c r="AO22" s="12">
        <f t="shared" si="24"/>
        <v>203.22229134852856</v>
      </c>
      <c r="AP22" s="30">
        <f t="shared" si="24"/>
        <v>203.22229134852856</v>
      </c>
    </row>
    <row r="23" spans="1:42">
      <c r="A23" s="80" t="s">
        <v>5</v>
      </c>
      <c r="B23" s="77">
        <f t="shared" ref="B23:AP23" si="25">B32</f>
        <v>127.5</v>
      </c>
      <c r="C23" s="77">
        <f t="shared" si="25"/>
        <v>178.6</v>
      </c>
      <c r="D23" s="77">
        <f t="shared" si="25"/>
        <v>236.7</v>
      </c>
      <c r="E23" s="77">
        <f t="shared" si="25"/>
        <v>256.8</v>
      </c>
      <c r="F23" s="77">
        <f t="shared" si="25"/>
        <v>256</v>
      </c>
      <c r="G23" s="77">
        <f t="shared" si="25"/>
        <v>274.2</v>
      </c>
      <c r="H23" s="77">
        <f t="shared" si="25"/>
        <v>253.9</v>
      </c>
      <c r="I23" s="77">
        <f t="shared" si="25"/>
        <v>122.3</v>
      </c>
      <c r="J23" s="77">
        <f t="shared" si="25"/>
        <v>130.30000000000001</v>
      </c>
      <c r="K23" s="79">
        <f t="shared" si="25"/>
        <v>126.6</v>
      </c>
      <c r="L23" s="77">
        <f t="shared" si="25"/>
        <v>126.59999999999998</v>
      </c>
      <c r="M23" s="77">
        <f t="shared" si="25"/>
        <v>127.21726107705717</v>
      </c>
      <c r="N23" s="77">
        <f t="shared" si="25"/>
        <v>124.67291585551602</v>
      </c>
      <c r="O23" s="77">
        <f t="shared" si="25"/>
        <v>124.67291585551602</v>
      </c>
      <c r="P23" s="77">
        <f t="shared" si="25"/>
        <v>130.30871524274056</v>
      </c>
      <c r="Q23" s="77">
        <f t="shared" si="25"/>
        <v>130.30871524274056</v>
      </c>
      <c r="R23" s="77">
        <f t="shared" si="25"/>
        <v>130.30871524274056</v>
      </c>
      <c r="S23" s="77">
        <f t="shared" si="25"/>
        <v>127.22203127066068</v>
      </c>
      <c r="T23" s="77">
        <f t="shared" si="25"/>
        <v>135.70940400078788</v>
      </c>
      <c r="U23" s="77">
        <f t="shared" si="25"/>
        <v>135.70940400078788</v>
      </c>
      <c r="V23" s="77">
        <f t="shared" si="25"/>
        <v>137.01198947633247</v>
      </c>
      <c r="W23" s="77">
        <f t="shared" si="25"/>
        <v>138.78640931917954</v>
      </c>
      <c r="X23" s="77">
        <f t="shared" si="25"/>
        <v>144.74386263064383</v>
      </c>
      <c r="Y23" s="77">
        <f t="shared" si="25"/>
        <v>144.74386263064383</v>
      </c>
      <c r="Z23" s="77">
        <f t="shared" si="25"/>
        <v>139.47980420049572</v>
      </c>
      <c r="AA23" s="77">
        <f t="shared" si="25"/>
        <v>141.58894415006171</v>
      </c>
      <c r="AB23" s="77">
        <f t="shared" si="25"/>
        <v>143.69808409962766</v>
      </c>
      <c r="AC23" s="77">
        <f t="shared" si="25"/>
        <v>144.90388303828968</v>
      </c>
      <c r="AD23" s="77">
        <f t="shared" si="25"/>
        <v>144.90388303828968</v>
      </c>
      <c r="AE23" s="77">
        <f t="shared" si="25"/>
        <v>144.90388303828968</v>
      </c>
      <c r="AF23" s="77">
        <f t="shared" si="25"/>
        <v>146.1305717378288</v>
      </c>
      <c r="AG23" s="77">
        <f t="shared" si="25"/>
        <v>146.1305717378288</v>
      </c>
      <c r="AH23" s="77">
        <f t="shared" si="25"/>
        <v>146.1305717378288</v>
      </c>
      <c r="AI23" s="77">
        <f t="shared" si="25"/>
        <v>146.1305717378288</v>
      </c>
      <c r="AJ23" s="77">
        <f t="shared" si="25"/>
        <v>146.1305717378288</v>
      </c>
      <c r="AK23" s="77">
        <f t="shared" si="25"/>
        <v>150.56662134494653</v>
      </c>
      <c r="AL23" s="77">
        <f t="shared" si="25"/>
        <v>150.56662134494653</v>
      </c>
      <c r="AM23" s="77">
        <f t="shared" si="25"/>
        <v>150.56662134494653</v>
      </c>
      <c r="AN23" s="77">
        <f t="shared" si="25"/>
        <v>150.56662134494653</v>
      </c>
      <c r="AO23" s="77">
        <f t="shared" si="25"/>
        <v>157.58364526893274</v>
      </c>
      <c r="AP23" s="81">
        <f t="shared" si="25"/>
        <v>157.58364526893274</v>
      </c>
    </row>
    <row r="24" spans="1:42">
      <c r="A24" s="80" t="s">
        <v>56</v>
      </c>
      <c r="B24" s="77">
        <f>'Mitigation Data Scenario 3 '!B12</f>
        <v>887.1</v>
      </c>
      <c r="C24" s="77">
        <f>'Mitigation Data Scenario 3 '!C12</f>
        <v>857.8</v>
      </c>
      <c r="D24" s="77">
        <f>'Mitigation Data Scenario 3 '!D12</f>
        <v>887</v>
      </c>
      <c r="E24" s="77">
        <f>'Mitigation Data Scenario 3 '!E12</f>
        <v>881.9</v>
      </c>
      <c r="F24" s="77">
        <f>'Mitigation Data Scenario 3 '!F12</f>
        <v>853.1</v>
      </c>
      <c r="G24" s="77">
        <f>'Mitigation Data Scenario 3 '!G12</f>
        <v>872</v>
      </c>
      <c r="H24" s="77">
        <f>'Mitigation Data Scenario 3 '!H12</f>
        <v>874.3</v>
      </c>
      <c r="I24" s="77">
        <f>'Mitigation Data Scenario 3 '!I12</f>
        <v>795.2</v>
      </c>
      <c r="J24" s="77">
        <f>'Mitigation Data Scenario 3 '!J12</f>
        <v>840.8</v>
      </c>
      <c r="K24" s="79">
        <f>'Mitigation Data Scenario 3 '!K12</f>
        <v>847.6</v>
      </c>
      <c r="L24" s="77">
        <f>'Mitigation Data Scenario 3 '!L12</f>
        <v>744.63739999999996</v>
      </c>
      <c r="M24" s="77">
        <f>'Mitigation Data Scenario 3 '!M12</f>
        <v>727.84399480093828</v>
      </c>
      <c r="N24" s="77">
        <f>'Mitigation Data Scenario 3 '!N12</f>
        <v>713.96999480093825</v>
      </c>
      <c r="O24" s="77">
        <f>'Mitigation Data Scenario 3 '!O12</f>
        <v>700.09599480093834</v>
      </c>
      <c r="P24" s="77">
        <f>'Mitigation Data Scenario 3 '!P12</f>
        <v>605.09263856042537</v>
      </c>
      <c r="Q24" s="77">
        <f>'Mitigation Data Scenario 3 '!Q12</f>
        <v>591.21863856042546</v>
      </c>
      <c r="R24" s="77">
        <f>'Mitigation Data Scenario 3 '!R12</f>
        <v>577.34463856042544</v>
      </c>
      <c r="S24" s="77">
        <f>'Mitigation Data Scenario 3 '!S12</f>
        <v>518.98695193622461</v>
      </c>
      <c r="T24" s="77">
        <f>'Mitigation Data Scenario 3 '!T12</f>
        <v>530.28126000658347</v>
      </c>
      <c r="U24" s="77">
        <f>'Mitigation Data Scenario 3 '!U12</f>
        <v>498.30934008776893</v>
      </c>
      <c r="V24" s="77">
        <f>'Mitigation Data Scenario 3 '!V12</f>
        <v>408.80589689141885</v>
      </c>
      <c r="W24" s="77">
        <f>'Mitigation Data Scenario 3 '!W12</f>
        <v>390.09874856284023</v>
      </c>
      <c r="X24" s="77">
        <f>'Mitigation Data Scenario 3 '!X12</f>
        <v>392.80568258129</v>
      </c>
      <c r="Y24" s="77">
        <f>'Mitigation Data Scenario 3 '!Y12</f>
        <v>392.80568258129</v>
      </c>
      <c r="Z24" s="77">
        <f>'Mitigation Data Scenario 3 '!Z12</f>
        <v>339.70824997597833</v>
      </c>
      <c r="AA24" s="77">
        <f>'Mitigation Data Scenario 3 '!AA12</f>
        <v>349.58598678185444</v>
      </c>
      <c r="AB24" s="77">
        <f>'Mitigation Data Scenario 3 '!AB12</f>
        <v>359.4637235877305</v>
      </c>
      <c r="AC24" s="77">
        <f>'Mitigation Data Scenario 3 '!AC12</f>
        <v>365.1108427176672</v>
      </c>
      <c r="AD24" s="77">
        <f>'Mitigation Data Scenario 3 '!AD12</f>
        <v>365.1108427176672</v>
      </c>
      <c r="AE24" s="77">
        <f>'Mitigation Data Scenario 3 '!AE12</f>
        <v>365.1108427176672</v>
      </c>
      <c r="AF24" s="77">
        <f>'Mitigation Data Scenario 3 '!AF12</f>
        <v>365.32790500587589</v>
      </c>
      <c r="AG24" s="77">
        <f>'Mitigation Data Scenario 3 '!AG12</f>
        <v>365.32790500587589</v>
      </c>
      <c r="AH24" s="77">
        <f>'Mitigation Data Scenario 3 '!AH12</f>
        <v>365.32790500587589</v>
      </c>
      <c r="AI24" s="77">
        <f>'Mitigation Data Scenario 3 '!AI12</f>
        <v>365.32790500587589</v>
      </c>
      <c r="AJ24" s="77">
        <f>'Mitigation Data Scenario 3 '!AJ12</f>
        <v>365.32790500587589</v>
      </c>
      <c r="AK24" s="77">
        <f>'Mitigation Data Scenario 3 '!AK12</f>
        <v>386.10325966450625</v>
      </c>
      <c r="AL24" s="77">
        <f>'Mitigation Data Scenario 3 '!AL12</f>
        <v>371.33735966450621</v>
      </c>
      <c r="AM24" s="77">
        <f>'Mitigation Data Scenario 3 '!AM12</f>
        <v>371.33735966450621</v>
      </c>
      <c r="AN24" s="77">
        <f>'Mitigation Data Scenario 3 '!AN12</f>
        <v>371.33735966450621</v>
      </c>
      <c r="AO24" s="77">
        <f>'Mitigation Data Scenario 3 '!AO12</f>
        <v>404.20019339724848</v>
      </c>
      <c r="AP24" s="81">
        <f>'Mitigation Data Scenario 3 '!AP12</f>
        <v>404.20019339724848</v>
      </c>
    </row>
    <row r="25" spans="1:42">
      <c r="A25" s="80" t="s">
        <v>4</v>
      </c>
      <c r="B25" s="77">
        <f t="shared" ref="B25:AP25" si="26">B31</f>
        <v>8261.9</v>
      </c>
      <c r="C25" s="77">
        <f t="shared" si="26"/>
        <v>8092.7</v>
      </c>
      <c r="D25" s="77">
        <f t="shared" si="26"/>
        <v>7895.3</v>
      </c>
      <c r="E25" s="77">
        <f t="shared" si="26"/>
        <v>9424.6</v>
      </c>
      <c r="F25" s="77">
        <f t="shared" si="26"/>
        <v>9347.7000000000007</v>
      </c>
      <c r="G25" s="77">
        <f t="shared" si="26"/>
        <v>8348.5</v>
      </c>
      <c r="H25" s="77">
        <f t="shared" si="26"/>
        <v>6962.6</v>
      </c>
      <c r="I25" s="77">
        <f t="shared" si="26"/>
        <v>6845.1</v>
      </c>
      <c r="J25" s="77">
        <f t="shared" si="26"/>
        <v>7690.1</v>
      </c>
      <c r="K25" s="79">
        <f t="shared" si="26"/>
        <v>7502</v>
      </c>
      <c r="L25" s="77">
        <f t="shared" si="26"/>
        <v>6779</v>
      </c>
      <c r="M25" s="77">
        <f t="shared" si="26"/>
        <v>6753.2090321784372</v>
      </c>
      <c r="N25" s="77">
        <f t="shared" si="26"/>
        <v>6753.2090321784372</v>
      </c>
      <c r="O25" s="77">
        <f t="shared" si="26"/>
        <v>6753.2090321784372</v>
      </c>
      <c r="P25" s="77">
        <f t="shared" si="26"/>
        <v>6986.3834173571149</v>
      </c>
      <c r="Q25" s="77">
        <f t="shared" si="26"/>
        <v>6986.3834173571149</v>
      </c>
      <c r="R25" s="77">
        <f t="shared" si="26"/>
        <v>6986.3834173571149</v>
      </c>
      <c r="S25" s="77">
        <f t="shared" si="26"/>
        <v>6761.242427068797</v>
      </c>
      <c r="T25" s="77">
        <f t="shared" si="26"/>
        <v>222.58738410814476</v>
      </c>
      <c r="U25" s="77">
        <f t="shared" si="26"/>
        <v>222.58738410814476</v>
      </c>
      <c r="V25" s="77">
        <f t="shared" si="26"/>
        <v>223.19188158270936</v>
      </c>
      <c r="W25" s="77">
        <f t="shared" si="26"/>
        <v>222.77798925393199</v>
      </c>
      <c r="X25" s="77">
        <f t="shared" si="26"/>
        <v>223.23620563503027</v>
      </c>
      <c r="Y25" s="77">
        <f t="shared" si="26"/>
        <v>223.23620563503027</v>
      </c>
      <c r="Z25" s="77">
        <f t="shared" si="26"/>
        <v>223.15634780256732</v>
      </c>
      <c r="AA25" s="77">
        <f t="shared" si="26"/>
        <v>223.41946297140294</v>
      </c>
      <c r="AB25" s="77">
        <f t="shared" si="26"/>
        <v>222.68257814023946</v>
      </c>
      <c r="AC25" s="77">
        <f t="shared" si="26"/>
        <v>222.57105124823556</v>
      </c>
      <c r="AD25" s="77">
        <f t="shared" si="26"/>
        <v>222.57105124823556</v>
      </c>
      <c r="AE25" s="77">
        <f t="shared" si="26"/>
        <v>222.57105124823556</v>
      </c>
      <c r="AF25" s="77">
        <f t="shared" si="26"/>
        <v>223.48864956321449</v>
      </c>
      <c r="AG25" s="77">
        <f t="shared" si="26"/>
        <v>223.48864956321449</v>
      </c>
      <c r="AH25" s="77">
        <f t="shared" si="26"/>
        <v>223.48864956321449</v>
      </c>
      <c r="AI25" s="77">
        <f t="shared" si="26"/>
        <v>223.48864956321449</v>
      </c>
      <c r="AJ25" s="77">
        <f t="shared" si="26"/>
        <v>223.48864956321449</v>
      </c>
      <c r="AK25" s="77">
        <f t="shared" si="26"/>
        <v>223.02483825483978</v>
      </c>
      <c r="AL25" s="77">
        <f t="shared" si="26"/>
        <v>223.02483825483978</v>
      </c>
      <c r="AM25" s="77">
        <f t="shared" si="26"/>
        <v>223.02483825483978</v>
      </c>
      <c r="AN25" s="77">
        <f t="shared" si="26"/>
        <v>223.02483825483978</v>
      </c>
      <c r="AO25" s="77">
        <f t="shared" si="26"/>
        <v>223.34571854886417</v>
      </c>
      <c r="AP25" s="81">
        <f t="shared" si="26"/>
        <v>223.34571854886417</v>
      </c>
    </row>
    <row r="26" spans="1:42">
      <c r="A26" s="47" t="s">
        <v>8</v>
      </c>
      <c r="B26" s="12">
        <f t="shared" ref="B26:J26" si="27">B35</f>
        <v>8969.9</v>
      </c>
      <c r="C26" s="12">
        <f t="shared" si="27"/>
        <v>8673.7000000000007</v>
      </c>
      <c r="D26" s="12">
        <f t="shared" si="27"/>
        <v>8968.9</v>
      </c>
      <c r="E26" s="12">
        <f t="shared" si="27"/>
        <v>8916.7999999999993</v>
      </c>
      <c r="F26" s="12">
        <f t="shared" si="27"/>
        <v>8625.7999999999993</v>
      </c>
      <c r="G26" s="12">
        <f t="shared" si="27"/>
        <v>8817.2999999999993</v>
      </c>
      <c r="H26" s="12">
        <f t="shared" si="27"/>
        <v>8840.1</v>
      </c>
      <c r="I26" s="12">
        <f t="shared" si="27"/>
        <v>8040.8</v>
      </c>
      <c r="J26" s="12">
        <f t="shared" si="27"/>
        <v>8501.4</v>
      </c>
      <c r="K26" s="11">
        <v>83</v>
      </c>
      <c r="L26" s="12">
        <f t="shared" ref="L26:AP26" si="28">L35</f>
        <v>83</v>
      </c>
      <c r="M26" s="12">
        <f t="shared" si="28"/>
        <v>82.540815347510943</v>
      </c>
      <c r="N26" s="12">
        <f t="shared" si="28"/>
        <v>82.540815347510943</v>
      </c>
      <c r="O26" s="12">
        <f t="shared" si="28"/>
        <v>82.540815347510943</v>
      </c>
      <c r="P26" s="12">
        <f t="shared" si="28"/>
        <v>82.879299297936086</v>
      </c>
      <c r="Q26" s="12">
        <f t="shared" si="28"/>
        <v>82.879299297936086</v>
      </c>
      <c r="R26" s="12">
        <f t="shared" si="28"/>
        <v>82.879299297936086</v>
      </c>
      <c r="S26" s="12">
        <f t="shared" si="28"/>
        <v>82.716789863039594</v>
      </c>
      <c r="T26" s="12">
        <f t="shared" si="28"/>
        <v>82.685589765753321</v>
      </c>
      <c r="U26" s="12">
        <f t="shared" si="28"/>
        <v>82.685589765753321</v>
      </c>
      <c r="V26" s="12">
        <f t="shared" si="28"/>
        <v>82.522691719839713</v>
      </c>
      <c r="W26" s="12">
        <f t="shared" si="28"/>
        <v>83.196559573039849</v>
      </c>
      <c r="X26" s="12">
        <f t="shared" si="28"/>
        <v>82.511736348516934</v>
      </c>
      <c r="Y26" s="12">
        <f t="shared" si="28"/>
        <v>82.511736348516934</v>
      </c>
      <c r="Z26" s="12">
        <f t="shared" si="28"/>
        <v>82.715241844867705</v>
      </c>
      <c r="AA26" s="12">
        <f t="shared" si="28"/>
        <v>83.389679845635328</v>
      </c>
      <c r="AB26" s="12">
        <f t="shared" si="28"/>
        <v>83.064117846402951</v>
      </c>
      <c r="AC26" s="12">
        <f t="shared" si="28"/>
        <v>83.048165575330131</v>
      </c>
      <c r="AD26" s="12">
        <f t="shared" si="28"/>
        <v>83.048165575330131</v>
      </c>
      <c r="AE26" s="12">
        <f t="shared" si="28"/>
        <v>83.048165575330131</v>
      </c>
      <c r="AF26" s="12">
        <f t="shared" si="28"/>
        <v>83.238501480564082</v>
      </c>
      <c r="AG26" s="12">
        <f t="shared" si="28"/>
        <v>83.238501480564082</v>
      </c>
      <c r="AH26" s="12">
        <f t="shared" si="28"/>
        <v>83.238501480564082</v>
      </c>
      <c r="AI26" s="12">
        <f t="shared" si="28"/>
        <v>83.238501480564082</v>
      </c>
      <c r="AJ26" s="12">
        <f t="shared" si="28"/>
        <v>83.238501480564082</v>
      </c>
      <c r="AK26" s="12">
        <f t="shared" si="28"/>
        <v>82.878810851203525</v>
      </c>
      <c r="AL26" s="12">
        <f t="shared" si="28"/>
        <v>82.878810851203525</v>
      </c>
      <c r="AM26" s="12">
        <f t="shared" si="28"/>
        <v>82.878810851203525</v>
      </c>
      <c r="AN26" s="12">
        <f t="shared" si="28"/>
        <v>82.878810851203525</v>
      </c>
      <c r="AO26" s="12">
        <f t="shared" si="28"/>
        <v>83.491663855666047</v>
      </c>
      <c r="AP26" s="30">
        <f t="shared" si="28"/>
        <v>83.491663855666047</v>
      </c>
    </row>
    <row r="27" spans="1:42">
      <c r="A27" s="47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1">
        <f t="shared" ref="K27:AP27" si="29">SUM(K19:K26)</f>
        <v>10761.4</v>
      </c>
      <c r="L27" s="12">
        <f t="shared" si="29"/>
        <v>9648.8374000000003</v>
      </c>
      <c r="M27" s="12">
        <f t="shared" si="29"/>
        <v>9607.1912121901132</v>
      </c>
      <c r="N27" s="12">
        <f t="shared" si="29"/>
        <v>9590.772866968573</v>
      </c>
      <c r="O27" s="12">
        <f t="shared" si="29"/>
        <v>9576.8988669685732</v>
      </c>
      <c r="P27" s="12">
        <f t="shared" si="29"/>
        <v>9728.3121927688735</v>
      </c>
      <c r="Q27" s="12">
        <f t="shared" si="29"/>
        <v>9714.4381927688737</v>
      </c>
      <c r="R27" s="12">
        <f t="shared" si="29"/>
        <v>9700.5641927688739</v>
      </c>
      <c r="S27" s="12">
        <f t="shared" si="29"/>
        <v>9409.8356873498124</v>
      </c>
      <c r="T27" s="12">
        <f t="shared" si="29"/>
        <v>2901.8765714348533</v>
      </c>
      <c r="U27" s="12">
        <f t="shared" si="29"/>
        <v>2869.9046515160385</v>
      </c>
      <c r="V27" s="12">
        <f t="shared" si="29"/>
        <v>2783.8252274767706</v>
      </c>
      <c r="W27" s="12">
        <f t="shared" si="29"/>
        <v>2769.4407936215616</v>
      </c>
      <c r="X27" s="12">
        <f t="shared" si="29"/>
        <v>2785.5613974777698</v>
      </c>
      <c r="Y27" s="12">
        <f t="shared" si="29"/>
        <v>2785.5613974777698</v>
      </c>
      <c r="Z27" s="12">
        <f t="shared" si="29"/>
        <v>2720.5349434344398</v>
      </c>
      <c r="AA27" s="12">
        <f t="shared" si="29"/>
        <v>2736.1793526605989</v>
      </c>
      <c r="AB27" s="12">
        <f t="shared" si="29"/>
        <v>2749.8237618867579</v>
      </c>
      <c r="AC27" s="12">
        <f t="shared" si="29"/>
        <v>2758.1042176393798</v>
      </c>
      <c r="AD27" s="12">
        <f t="shared" si="29"/>
        <v>2758.1042176393798</v>
      </c>
      <c r="AE27" s="12">
        <f t="shared" si="29"/>
        <v>2758.1042176393798</v>
      </c>
      <c r="AF27" s="12">
        <f t="shared" si="29"/>
        <v>2762.2378594511888</v>
      </c>
      <c r="AG27" s="12">
        <f t="shared" si="29"/>
        <v>2762.2378594511888</v>
      </c>
      <c r="AH27" s="12">
        <f t="shared" si="29"/>
        <v>2762.2378594511888</v>
      </c>
      <c r="AI27" s="12">
        <f t="shared" si="29"/>
        <v>2762.2378594511888</v>
      </c>
      <c r="AJ27" s="12">
        <f t="shared" si="29"/>
        <v>2762.2378594511888</v>
      </c>
      <c r="AK27" s="12">
        <f t="shared" si="29"/>
        <v>2792.34655954445</v>
      </c>
      <c r="AL27" s="12">
        <f t="shared" si="29"/>
        <v>2777.5806595444496</v>
      </c>
      <c r="AM27" s="12">
        <f t="shared" si="29"/>
        <v>2777.5806595444496</v>
      </c>
      <c r="AN27" s="12">
        <f t="shared" si="29"/>
        <v>2777.5806595444496</v>
      </c>
      <c r="AO27" s="12">
        <f t="shared" si="29"/>
        <v>2827.4435124192401</v>
      </c>
      <c r="AP27" s="30">
        <f t="shared" si="29"/>
        <v>2827.4435124192401</v>
      </c>
    </row>
    <row r="28" spans="1:42" ht="15.75" customHeight="1">
      <c r="A28" s="52" t="s">
        <v>60</v>
      </c>
      <c r="B28" s="38"/>
      <c r="C28" s="38"/>
      <c r="D28" s="38"/>
      <c r="E28" s="38"/>
      <c r="F28" s="38"/>
      <c r="G28" s="38"/>
      <c r="H28" s="38"/>
      <c r="I28" s="38"/>
      <c r="J28" s="38"/>
      <c r="K28" s="82">
        <f>'BAU Data'!K14</f>
        <v>19247.400000000001</v>
      </c>
      <c r="L28" s="38">
        <f>'BAU Data'!L14</f>
        <v>19247.400000000001</v>
      </c>
      <c r="M28" s="38">
        <f>'BAU Data'!M14</f>
        <v>19332.615252429736</v>
      </c>
      <c r="N28" s="38">
        <f>'BAU Data'!N14</f>
        <v>19332.615252429736</v>
      </c>
      <c r="O28" s="38">
        <f>'BAU Data'!O14</f>
        <v>19332.615252429736</v>
      </c>
      <c r="P28" s="38">
        <f>'BAU Data'!P14</f>
        <v>20127.062414172859</v>
      </c>
      <c r="Q28" s="38">
        <f>'BAU Data'!Q14</f>
        <v>20127.062414172859</v>
      </c>
      <c r="R28" s="38">
        <f>'BAU Data'!R14</f>
        <v>20127.062414172859</v>
      </c>
      <c r="S28" s="38">
        <f>'BAU Data'!S14</f>
        <v>19691.841762964643</v>
      </c>
      <c r="T28" s="38">
        <f>'BAU Data'!T14</f>
        <v>20888.116443772509</v>
      </c>
      <c r="U28" s="38">
        <f>'BAU Data'!U14</f>
        <v>20888.116443772509</v>
      </c>
      <c r="V28" s="38">
        <f>'BAU Data'!V14</f>
        <v>21071.668892970105</v>
      </c>
      <c r="W28" s="38">
        <f>'BAU Data'!W14</f>
        <v>21321.710419070594</v>
      </c>
      <c r="X28" s="38">
        <f>'BAU Data'!X14</f>
        <v>24338.488382897944</v>
      </c>
      <c r="Y28" s="38">
        <f>'BAU Data'!Y14</f>
        <v>24338.488382897944</v>
      </c>
      <c r="Z28" s="38">
        <f>'BAU Data'!Z14</f>
        <v>23596.21177857733</v>
      </c>
      <c r="AA28" s="38">
        <f>'BAU Data'!AA14</f>
        <v>23893.525456997115</v>
      </c>
      <c r="AB28" s="38">
        <f>'BAU Data'!AB14</f>
        <v>24190.839135416907</v>
      </c>
      <c r="AC28" s="38">
        <f>'BAU Data'!AC14</f>
        <v>24360.813876999153</v>
      </c>
      <c r="AD28" s="38">
        <f>'BAU Data'!AD14</f>
        <v>24411.119192075341</v>
      </c>
      <c r="AE28" s="38">
        <f>'BAU Data'!AE14</f>
        <v>24411.119192075341</v>
      </c>
      <c r="AF28" s="38">
        <f>'BAU Data'!AF14</f>
        <v>24583.98448914539</v>
      </c>
      <c r="AG28" s="38">
        <f>'BAU Data'!AG14</f>
        <v>24583.98448914539</v>
      </c>
      <c r="AH28" s="38">
        <f>'BAU Data'!AH14</f>
        <v>24583.98448914539</v>
      </c>
      <c r="AI28" s="38">
        <f>'BAU Data'!AI14</f>
        <v>24583.98448914539</v>
      </c>
      <c r="AJ28" s="38">
        <f>'BAU Data'!AJ14</f>
        <v>24583.98448914539</v>
      </c>
      <c r="AK28" s="38">
        <f>'BAU Data'!AK14</f>
        <v>25209.309625401154</v>
      </c>
      <c r="AL28" s="38">
        <f>'BAU Data'!AL14</f>
        <v>25209.309625401154</v>
      </c>
      <c r="AM28" s="38">
        <f>'BAU Data'!AM14</f>
        <v>25209.309625401154</v>
      </c>
      <c r="AN28" s="38">
        <f>'BAU Data'!AN14</f>
        <v>25209.309625401154</v>
      </c>
      <c r="AO28" s="38">
        <f>'BAU Data'!AO14</f>
        <v>26198.46029547846</v>
      </c>
      <c r="AP28" s="39">
        <f>'BAU Data'!AP14</f>
        <v>26198.46029547846</v>
      </c>
    </row>
    <row r="29" spans="1:42" ht="15.75" customHeight="1">
      <c r="A29" s="66"/>
      <c r="B29" s="12"/>
      <c r="C29" s="12"/>
      <c r="D29" s="12"/>
      <c r="E29" s="12"/>
      <c r="F29" s="12"/>
      <c r="G29" s="12"/>
      <c r="H29" s="12"/>
      <c r="I29" s="12"/>
      <c r="J29" s="12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42" ht="15.75" customHeight="1">
      <c r="A30" s="3" t="s">
        <v>66</v>
      </c>
      <c r="B30" s="3"/>
      <c r="C30" s="3"/>
      <c r="D30" s="3"/>
      <c r="E30" s="3"/>
      <c r="F30" s="3"/>
      <c r="G30" s="3"/>
      <c r="H30" s="3"/>
      <c r="I30" s="3"/>
      <c r="J30" s="3"/>
      <c r="K30" s="6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ht="15.75" customHeight="1">
      <c r="A31" s="57" t="s">
        <v>4</v>
      </c>
      <c r="B31" s="23">
        <f>'BAU Data'!B6</f>
        <v>8261.9</v>
      </c>
      <c r="C31" s="23">
        <f>'BAU Data'!C6</f>
        <v>8092.7</v>
      </c>
      <c r="D31" s="23">
        <f>'BAU Data'!D6</f>
        <v>7895.3</v>
      </c>
      <c r="E31" s="23">
        <f>'BAU Data'!E6</f>
        <v>9424.6</v>
      </c>
      <c r="F31" s="23">
        <f>'BAU Data'!F6</f>
        <v>9347.7000000000007</v>
      </c>
      <c r="G31" s="23">
        <f>'BAU Data'!G6</f>
        <v>8348.5</v>
      </c>
      <c r="H31" s="23">
        <f>'BAU Data'!H6</f>
        <v>6962.6</v>
      </c>
      <c r="I31" s="83">
        <f>'BAU Data'!I6</f>
        <v>6845.1</v>
      </c>
      <c r="J31" s="83">
        <f>'BAU Data'!J6</f>
        <v>7690.1</v>
      </c>
      <c r="K31" s="26">
        <f>'BAU Data'!K6</f>
        <v>7502</v>
      </c>
      <c r="L31" s="25">
        <f t="shared" ref="L31:AP31" si="30">(L75*$B$87*$B$89)-L43</f>
        <v>6779</v>
      </c>
      <c r="M31" s="25">
        <f t="shared" si="30"/>
        <v>6753.2090321784372</v>
      </c>
      <c r="N31" s="25">
        <f t="shared" si="30"/>
        <v>6753.2090321784372</v>
      </c>
      <c r="O31" s="25">
        <f t="shared" si="30"/>
        <v>6753.2090321784372</v>
      </c>
      <c r="P31" s="25">
        <f t="shared" si="30"/>
        <v>6986.3834173571149</v>
      </c>
      <c r="Q31" s="25">
        <f t="shared" si="30"/>
        <v>6986.3834173571149</v>
      </c>
      <c r="R31" s="25">
        <f t="shared" si="30"/>
        <v>6986.3834173571149</v>
      </c>
      <c r="S31" s="25">
        <f t="shared" si="30"/>
        <v>6761.242427068797</v>
      </c>
      <c r="T31" s="25">
        <f t="shared" si="30"/>
        <v>222.58738410814476</v>
      </c>
      <c r="U31" s="25">
        <f t="shared" si="30"/>
        <v>222.58738410814476</v>
      </c>
      <c r="V31" s="25">
        <f t="shared" si="30"/>
        <v>223.19188158270936</v>
      </c>
      <c r="W31" s="25">
        <f t="shared" si="30"/>
        <v>222.77798925393199</v>
      </c>
      <c r="X31" s="25">
        <f t="shared" si="30"/>
        <v>223.23620563503027</v>
      </c>
      <c r="Y31" s="25">
        <f t="shared" si="30"/>
        <v>223.23620563503027</v>
      </c>
      <c r="Z31" s="25">
        <f t="shared" si="30"/>
        <v>223.15634780256732</v>
      </c>
      <c r="AA31" s="25">
        <f t="shared" si="30"/>
        <v>223.41946297140294</v>
      </c>
      <c r="AB31" s="25">
        <f t="shared" si="30"/>
        <v>222.68257814023946</v>
      </c>
      <c r="AC31" s="25">
        <f t="shared" si="30"/>
        <v>222.57105124823556</v>
      </c>
      <c r="AD31" s="25">
        <f t="shared" si="30"/>
        <v>222.57105124823556</v>
      </c>
      <c r="AE31" s="25">
        <f t="shared" si="30"/>
        <v>222.57105124823556</v>
      </c>
      <c r="AF31" s="25">
        <f t="shared" si="30"/>
        <v>223.48864956321449</v>
      </c>
      <c r="AG31" s="25">
        <f t="shared" si="30"/>
        <v>223.48864956321449</v>
      </c>
      <c r="AH31" s="25">
        <f t="shared" si="30"/>
        <v>223.48864956321449</v>
      </c>
      <c r="AI31" s="25">
        <f t="shared" si="30"/>
        <v>223.48864956321449</v>
      </c>
      <c r="AJ31" s="25">
        <f t="shared" si="30"/>
        <v>223.48864956321449</v>
      </c>
      <c r="AK31" s="25">
        <f t="shared" si="30"/>
        <v>223.02483825483978</v>
      </c>
      <c r="AL31" s="25">
        <f t="shared" si="30"/>
        <v>223.02483825483978</v>
      </c>
      <c r="AM31" s="25">
        <f t="shared" si="30"/>
        <v>223.02483825483978</v>
      </c>
      <c r="AN31" s="25">
        <f t="shared" si="30"/>
        <v>223.02483825483978</v>
      </c>
      <c r="AO31" s="25">
        <f t="shared" si="30"/>
        <v>223.34571854886417</v>
      </c>
      <c r="AP31" s="27">
        <f t="shared" si="30"/>
        <v>223.34571854886417</v>
      </c>
    </row>
    <row r="32" spans="1:42">
      <c r="A32" s="80" t="s">
        <v>5</v>
      </c>
      <c r="B32" s="77">
        <f>'BAU Data'!B7</f>
        <v>127.5</v>
      </c>
      <c r="C32" s="77">
        <f>'BAU Data'!C7</f>
        <v>178.6</v>
      </c>
      <c r="D32" s="77">
        <f>'BAU Data'!D7</f>
        <v>236.7</v>
      </c>
      <c r="E32" s="77">
        <f>'BAU Data'!E7</f>
        <v>256.8</v>
      </c>
      <c r="F32" s="77">
        <f>'BAU Data'!F7</f>
        <v>256</v>
      </c>
      <c r="G32" s="77">
        <f>'BAU Data'!G7</f>
        <v>274.2</v>
      </c>
      <c r="H32" s="77">
        <f>'BAU Data'!H7</f>
        <v>253.9</v>
      </c>
      <c r="I32" s="77">
        <f>'BAU Data'!I7</f>
        <v>122.3</v>
      </c>
      <c r="J32" s="77">
        <f>'BAU Data'!J7</f>
        <v>130.30000000000001</v>
      </c>
      <c r="K32" s="79">
        <f>'BAU Data'!K7</f>
        <v>126.6</v>
      </c>
      <c r="L32" s="77">
        <f t="shared" ref="L32:M32" si="31">L65*$B$92</f>
        <v>126.59999999999998</v>
      </c>
      <c r="M32" s="77">
        <f t="shared" si="31"/>
        <v>127.21726107705717</v>
      </c>
      <c r="N32" s="77">
        <f t="shared" ref="N32:AP32" si="32">N65*$B$92*(0.98)</f>
        <v>124.67291585551602</v>
      </c>
      <c r="O32" s="77">
        <f t="shared" si="32"/>
        <v>124.67291585551602</v>
      </c>
      <c r="P32" s="77">
        <f t="shared" si="32"/>
        <v>130.30871524274056</v>
      </c>
      <c r="Q32" s="77">
        <f t="shared" si="32"/>
        <v>130.30871524274056</v>
      </c>
      <c r="R32" s="77">
        <f t="shared" si="32"/>
        <v>130.30871524274056</v>
      </c>
      <c r="S32" s="77">
        <f t="shared" si="32"/>
        <v>127.22203127066068</v>
      </c>
      <c r="T32" s="77">
        <f t="shared" si="32"/>
        <v>135.70940400078788</v>
      </c>
      <c r="U32" s="77">
        <f t="shared" si="32"/>
        <v>135.70940400078788</v>
      </c>
      <c r="V32" s="77">
        <f t="shared" si="32"/>
        <v>137.01198947633247</v>
      </c>
      <c r="W32" s="77">
        <f t="shared" si="32"/>
        <v>138.78640931917954</v>
      </c>
      <c r="X32" s="77">
        <f t="shared" si="32"/>
        <v>144.74386263064383</v>
      </c>
      <c r="Y32" s="77">
        <f t="shared" si="32"/>
        <v>144.74386263064383</v>
      </c>
      <c r="Z32" s="77">
        <f t="shared" si="32"/>
        <v>139.47980420049572</v>
      </c>
      <c r="AA32" s="77">
        <f t="shared" si="32"/>
        <v>141.58894415006171</v>
      </c>
      <c r="AB32" s="77">
        <f t="shared" si="32"/>
        <v>143.69808409962766</v>
      </c>
      <c r="AC32" s="77">
        <f t="shared" si="32"/>
        <v>144.90388303828968</v>
      </c>
      <c r="AD32" s="77">
        <f t="shared" si="32"/>
        <v>144.90388303828968</v>
      </c>
      <c r="AE32" s="77">
        <f t="shared" si="32"/>
        <v>144.90388303828968</v>
      </c>
      <c r="AF32" s="77">
        <f t="shared" si="32"/>
        <v>146.1305717378288</v>
      </c>
      <c r="AG32" s="77">
        <f t="shared" si="32"/>
        <v>146.1305717378288</v>
      </c>
      <c r="AH32" s="77">
        <f t="shared" si="32"/>
        <v>146.1305717378288</v>
      </c>
      <c r="AI32" s="77">
        <f t="shared" si="32"/>
        <v>146.1305717378288</v>
      </c>
      <c r="AJ32" s="77">
        <f t="shared" si="32"/>
        <v>146.1305717378288</v>
      </c>
      <c r="AK32" s="77">
        <f t="shared" si="32"/>
        <v>150.56662134494653</v>
      </c>
      <c r="AL32" s="77">
        <f t="shared" si="32"/>
        <v>150.56662134494653</v>
      </c>
      <c r="AM32" s="77">
        <f t="shared" si="32"/>
        <v>150.56662134494653</v>
      </c>
      <c r="AN32" s="77">
        <f t="shared" si="32"/>
        <v>150.56662134494653</v>
      </c>
      <c r="AO32" s="77">
        <f t="shared" si="32"/>
        <v>157.58364526893274</v>
      </c>
      <c r="AP32" s="81">
        <f t="shared" si="32"/>
        <v>157.58364526893274</v>
      </c>
    </row>
    <row r="33" spans="1:42">
      <c r="A33" s="80" t="s">
        <v>6</v>
      </c>
      <c r="B33" s="77">
        <f>'BAU Data'!B8</f>
        <v>160</v>
      </c>
      <c r="C33" s="77">
        <f>'BAU Data'!C8</f>
        <v>160</v>
      </c>
      <c r="D33" s="77">
        <f>'BAU Data'!D8</f>
        <v>160</v>
      </c>
      <c r="E33" s="77">
        <f>'BAU Data'!E8</f>
        <v>160</v>
      </c>
      <c r="F33" s="77">
        <f>'BAU Data'!F8</f>
        <v>160</v>
      </c>
      <c r="G33" s="77">
        <f>'BAU Data'!G8</f>
        <v>160</v>
      </c>
      <c r="H33" s="77">
        <f>'BAU Data'!H8</f>
        <v>160</v>
      </c>
      <c r="I33" s="77">
        <f>'BAU Data'!I8</f>
        <v>160</v>
      </c>
      <c r="J33" s="77">
        <f>'BAU Data'!J8</f>
        <v>160</v>
      </c>
      <c r="K33" s="79">
        <f>'BAU Data'!K8</f>
        <v>160</v>
      </c>
      <c r="L33" s="77">
        <f t="shared" ref="L33:AP33" si="33">L65*$B$93</f>
        <v>160</v>
      </c>
      <c r="M33" s="77">
        <f t="shared" si="33"/>
        <v>160.78010878617025</v>
      </c>
      <c r="N33" s="77">
        <f t="shared" si="33"/>
        <v>160.78010878617025</v>
      </c>
      <c r="O33" s="77">
        <f t="shared" si="33"/>
        <v>160.78010878617025</v>
      </c>
      <c r="P33" s="77">
        <f t="shared" si="33"/>
        <v>168.04812231065623</v>
      </c>
      <c r="Q33" s="77">
        <f t="shared" si="33"/>
        <v>168.04812231065623</v>
      </c>
      <c r="R33" s="77">
        <f t="shared" si="33"/>
        <v>168.04812231065623</v>
      </c>
      <c r="S33" s="77">
        <f t="shared" si="33"/>
        <v>164.06748721109159</v>
      </c>
      <c r="T33" s="77">
        <f t="shared" si="33"/>
        <v>175.01293355358405</v>
      </c>
      <c r="U33" s="77">
        <f t="shared" si="33"/>
        <v>175.01293355358405</v>
      </c>
      <c r="V33" s="77">
        <f t="shared" si="33"/>
        <v>176.69276780647061</v>
      </c>
      <c r="W33" s="77">
        <f t="shared" si="33"/>
        <v>178.98108691256996</v>
      </c>
      <c r="X33" s="77">
        <f t="shared" si="33"/>
        <v>186.66391028228887</v>
      </c>
      <c r="Y33" s="77">
        <f t="shared" si="33"/>
        <v>186.66391028228887</v>
      </c>
      <c r="Z33" s="77">
        <f t="shared" si="33"/>
        <v>179.8752996105307</v>
      </c>
      <c r="AA33" s="77">
        <f t="shared" si="33"/>
        <v>182.59527891164424</v>
      </c>
      <c r="AB33" s="77">
        <f t="shared" si="33"/>
        <v>185.31525821275778</v>
      </c>
      <c r="AC33" s="77">
        <f t="shared" si="33"/>
        <v>186.87027505985711</v>
      </c>
      <c r="AD33" s="77">
        <f t="shared" si="33"/>
        <v>186.87027505985711</v>
      </c>
      <c r="AE33" s="77">
        <f t="shared" si="33"/>
        <v>186.87027505985711</v>
      </c>
      <c r="AF33" s="77">
        <f t="shared" si="33"/>
        <v>188.4522316637055</v>
      </c>
      <c r="AG33" s="77">
        <f t="shared" si="33"/>
        <v>188.4522316637055</v>
      </c>
      <c r="AH33" s="77">
        <f t="shared" si="33"/>
        <v>188.4522316637055</v>
      </c>
      <c r="AI33" s="77">
        <f t="shared" si="33"/>
        <v>188.4522316637055</v>
      </c>
      <c r="AJ33" s="77">
        <f t="shared" si="33"/>
        <v>188.4522316637055</v>
      </c>
      <c r="AK33" s="77">
        <f t="shared" si="33"/>
        <v>194.17302942895387</v>
      </c>
      <c r="AL33" s="77">
        <f t="shared" si="33"/>
        <v>194.17302942895387</v>
      </c>
      <c r="AM33" s="77">
        <f t="shared" si="33"/>
        <v>194.17302942895387</v>
      </c>
      <c r="AN33" s="77">
        <f t="shared" si="33"/>
        <v>194.17302942895387</v>
      </c>
      <c r="AO33" s="77">
        <f t="shared" si="33"/>
        <v>203.22229134852856</v>
      </c>
      <c r="AP33" s="81">
        <f t="shared" si="33"/>
        <v>203.22229134852856</v>
      </c>
    </row>
    <row r="34" spans="1:42">
      <c r="A34" s="75" t="s">
        <v>67</v>
      </c>
      <c r="B34" s="18">
        <f>'BAU Data'!B9</f>
        <v>295</v>
      </c>
      <c r="C34" s="18">
        <f>'BAU Data'!C9</f>
        <v>346.1</v>
      </c>
      <c r="D34" s="18">
        <f>'BAU Data'!D9</f>
        <v>404.2</v>
      </c>
      <c r="E34" s="18">
        <f>'BAU Data'!E9</f>
        <v>424.3</v>
      </c>
      <c r="F34" s="18">
        <f>'BAU Data'!F9</f>
        <v>423.5</v>
      </c>
      <c r="G34" s="18">
        <f>'BAU Data'!G9</f>
        <v>441.7</v>
      </c>
      <c r="H34" s="18">
        <f>'BAU Data'!H9</f>
        <v>421.4</v>
      </c>
      <c r="I34" s="18">
        <f>'BAU Data'!I9</f>
        <v>289.8</v>
      </c>
      <c r="J34" s="18">
        <f>'BAU Data'!J9</f>
        <v>297.8</v>
      </c>
      <c r="K34" s="19">
        <f>'BAU Data'!K9</f>
        <v>294.10000000000002</v>
      </c>
      <c r="L34" s="18">
        <v>7.5</v>
      </c>
      <c r="M34" s="18">
        <v>7.5</v>
      </c>
      <c r="N34" s="18">
        <v>7.5</v>
      </c>
      <c r="O34" s="18">
        <v>7.5</v>
      </c>
      <c r="P34" s="18">
        <v>7.5</v>
      </c>
      <c r="Q34" s="18">
        <v>7.5</v>
      </c>
      <c r="R34" s="18">
        <v>7.5</v>
      </c>
      <c r="S34" s="18">
        <v>7.5</v>
      </c>
      <c r="T34" s="18">
        <v>7.5</v>
      </c>
      <c r="U34" s="18">
        <v>7.5</v>
      </c>
      <c r="V34" s="18">
        <v>7.5</v>
      </c>
      <c r="W34" s="18">
        <v>7.5</v>
      </c>
      <c r="X34" s="18">
        <v>7.5</v>
      </c>
      <c r="Y34" s="18">
        <v>7.5</v>
      </c>
      <c r="Z34" s="18">
        <v>7.5</v>
      </c>
      <c r="AA34" s="18">
        <v>7.5</v>
      </c>
      <c r="AB34" s="18">
        <v>7.5</v>
      </c>
      <c r="AC34" s="18">
        <v>7.5</v>
      </c>
      <c r="AD34" s="18">
        <v>7.5</v>
      </c>
      <c r="AE34" s="18">
        <v>7.5</v>
      </c>
      <c r="AF34" s="18">
        <v>7.5</v>
      </c>
      <c r="AG34" s="18">
        <v>7.5</v>
      </c>
      <c r="AH34" s="18">
        <v>7.5</v>
      </c>
      <c r="AI34" s="18">
        <v>7.5</v>
      </c>
      <c r="AJ34" s="18">
        <v>7.5</v>
      </c>
      <c r="AK34" s="18">
        <v>7.5</v>
      </c>
      <c r="AL34" s="18">
        <v>7.5</v>
      </c>
      <c r="AM34" s="18">
        <v>7.5</v>
      </c>
      <c r="AN34" s="18">
        <v>7.5</v>
      </c>
      <c r="AO34" s="18">
        <v>7.5</v>
      </c>
      <c r="AP34" s="78">
        <v>7.5</v>
      </c>
    </row>
    <row r="35" spans="1:42">
      <c r="A35" s="47" t="s">
        <v>8</v>
      </c>
      <c r="B35" s="12">
        <f>'BAU Data'!B10-B38</f>
        <v>8969.9</v>
      </c>
      <c r="C35" s="12">
        <f>'BAU Data'!C10-C38</f>
        <v>8673.7000000000007</v>
      </c>
      <c r="D35" s="12">
        <f>'BAU Data'!D10-D38</f>
        <v>8968.9</v>
      </c>
      <c r="E35" s="12">
        <f>'BAU Data'!E10-E38</f>
        <v>8916.7999999999993</v>
      </c>
      <c r="F35" s="12">
        <f>'BAU Data'!F10-F38</f>
        <v>8625.7999999999993</v>
      </c>
      <c r="G35" s="12">
        <f>'BAU Data'!G10-G38</f>
        <v>8817.2999999999993</v>
      </c>
      <c r="H35" s="12">
        <f>'BAU Data'!H10-H38</f>
        <v>8840.1</v>
      </c>
      <c r="I35" s="12">
        <f>'BAU Data'!I10-I38</f>
        <v>8040.8</v>
      </c>
      <c r="J35" s="12">
        <f>'BAU Data'!J10-J38</f>
        <v>8501.4</v>
      </c>
      <c r="K35" s="11">
        <f>'BAU Data'!K10-K38</f>
        <v>8569</v>
      </c>
      <c r="L35" s="12">
        <f t="shared" ref="L35:AP35" si="34">(L75*$B$88*$B$90)-L46</f>
        <v>83</v>
      </c>
      <c r="M35" s="12">
        <f t="shared" si="34"/>
        <v>82.540815347510943</v>
      </c>
      <c r="N35" s="12">
        <f t="shared" si="34"/>
        <v>82.540815347510943</v>
      </c>
      <c r="O35" s="12">
        <f t="shared" si="34"/>
        <v>82.540815347510943</v>
      </c>
      <c r="P35" s="12">
        <f t="shared" si="34"/>
        <v>82.879299297936086</v>
      </c>
      <c r="Q35" s="12">
        <f t="shared" si="34"/>
        <v>82.879299297936086</v>
      </c>
      <c r="R35" s="12">
        <f t="shared" si="34"/>
        <v>82.879299297936086</v>
      </c>
      <c r="S35" s="12">
        <f t="shared" si="34"/>
        <v>82.716789863039594</v>
      </c>
      <c r="T35" s="12">
        <f t="shared" si="34"/>
        <v>82.685589765753321</v>
      </c>
      <c r="U35" s="12">
        <f t="shared" si="34"/>
        <v>82.685589765753321</v>
      </c>
      <c r="V35" s="12">
        <f t="shared" si="34"/>
        <v>82.522691719839713</v>
      </c>
      <c r="W35" s="12">
        <f t="shared" si="34"/>
        <v>83.196559573039849</v>
      </c>
      <c r="X35" s="12">
        <f t="shared" si="34"/>
        <v>82.511736348516934</v>
      </c>
      <c r="Y35" s="12">
        <f t="shared" si="34"/>
        <v>82.511736348516934</v>
      </c>
      <c r="Z35" s="12">
        <f t="shared" si="34"/>
        <v>82.715241844867705</v>
      </c>
      <c r="AA35" s="12">
        <f t="shared" si="34"/>
        <v>83.389679845635328</v>
      </c>
      <c r="AB35" s="12">
        <f t="shared" si="34"/>
        <v>83.064117846402951</v>
      </c>
      <c r="AC35" s="12">
        <f t="shared" si="34"/>
        <v>83.048165575330131</v>
      </c>
      <c r="AD35" s="12">
        <f t="shared" si="34"/>
        <v>83.048165575330131</v>
      </c>
      <c r="AE35" s="12">
        <f t="shared" si="34"/>
        <v>83.048165575330131</v>
      </c>
      <c r="AF35" s="12">
        <f t="shared" si="34"/>
        <v>83.238501480564082</v>
      </c>
      <c r="AG35" s="12">
        <f t="shared" si="34"/>
        <v>83.238501480564082</v>
      </c>
      <c r="AH35" s="12">
        <f t="shared" si="34"/>
        <v>83.238501480564082</v>
      </c>
      <c r="AI35" s="12">
        <f t="shared" si="34"/>
        <v>83.238501480564082</v>
      </c>
      <c r="AJ35" s="12">
        <f t="shared" si="34"/>
        <v>83.238501480564082</v>
      </c>
      <c r="AK35" s="12">
        <f t="shared" si="34"/>
        <v>82.878810851203525</v>
      </c>
      <c r="AL35" s="12">
        <f t="shared" si="34"/>
        <v>82.878810851203525</v>
      </c>
      <c r="AM35" s="12">
        <f t="shared" si="34"/>
        <v>82.878810851203525</v>
      </c>
      <c r="AN35" s="12">
        <f t="shared" si="34"/>
        <v>82.878810851203525</v>
      </c>
      <c r="AO35" s="12">
        <f t="shared" si="34"/>
        <v>83.491663855666047</v>
      </c>
      <c r="AP35" s="30">
        <f t="shared" si="34"/>
        <v>83.491663855666047</v>
      </c>
    </row>
    <row r="36" spans="1:42">
      <c r="A36" s="71" t="s">
        <v>9</v>
      </c>
      <c r="B36" s="72">
        <f>'BAU Data'!B11</f>
        <v>1000</v>
      </c>
      <c r="C36" s="72">
        <f>'BAU Data'!C11</f>
        <v>1000</v>
      </c>
      <c r="D36" s="72">
        <f>'BAU Data'!D11</f>
        <v>1000</v>
      </c>
      <c r="E36" s="72">
        <f>'BAU Data'!E11</f>
        <v>1000</v>
      </c>
      <c r="F36" s="72">
        <f>'BAU Data'!F11</f>
        <v>1000</v>
      </c>
      <c r="G36" s="72">
        <f>'BAU Data'!G11</f>
        <v>1000</v>
      </c>
      <c r="H36" s="72">
        <f>'BAU Data'!H11</f>
        <v>1000</v>
      </c>
      <c r="I36" s="72">
        <f>'BAU Data'!I11</f>
        <v>1000</v>
      </c>
      <c r="J36" s="72">
        <f>'BAU Data'!J11</f>
        <v>1000</v>
      </c>
      <c r="K36" s="73">
        <f>'BAU Data'!K11</f>
        <v>1022.5</v>
      </c>
      <c r="L36" s="72">
        <v>1022.5</v>
      </c>
      <c r="M36" s="72">
        <f t="shared" ref="M36:AP36" si="35">L36</f>
        <v>1022.5</v>
      </c>
      <c r="N36" s="72">
        <f t="shared" si="35"/>
        <v>1022.5</v>
      </c>
      <c r="O36" s="72">
        <f t="shared" si="35"/>
        <v>1022.5</v>
      </c>
      <c r="P36" s="72">
        <f t="shared" si="35"/>
        <v>1022.5</v>
      </c>
      <c r="Q36" s="72">
        <f t="shared" si="35"/>
        <v>1022.5</v>
      </c>
      <c r="R36" s="72">
        <f t="shared" si="35"/>
        <v>1022.5</v>
      </c>
      <c r="S36" s="72">
        <f t="shared" si="35"/>
        <v>1022.5</v>
      </c>
      <c r="T36" s="72">
        <f t="shared" si="35"/>
        <v>1022.5</v>
      </c>
      <c r="U36" s="72">
        <f t="shared" si="35"/>
        <v>1022.5</v>
      </c>
      <c r="V36" s="72">
        <f t="shared" si="35"/>
        <v>1022.5</v>
      </c>
      <c r="W36" s="72">
        <f t="shared" si="35"/>
        <v>1022.5</v>
      </c>
      <c r="X36" s="72">
        <f t="shared" si="35"/>
        <v>1022.5</v>
      </c>
      <c r="Y36" s="72">
        <f t="shared" si="35"/>
        <v>1022.5</v>
      </c>
      <c r="Z36" s="72">
        <f t="shared" si="35"/>
        <v>1022.5</v>
      </c>
      <c r="AA36" s="72">
        <f t="shared" si="35"/>
        <v>1022.5</v>
      </c>
      <c r="AB36" s="72">
        <f t="shared" si="35"/>
        <v>1022.5</v>
      </c>
      <c r="AC36" s="72">
        <f t="shared" si="35"/>
        <v>1022.5</v>
      </c>
      <c r="AD36" s="72">
        <f t="shared" si="35"/>
        <v>1022.5</v>
      </c>
      <c r="AE36" s="72">
        <f t="shared" si="35"/>
        <v>1022.5</v>
      </c>
      <c r="AF36" s="72">
        <f t="shared" si="35"/>
        <v>1022.5</v>
      </c>
      <c r="AG36" s="72">
        <f t="shared" si="35"/>
        <v>1022.5</v>
      </c>
      <c r="AH36" s="72">
        <f t="shared" si="35"/>
        <v>1022.5</v>
      </c>
      <c r="AI36" s="72">
        <f t="shared" si="35"/>
        <v>1022.5</v>
      </c>
      <c r="AJ36" s="72">
        <f t="shared" si="35"/>
        <v>1022.5</v>
      </c>
      <c r="AK36" s="72">
        <f t="shared" si="35"/>
        <v>1022.5</v>
      </c>
      <c r="AL36" s="72">
        <f t="shared" si="35"/>
        <v>1022.5</v>
      </c>
      <c r="AM36" s="72">
        <f t="shared" si="35"/>
        <v>1022.5</v>
      </c>
      <c r="AN36" s="72">
        <f t="shared" si="35"/>
        <v>1022.5</v>
      </c>
      <c r="AO36" s="72">
        <f t="shared" si="35"/>
        <v>1022.5</v>
      </c>
      <c r="AP36" s="74">
        <f t="shared" si="35"/>
        <v>1022.5</v>
      </c>
    </row>
    <row r="37" spans="1:42">
      <c r="A37" s="80" t="s">
        <v>68</v>
      </c>
      <c r="B37" s="77">
        <f>'BAU Data'!B12</f>
        <v>727.9</v>
      </c>
      <c r="C37" s="77">
        <f>'BAU Data'!C12</f>
        <v>720.2</v>
      </c>
      <c r="D37" s="77">
        <f>'BAU Data'!D12</f>
        <v>725.5</v>
      </c>
      <c r="E37" s="77">
        <f>'BAU Data'!E12</f>
        <v>715.6</v>
      </c>
      <c r="F37" s="77">
        <f>'BAU Data'!F12</f>
        <v>723</v>
      </c>
      <c r="G37" s="77">
        <f>'BAU Data'!G12</f>
        <v>713.2</v>
      </c>
      <c r="H37" s="77">
        <f>'BAU Data'!H12</f>
        <v>729.6</v>
      </c>
      <c r="I37" s="77">
        <f>'BAU Data'!I12</f>
        <v>754</v>
      </c>
      <c r="J37" s="77">
        <f>'BAU Data'!J12</f>
        <v>725.6</v>
      </c>
      <c r="K37" s="79">
        <f>'BAU Data'!K12</f>
        <v>725.6</v>
      </c>
      <c r="L37" s="77">
        <v>725.6</v>
      </c>
      <c r="M37" s="77">
        <v>725.6</v>
      </c>
      <c r="N37" s="77">
        <v>725.6</v>
      </c>
      <c r="O37" s="77">
        <v>725.6</v>
      </c>
      <c r="P37" s="77">
        <v>725.6</v>
      </c>
      <c r="Q37" s="77">
        <v>725.6</v>
      </c>
      <c r="R37" s="77">
        <v>725.6</v>
      </c>
      <c r="S37" s="77">
        <v>725.6</v>
      </c>
      <c r="T37" s="77">
        <v>725.6</v>
      </c>
      <c r="U37" s="77">
        <v>725.6</v>
      </c>
      <c r="V37" s="77">
        <v>725.6</v>
      </c>
      <c r="W37" s="77">
        <v>725.6</v>
      </c>
      <c r="X37" s="77">
        <v>725.6</v>
      </c>
      <c r="Y37" s="77">
        <v>725.6</v>
      </c>
      <c r="Z37" s="77">
        <v>725.6</v>
      </c>
      <c r="AA37" s="77">
        <v>725.6</v>
      </c>
      <c r="AB37" s="77">
        <v>725.6</v>
      </c>
      <c r="AC37" s="77">
        <v>725.6</v>
      </c>
      <c r="AD37" s="77">
        <v>725.6</v>
      </c>
      <c r="AE37" s="77">
        <v>725.6</v>
      </c>
      <c r="AF37" s="77">
        <v>725.6</v>
      </c>
      <c r="AG37" s="77">
        <v>725.6</v>
      </c>
      <c r="AH37" s="77">
        <v>725.6</v>
      </c>
      <c r="AI37" s="77">
        <v>725.6</v>
      </c>
      <c r="AJ37" s="77">
        <v>725.6</v>
      </c>
      <c r="AK37" s="77">
        <v>725.6</v>
      </c>
      <c r="AL37" s="77">
        <v>725.6</v>
      </c>
      <c r="AM37" s="77">
        <v>725.6</v>
      </c>
      <c r="AN37" s="77">
        <v>725.6</v>
      </c>
      <c r="AO37" s="77">
        <v>725.6</v>
      </c>
      <c r="AP37" s="81">
        <v>725.6</v>
      </c>
    </row>
    <row r="38" spans="1:42">
      <c r="A38" s="47" t="s">
        <v>56</v>
      </c>
      <c r="B38" s="2">
        <v>887.1</v>
      </c>
      <c r="C38" s="2">
        <v>857.8</v>
      </c>
      <c r="D38" s="2">
        <v>887</v>
      </c>
      <c r="E38" s="2">
        <v>881.9</v>
      </c>
      <c r="F38" s="2">
        <v>853.1</v>
      </c>
      <c r="G38" s="2">
        <v>872</v>
      </c>
      <c r="H38" s="2">
        <v>874.3</v>
      </c>
      <c r="I38" s="2">
        <v>795.2</v>
      </c>
      <c r="J38" s="2">
        <v>840.8</v>
      </c>
      <c r="K38" s="20">
        <v>847.6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32"/>
    </row>
    <row r="39" spans="1:42" ht="15.75" customHeight="1">
      <c r="A39" s="84" t="s">
        <v>11</v>
      </c>
      <c r="B39" s="85">
        <f t="shared" ref="B39:AP39" si="36">SUM(B31:B37)</f>
        <v>19542.2</v>
      </c>
      <c r="C39" s="85">
        <f t="shared" si="36"/>
        <v>19171.3</v>
      </c>
      <c r="D39" s="85">
        <f t="shared" si="36"/>
        <v>19390.599999999999</v>
      </c>
      <c r="E39" s="85">
        <f t="shared" si="36"/>
        <v>20898.099999999999</v>
      </c>
      <c r="F39" s="85">
        <f t="shared" si="36"/>
        <v>20536</v>
      </c>
      <c r="G39" s="85">
        <f t="shared" si="36"/>
        <v>19754.900000000001</v>
      </c>
      <c r="H39" s="85">
        <f t="shared" si="36"/>
        <v>18367.599999999999</v>
      </c>
      <c r="I39" s="85">
        <f t="shared" si="36"/>
        <v>17212</v>
      </c>
      <c r="J39" s="85">
        <f t="shared" si="36"/>
        <v>18505.199999999997</v>
      </c>
      <c r="K39" s="86">
        <f t="shared" si="36"/>
        <v>18399.8</v>
      </c>
      <c r="L39" s="85">
        <f t="shared" si="36"/>
        <v>8904.2000000000007</v>
      </c>
      <c r="M39" s="85">
        <f t="shared" si="36"/>
        <v>8879.3472173891751</v>
      </c>
      <c r="N39" s="85">
        <f t="shared" si="36"/>
        <v>8876.8028721676346</v>
      </c>
      <c r="O39" s="85">
        <f t="shared" si="36"/>
        <v>8876.8028721676346</v>
      </c>
      <c r="P39" s="85">
        <f t="shared" si="36"/>
        <v>9123.2195542084482</v>
      </c>
      <c r="Q39" s="85">
        <f t="shared" si="36"/>
        <v>9123.2195542084482</v>
      </c>
      <c r="R39" s="85">
        <f t="shared" si="36"/>
        <v>9123.2195542084482</v>
      </c>
      <c r="S39" s="85">
        <f t="shared" si="36"/>
        <v>8890.8487354135887</v>
      </c>
      <c r="T39" s="85">
        <f t="shared" si="36"/>
        <v>2371.5953114282702</v>
      </c>
      <c r="U39" s="85">
        <f t="shared" si="36"/>
        <v>2371.5953114282702</v>
      </c>
      <c r="V39" s="85">
        <f t="shared" si="36"/>
        <v>2375.0193305853522</v>
      </c>
      <c r="W39" s="85">
        <f t="shared" si="36"/>
        <v>2379.3420450587214</v>
      </c>
      <c r="X39" s="85">
        <f t="shared" si="36"/>
        <v>2392.7557148964797</v>
      </c>
      <c r="Y39" s="85">
        <f t="shared" si="36"/>
        <v>2392.7557148964797</v>
      </c>
      <c r="Z39" s="85">
        <f t="shared" si="36"/>
        <v>2380.8266934584612</v>
      </c>
      <c r="AA39" s="85">
        <f t="shared" si="36"/>
        <v>2386.5933658787444</v>
      </c>
      <c r="AB39" s="85">
        <f t="shared" si="36"/>
        <v>2390.360038299028</v>
      </c>
      <c r="AC39" s="85">
        <f t="shared" si="36"/>
        <v>2392.9933749217125</v>
      </c>
      <c r="AD39" s="85">
        <f t="shared" si="36"/>
        <v>2392.9933749217125</v>
      </c>
      <c r="AE39" s="85">
        <f t="shared" si="36"/>
        <v>2392.9933749217125</v>
      </c>
      <c r="AF39" s="85">
        <f t="shared" si="36"/>
        <v>2396.9099544453129</v>
      </c>
      <c r="AG39" s="85">
        <f t="shared" si="36"/>
        <v>2396.9099544453129</v>
      </c>
      <c r="AH39" s="85">
        <f t="shared" si="36"/>
        <v>2396.9099544453129</v>
      </c>
      <c r="AI39" s="85">
        <f t="shared" si="36"/>
        <v>2396.9099544453129</v>
      </c>
      <c r="AJ39" s="85">
        <f t="shared" si="36"/>
        <v>2396.9099544453129</v>
      </c>
      <c r="AK39" s="85">
        <f t="shared" si="36"/>
        <v>2406.2432998799436</v>
      </c>
      <c r="AL39" s="85">
        <f t="shared" si="36"/>
        <v>2406.2432998799436</v>
      </c>
      <c r="AM39" s="85">
        <f t="shared" si="36"/>
        <v>2406.2432998799436</v>
      </c>
      <c r="AN39" s="85">
        <f t="shared" si="36"/>
        <v>2406.2432998799436</v>
      </c>
      <c r="AO39" s="85">
        <f t="shared" si="36"/>
        <v>2423.2433190219913</v>
      </c>
      <c r="AP39" s="87">
        <f t="shared" si="36"/>
        <v>2423.2433190219913</v>
      </c>
    </row>
    <row r="40" spans="1:42" ht="15.75" customHeight="1">
      <c r="A40" s="66"/>
      <c r="B40" s="66"/>
      <c r="C40" s="66"/>
      <c r="D40" s="66"/>
      <c r="E40" s="66"/>
      <c r="F40" s="66"/>
      <c r="G40" s="66"/>
      <c r="H40" s="66"/>
      <c r="I40" s="66"/>
      <c r="J40" s="2"/>
      <c r="K40" s="2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</row>
    <row r="41" spans="1:42" ht="15.75" customHeight="1">
      <c r="A41" s="3" t="s">
        <v>69</v>
      </c>
      <c r="B41" s="66"/>
      <c r="C41" s="66"/>
      <c r="D41" s="66"/>
      <c r="E41" s="66"/>
      <c r="F41" s="66"/>
      <c r="G41" s="66"/>
      <c r="H41" s="66"/>
      <c r="I41" s="66"/>
      <c r="J41" s="2"/>
      <c r="K41" s="2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</row>
    <row r="42" spans="1:42" ht="15.75" customHeight="1">
      <c r="A42" s="57" t="s">
        <v>70</v>
      </c>
      <c r="B42" s="23"/>
      <c r="C42" s="23"/>
      <c r="D42" s="23"/>
      <c r="E42" s="23"/>
      <c r="F42" s="23"/>
      <c r="G42" s="23"/>
      <c r="H42" s="23"/>
      <c r="I42" s="23"/>
      <c r="J42" s="23"/>
      <c r="K42" s="23">
        <f>'Mitigation Data Scenario 3 '!K29</f>
        <v>0</v>
      </c>
      <c r="L42" s="25">
        <f>'Mitigation Data Scenario 3 '!L29</f>
        <v>723</v>
      </c>
      <c r="M42" s="25">
        <f>'Mitigation Data Scenario 3 '!M29</f>
        <v>0</v>
      </c>
      <c r="N42" s="25">
        <f>'Mitigation Data Scenario 3 '!N29</f>
        <v>0</v>
      </c>
      <c r="O42" s="25">
        <f>'Mitigation Data Scenario 3 '!O29</f>
        <v>0</v>
      </c>
      <c r="P42" s="25">
        <f>'Mitigation Data Scenario 3 '!P29</f>
        <v>0</v>
      </c>
      <c r="Q42" s="25">
        <f>'Mitigation Data Scenario 3 '!Q29</f>
        <v>0</v>
      </c>
      <c r="R42" s="25">
        <f>'Mitigation Data Scenario 3 '!R29</f>
        <v>0</v>
      </c>
      <c r="S42" s="25">
        <f>'Mitigation Data Scenario 3 '!S29</f>
        <v>0</v>
      </c>
      <c r="T42" s="25">
        <f>'Mitigation Data Scenario 3 '!T29</f>
        <v>6761</v>
      </c>
      <c r="U42" s="25">
        <f>'Mitigation Data Scenario 3 '!U29</f>
        <v>0</v>
      </c>
      <c r="V42" s="25">
        <f>'Mitigation Data Scenario 3 '!V29</f>
        <v>-6</v>
      </c>
      <c r="W42" s="25">
        <f>'Mitigation Data Scenario 3 '!W29</f>
        <v>-6</v>
      </c>
      <c r="X42" s="25">
        <f>'Mitigation Data Scenario 3 '!X29</f>
        <v>104</v>
      </c>
      <c r="Y42" s="25">
        <f>'Mitigation Data Scenario 3 '!Y29</f>
        <v>0</v>
      </c>
      <c r="Z42" s="25">
        <f>'Mitigation Data Scenario 3 '!Z29</f>
        <v>-469</v>
      </c>
      <c r="AA42" s="25">
        <f>'Mitigation Data Scenario 3 '!AA29</f>
        <v>87</v>
      </c>
      <c r="AB42" s="25">
        <f>'Mitigation Data Scenario 3 '!AB29</f>
        <v>88</v>
      </c>
      <c r="AC42" s="25">
        <f>'Mitigation Data Scenario 3 '!AC29</f>
        <v>50</v>
      </c>
      <c r="AD42" s="25">
        <f>'Mitigation Data Scenario 3 '!AD29</f>
        <v>0</v>
      </c>
      <c r="AE42" s="25">
        <f>'Mitigation Data Scenario 3 '!AE29</f>
        <v>0</v>
      </c>
      <c r="AF42" s="25">
        <f>'Mitigation Data Scenario 3 '!AF29</f>
        <v>1</v>
      </c>
      <c r="AG42" s="25">
        <f>'Mitigation Data Scenario 3 '!AG29</f>
        <v>0</v>
      </c>
      <c r="AH42" s="25">
        <f>'Mitigation Data Scenario 3 '!AH29</f>
        <v>0</v>
      </c>
      <c r="AI42" s="25">
        <f>'Mitigation Data Scenario 3 '!AI29</f>
        <v>0</v>
      </c>
      <c r="AJ42" s="25">
        <f>'Mitigation Data Scenario 3 '!AJ29</f>
        <v>0</v>
      </c>
      <c r="AK42" s="25">
        <f>'Mitigation Data Scenario 3 '!AK29</f>
        <v>184</v>
      </c>
      <c r="AL42" s="25">
        <f>'Mitigation Data Scenario 3 '!AL29</f>
        <v>0</v>
      </c>
      <c r="AM42" s="25">
        <f>'Mitigation Data Scenario 3 '!AM29</f>
        <v>0</v>
      </c>
      <c r="AN42" s="25">
        <f>'Mitigation Data Scenario 3 '!AN29</f>
        <v>0</v>
      </c>
      <c r="AO42" s="25">
        <f>'Mitigation Data Scenario 3 '!AO29</f>
        <v>290</v>
      </c>
      <c r="AP42" s="27">
        <f>'Mitigation Data Scenario 3 '!AP29</f>
        <v>0</v>
      </c>
    </row>
    <row r="43" spans="1:42">
      <c r="A43" s="47" t="s">
        <v>71</v>
      </c>
      <c r="B43" s="2"/>
      <c r="C43" s="2"/>
      <c r="D43" s="2"/>
      <c r="E43" s="2"/>
      <c r="F43" s="2"/>
      <c r="G43" s="2"/>
      <c r="H43" s="2"/>
      <c r="I43" s="2"/>
      <c r="J43" s="2"/>
      <c r="K43" s="2">
        <f>'Mitigation Data Scenario 3 '!K30</f>
        <v>0</v>
      </c>
      <c r="L43" s="12">
        <f>'Mitigation Data Scenario 3 '!L30</f>
        <v>723</v>
      </c>
      <c r="M43" s="12">
        <f>'Mitigation Data Scenario 3 '!M30</f>
        <v>723</v>
      </c>
      <c r="N43" s="12">
        <f>'Mitigation Data Scenario 3 '!N30</f>
        <v>723</v>
      </c>
      <c r="O43" s="12">
        <f>'Mitigation Data Scenario 3 '!O30</f>
        <v>723</v>
      </c>
      <c r="P43" s="12">
        <f>'Mitigation Data Scenario 3 '!P30</f>
        <v>723</v>
      </c>
      <c r="Q43" s="12">
        <f>'Mitigation Data Scenario 3 '!Q30</f>
        <v>723</v>
      </c>
      <c r="R43" s="12">
        <f>'Mitigation Data Scenario 3 '!R30</f>
        <v>723</v>
      </c>
      <c r="S43" s="12">
        <f>'Mitigation Data Scenario 3 '!S30</f>
        <v>723</v>
      </c>
      <c r="T43" s="12">
        <f>'Mitigation Data Scenario 3 '!T30</f>
        <v>7484</v>
      </c>
      <c r="U43" s="12">
        <f>'Mitigation Data Scenario 3 '!U30</f>
        <v>7484</v>
      </c>
      <c r="V43" s="12">
        <f>'Mitigation Data Scenario 3 '!V30</f>
        <v>7478</v>
      </c>
      <c r="W43" s="12">
        <f>'Mitigation Data Scenario 3 '!W30</f>
        <v>7472</v>
      </c>
      <c r="X43" s="12">
        <f>'Mitigation Data Scenario 3 '!X30</f>
        <v>7576</v>
      </c>
      <c r="Y43" s="12">
        <f>'Mitigation Data Scenario 3 '!Y30</f>
        <v>7576</v>
      </c>
      <c r="Z43" s="12">
        <f>'Mitigation Data Scenario 3 '!Z30</f>
        <v>7107</v>
      </c>
      <c r="AA43" s="12">
        <f>'Mitigation Data Scenario 3 '!AA30</f>
        <v>7194</v>
      </c>
      <c r="AB43" s="12">
        <f>'Mitigation Data Scenario 3 '!AB30</f>
        <v>7282</v>
      </c>
      <c r="AC43" s="12">
        <f>'Mitigation Data Scenario 3 '!AC30</f>
        <v>7332</v>
      </c>
      <c r="AD43" s="12">
        <f>'Mitigation Data Scenario 3 '!AD30</f>
        <v>7332</v>
      </c>
      <c r="AE43" s="12">
        <f>'Mitigation Data Scenario 3 '!AE30</f>
        <v>7332</v>
      </c>
      <c r="AF43" s="12">
        <f>'Mitigation Data Scenario 3 '!AF30</f>
        <v>7333</v>
      </c>
      <c r="AG43" s="12">
        <f>'Mitigation Data Scenario 3 '!AG30</f>
        <v>7333</v>
      </c>
      <c r="AH43" s="12">
        <f>'Mitigation Data Scenario 3 '!AH30</f>
        <v>7333</v>
      </c>
      <c r="AI43" s="12">
        <f>'Mitigation Data Scenario 3 '!AI30</f>
        <v>7333</v>
      </c>
      <c r="AJ43" s="12">
        <f>'Mitigation Data Scenario 3 '!AJ30</f>
        <v>7333</v>
      </c>
      <c r="AK43" s="12">
        <f>'Mitigation Data Scenario 3 '!AK30</f>
        <v>7517</v>
      </c>
      <c r="AL43" s="12">
        <f>'Mitigation Data Scenario 3 '!AL30</f>
        <v>7517</v>
      </c>
      <c r="AM43" s="12">
        <f>'Mitigation Data Scenario 3 '!AM30</f>
        <v>7517</v>
      </c>
      <c r="AN43" s="12">
        <f>'Mitigation Data Scenario 3 '!AN30</f>
        <v>7517</v>
      </c>
      <c r="AO43" s="12">
        <f>'Mitigation Data Scenario 3 '!AO30</f>
        <v>7807</v>
      </c>
      <c r="AP43" s="30">
        <f>'Mitigation Data Scenario 3 '!AP30</f>
        <v>7807</v>
      </c>
    </row>
    <row r="44" spans="1:42" ht="5.25" customHeight="1">
      <c r="A44" s="4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32"/>
    </row>
    <row r="45" spans="1:42">
      <c r="A45" s="47" t="s">
        <v>72</v>
      </c>
      <c r="B45" s="2"/>
      <c r="C45" s="2"/>
      <c r="D45" s="2"/>
      <c r="E45" s="2"/>
      <c r="F45" s="2"/>
      <c r="G45" s="2"/>
      <c r="H45" s="2"/>
      <c r="I45" s="2"/>
      <c r="J45" s="2"/>
      <c r="K45" s="2">
        <f>'Mitigation Data Scenario 3 '!K32</f>
        <v>0</v>
      </c>
      <c r="L45" s="12">
        <f>'Mitigation Data Scenario 3 '!L32+7431</f>
        <v>8486</v>
      </c>
      <c r="M45" s="12">
        <f>'Mitigation Data Scenario 3 '!M32-169</f>
        <v>-29</v>
      </c>
      <c r="N45" s="2">
        <v>0</v>
      </c>
      <c r="O45" s="2">
        <v>0</v>
      </c>
      <c r="P45" s="2">
        <f>349-83</f>
        <v>266</v>
      </c>
      <c r="Q45" s="2">
        <v>0</v>
      </c>
      <c r="R45" s="2">
        <v>0</v>
      </c>
      <c r="S45" s="2">
        <f>-174-83</f>
        <v>-257</v>
      </c>
      <c r="T45" s="2">
        <f>337-83</f>
        <v>254</v>
      </c>
      <c r="U45" s="2">
        <v>0</v>
      </c>
      <c r="V45" s="2">
        <v>-6</v>
      </c>
      <c r="W45" s="2">
        <v>-8</v>
      </c>
      <c r="X45" s="2">
        <v>120</v>
      </c>
      <c r="Y45" s="2">
        <v>0</v>
      </c>
      <c r="Z45" s="2">
        <v>-536</v>
      </c>
      <c r="AA45" s="2">
        <v>99</v>
      </c>
      <c r="AB45" s="2">
        <v>100</v>
      </c>
      <c r="AC45" s="2">
        <v>57</v>
      </c>
      <c r="AD45" s="2">
        <v>0</v>
      </c>
      <c r="AE45" s="2">
        <v>0</v>
      </c>
      <c r="AF45" s="2">
        <v>2</v>
      </c>
      <c r="AG45" s="2">
        <v>0</v>
      </c>
      <c r="AH45" s="2">
        <v>0</v>
      </c>
      <c r="AI45" s="2">
        <v>0</v>
      </c>
      <c r="AJ45" s="2">
        <v>0</v>
      </c>
      <c r="AK45" s="2">
        <v>210</v>
      </c>
      <c r="AL45" s="2">
        <v>0</v>
      </c>
      <c r="AM45" s="2">
        <v>0</v>
      </c>
      <c r="AN45" s="2">
        <v>0</v>
      </c>
      <c r="AO45" s="2">
        <v>331</v>
      </c>
      <c r="AP45" s="32">
        <v>0</v>
      </c>
    </row>
    <row r="46" spans="1:42" ht="15.75" customHeight="1">
      <c r="A46" s="52" t="s">
        <v>73</v>
      </c>
      <c r="B46" s="33"/>
      <c r="C46" s="33"/>
      <c r="D46" s="33"/>
      <c r="E46" s="33"/>
      <c r="F46" s="33"/>
      <c r="G46" s="33"/>
      <c r="H46" s="33"/>
      <c r="I46" s="33"/>
      <c r="J46" s="33"/>
      <c r="K46" s="33">
        <f>'Mitigation Data Scenario 3 '!K33</f>
        <v>0</v>
      </c>
      <c r="L46" s="38">
        <f>L45</f>
        <v>8486</v>
      </c>
      <c r="M46" s="38">
        <f t="shared" ref="M46:AP46" si="37">L46+M45</f>
        <v>8457</v>
      </c>
      <c r="N46" s="38">
        <f t="shared" si="37"/>
        <v>8457</v>
      </c>
      <c r="O46" s="38">
        <f t="shared" si="37"/>
        <v>8457</v>
      </c>
      <c r="P46" s="38">
        <f t="shared" si="37"/>
        <v>8723</v>
      </c>
      <c r="Q46" s="38">
        <f t="shared" si="37"/>
        <v>8723</v>
      </c>
      <c r="R46" s="38">
        <f t="shared" si="37"/>
        <v>8723</v>
      </c>
      <c r="S46" s="38">
        <f t="shared" si="37"/>
        <v>8466</v>
      </c>
      <c r="T46" s="94">
        <f t="shared" si="37"/>
        <v>8720</v>
      </c>
      <c r="U46" s="94">
        <f t="shared" si="37"/>
        <v>8720</v>
      </c>
      <c r="V46" s="94">
        <f t="shared" si="37"/>
        <v>8714</v>
      </c>
      <c r="W46" s="94">
        <f t="shared" si="37"/>
        <v>8706</v>
      </c>
      <c r="X46" s="94">
        <f t="shared" si="37"/>
        <v>8826</v>
      </c>
      <c r="Y46" s="94">
        <f t="shared" si="37"/>
        <v>8826</v>
      </c>
      <c r="Z46" s="94">
        <f t="shared" si="37"/>
        <v>8290</v>
      </c>
      <c r="AA46" s="94">
        <f t="shared" si="37"/>
        <v>8389</v>
      </c>
      <c r="AB46" s="94">
        <f t="shared" si="37"/>
        <v>8489</v>
      </c>
      <c r="AC46" s="94">
        <f t="shared" si="37"/>
        <v>8546</v>
      </c>
      <c r="AD46" s="94">
        <f t="shared" si="37"/>
        <v>8546</v>
      </c>
      <c r="AE46" s="94">
        <f t="shared" si="37"/>
        <v>8546</v>
      </c>
      <c r="AF46" s="94">
        <f t="shared" si="37"/>
        <v>8548</v>
      </c>
      <c r="AG46" s="94">
        <f t="shared" si="37"/>
        <v>8548</v>
      </c>
      <c r="AH46" s="94">
        <f t="shared" si="37"/>
        <v>8548</v>
      </c>
      <c r="AI46" s="94">
        <f t="shared" si="37"/>
        <v>8548</v>
      </c>
      <c r="AJ46" s="94">
        <f t="shared" si="37"/>
        <v>8548</v>
      </c>
      <c r="AK46" s="94">
        <f t="shared" si="37"/>
        <v>8758</v>
      </c>
      <c r="AL46" s="94">
        <f t="shared" si="37"/>
        <v>8758</v>
      </c>
      <c r="AM46" s="94">
        <f t="shared" si="37"/>
        <v>8758</v>
      </c>
      <c r="AN46" s="94">
        <f t="shared" si="37"/>
        <v>8758</v>
      </c>
      <c r="AO46" s="94">
        <f t="shared" si="37"/>
        <v>9089</v>
      </c>
      <c r="AP46" s="95">
        <f t="shared" si="37"/>
        <v>9089</v>
      </c>
    </row>
    <row r="47" spans="1:42" ht="4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</row>
    <row r="48" spans="1:42">
      <c r="A48" s="66"/>
      <c r="B48" s="66"/>
      <c r="C48" s="66"/>
      <c r="D48" s="66"/>
      <c r="E48" s="66"/>
      <c r="F48" s="66"/>
      <c r="G48" s="66"/>
      <c r="H48" s="66"/>
      <c r="I48" s="66"/>
      <c r="J48" s="2"/>
      <c r="K48" s="2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</row>
    <row r="49" spans="1:42" ht="15.75" customHeight="1">
      <c r="A49" s="3" t="s">
        <v>12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</row>
    <row r="50" spans="1:42" ht="15.75" customHeight="1">
      <c r="A50" s="57" t="s">
        <v>13</v>
      </c>
      <c r="B50" s="24">
        <v>1538247</v>
      </c>
      <c r="C50" s="25">
        <f>B50</f>
        <v>1538247</v>
      </c>
      <c r="D50" s="25">
        <f>B50</f>
        <v>1538247</v>
      </c>
      <c r="E50" s="25">
        <f t="shared" ref="E50:K50" si="38">D50</f>
        <v>1538247</v>
      </c>
      <c r="F50" s="25">
        <f t="shared" si="38"/>
        <v>1538247</v>
      </c>
      <c r="G50" s="25">
        <f t="shared" si="38"/>
        <v>1538247</v>
      </c>
      <c r="H50" s="25">
        <f t="shared" si="38"/>
        <v>1538247</v>
      </c>
      <c r="I50" s="25">
        <f t="shared" si="38"/>
        <v>1538247</v>
      </c>
      <c r="J50" s="26">
        <f t="shared" si="38"/>
        <v>1538247</v>
      </c>
      <c r="K50" s="88">
        <f t="shared" si="38"/>
        <v>1538247</v>
      </c>
      <c r="L50" s="25">
        <f t="shared" ref="L50:AP50" si="39">L65</f>
        <v>1538247</v>
      </c>
      <c r="M50" s="25">
        <f t="shared" si="39"/>
        <v>1545747</v>
      </c>
      <c r="N50" s="25">
        <f t="shared" si="39"/>
        <v>1545747</v>
      </c>
      <c r="O50" s="25">
        <f t="shared" si="39"/>
        <v>1545747</v>
      </c>
      <c r="P50" s="25">
        <f t="shared" si="39"/>
        <v>1615622</v>
      </c>
      <c r="Q50" s="25">
        <f t="shared" si="39"/>
        <v>1615622</v>
      </c>
      <c r="R50" s="25">
        <f t="shared" si="39"/>
        <v>1615622</v>
      </c>
      <c r="S50" s="25">
        <f t="shared" si="39"/>
        <v>1577352</v>
      </c>
      <c r="T50" s="25">
        <f t="shared" si="39"/>
        <v>1682582</v>
      </c>
      <c r="U50" s="25">
        <f t="shared" si="39"/>
        <v>1682582</v>
      </c>
      <c r="V50" s="25">
        <f t="shared" si="39"/>
        <v>1698732</v>
      </c>
      <c r="W50" s="25">
        <f t="shared" si="39"/>
        <v>1720732</v>
      </c>
      <c r="X50" s="25">
        <f t="shared" si="39"/>
        <v>1794595</v>
      </c>
      <c r="Y50" s="25">
        <f t="shared" si="39"/>
        <v>1794595</v>
      </c>
      <c r="Z50" s="25">
        <f t="shared" si="39"/>
        <v>1729329</v>
      </c>
      <c r="AA50" s="25">
        <f t="shared" si="39"/>
        <v>1755479</v>
      </c>
      <c r="AB50" s="25">
        <f t="shared" si="39"/>
        <v>1781629</v>
      </c>
      <c r="AC50" s="25">
        <f t="shared" si="39"/>
        <v>1796579</v>
      </c>
      <c r="AD50" s="25">
        <f t="shared" si="39"/>
        <v>1796579</v>
      </c>
      <c r="AE50" s="25">
        <f t="shared" si="39"/>
        <v>1796579</v>
      </c>
      <c r="AF50" s="25">
        <f t="shared" si="39"/>
        <v>1811788</v>
      </c>
      <c r="AG50" s="25">
        <f t="shared" si="39"/>
        <v>1811788</v>
      </c>
      <c r="AH50" s="25">
        <f t="shared" si="39"/>
        <v>1811788</v>
      </c>
      <c r="AI50" s="25">
        <f t="shared" si="39"/>
        <v>1811788</v>
      </c>
      <c r="AJ50" s="25">
        <f t="shared" si="39"/>
        <v>1811788</v>
      </c>
      <c r="AK50" s="25">
        <f t="shared" si="39"/>
        <v>1866788</v>
      </c>
      <c r="AL50" s="25">
        <f t="shared" si="39"/>
        <v>1866788</v>
      </c>
      <c r="AM50" s="25">
        <f t="shared" si="39"/>
        <v>1866788</v>
      </c>
      <c r="AN50" s="25">
        <f t="shared" si="39"/>
        <v>1866788</v>
      </c>
      <c r="AO50" s="25">
        <f t="shared" si="39"/>
        <v>1953788</v>
      </c>
      <c r="AP50" s="27">
        <f t="shared" si="39"/>
        <v>1953788</v>
      </c>
    </row>
    <row r="51" spans="1:42">
      <c r="A51" s="47" t="s">
        <v>14</v>
      </c>
      <c r="B51" s="28">
        <f t="shared" ref="B51:J51" si="40">B39/B50</f>
        <v>1.2704201600913248E-2</v>
      </c>
      <c r="C51" s="28">
        <f t="shared" si="40"/>
        <v>1.2463082976921131E-2</v>
      </c>
      <c r="D51" s="28">
        <f t="shared" si="40"/>
        <v>1.260564785759374E-2</v>
      </c>
      <c r="E51" s="28">
        <f t="shared" si="40"/>
        <v>1.3585659520220094E-2</v>
      </c>
      <c r="F51" s="28">
        <f t="shared" si="40"/>
        <v>1.3350261693993228E-2</v>
      </c>
      <c r="G51" s="28">
        <f t="shared" si="40"/>
        <v>1.2842475883261921E-2</v>
      </c>
      <c r="H51" s="28">
        <f t="shared" si="40"/>
        <v>1.1940605117383618E-2</v>
      </c>
      <c r="I51" s="28">
        <f t="shared" si="40"/>
        <v>1.1189360356301687E-2</v>
      </c>
      <c r="J51" s="29">
        <f t="shared" si="40"/>
        <v>1.2030057591531137E-2</v>
      </c>
      <c r="K51" s="89">
        <f t="shared" ref="K51:AP51" si="41">K50*$B$52</f>
        <v>19264.211111111112</v>
      </c>
      <c r="L51" s="12">
        <f t="shared" si="41"/>
        <v>19264.211111111112</v>
      </c>
      <c r="M51" s="12">
        <f t="shared" si="41"/>
        <v>19358.137238276213</v>
      </c>
      <c r="N51" s="12">
        <f t="shared" si="41"/>
        <v>19358.137238276213</v>
      </c>
      <c r="O51" s="12">
        <f t="shared" si="41"/>
        <v>19358.137238276213</v>
      </c>
      <c r="P51" s="12">
        <f t="shared" si="41"/>
        <v>20233.215656364391</v>
      </c>
      <c r="Q51" s="12">
        <f t="shared" si="41"/>
        <v>20233.215656364391</v>
      </c>
      <c r="R51" s="12">
        <f t="shared" si="41"/>
        <v>20233.215656364391</v>
      </c>
      <c r="S51" s="12">
        <f t="shared" si="41"/>
        <v>19753.941938149943</v>
      </c>
      <c r="T51" s="12">
        <f t="shared" si="41"/>
        <v>21071.788119694404</v>
      </c>
      <c r="U51" s="12">
        <f t="shared" si="41"/>
        <v>21071.788119694404</v>
      </c>
      <c r="V51" s="12">
        <f t="shared" si="41"/>
        <v>21274.04238018992</v>
      </c>
      <c r="W51" s="12">
        <f t="shared" si="41"/>
        <v>21549.55901987421</v>
      </c>
      <c r="X51" s="12">
        <f t="shared" si="41"/>
        <v>22474.581090646981</v>
      </c>
      <c r="Y51" s="12">
        <f t="shared" si="41"/>
        <v>22474.581090646981</v>
      </c>
      <c r="Z51" s="12">
        <f t="shared" si="41"/>
        <v>21657.22340857266</v>
      </c>
      <c r="AA51" s="12">
        <f t="shared" si="41"/>
        <v>21984.712505288309</v>
      </c>
      <c r="AB51" s="12">
        <f t="shared" si="41"/>
        <v>22312.201602003955</v>
      </c>
      <c r="AC51" s="12">
        <f t="shared" si="41"/>
        <v>22499.427682153055</v>
      </c>
      <c r="AD51" s="12">
        <f t="shared" si="41"/>
        <v>22499.427682153055</v>
      </c>
      <c r="AE51" s="12">
        <f t="shared" si="41"/>
        <v>22499.427682153055</v>
      </c>
      <c r="AF51" s="12">
        <f t="shared" si="41"/>
        <v>22689.897344560257</v>
      </c>
      <c r="AG51" s="12">
        <f t="shared" si="41"/>
        <v>22689.897344560257</v>
      </c>
      <c r="AH51" s="12">
        <f t="shared" si="41"/>
        <v>22689.897344560257</v>
      </c>
      <c r="AI51" s="12">
        <f t="shared" si="41"/>
        <v>22689.897344560257</v>
      </c>
      <c r="AJ51" s="12">
        <f t="shared" si="41"/>
        <v>22689.897344560257</v>
      </c>
      <c r="AK51" s="12">
        <f t="shared" si="41"/>
        <v>23378.688943770987</v>
      </c>
      <c r="AL51" s="12">
        <f t="shared" si="41"/>
        <v>23378.688943770987</v>
      </c>
      <c r="AM51" s="12">
        <f t="shared" si="41"/>
        <v>23378.688943770987</v>
      </c>
      <c r="AN51" s="12">
        <f t="shared" si="41"/>
        <v>23378.688943770987</v>
      </c>
      <c r="AO51" s="12">
        <f t="shared" si="41"/>
        <v>24468.232018886145</v>
      </c>
      <c r="AP51" s="30">
        <f t="shared" si="41"/>
        <v>24468.232018886145</v>
      </c>
    </row>
    <row r="52" spans="1:42">
      <c r="A52" s="47" t="s">
        <v>15</v>
      </c>
      <c r="B52" s="31">
        <f>AVERAGE(B51:J51)</f>
        <v>1.2523483622013313E-2</v>
      </c>
      <c r="C52" s="2"/>
      <c r="D52" s="2"/>
      <c r="E52" s="2"/>
      <c r="F52" s="2"/>
      <c r="G52" s="2"/>
      <c r="H52" s="2"/>
      <c r="I52" s="2"/>
      <c r="J52" s="20"/>
      <c r="K52" s="9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32"/>
    </row>
    <row r="53" spans="1:42">
      <c r="A53" s="47" t="s">
        <v>16</v>
      </c>
      <c r="B53" s="12">
        <v>179849</v>
      </c>
      <c r="C53" s="2"/>
      <c r="D53" s="2"/>
      <c r="E53" s="2"/>
      <c r="F53" s="2"/>
      <c r="G53" s="2"/>
      <c r="H53" s="2"/>
      <c r="I53" s="2"/>
      <c r="J53" s="20"/>
      <c r="K53" s="9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32"/>
    </row>
    <row r="54" spans="1:42" ht="15.75" customHeight="1">
      <c r="A54" s="52" t="s">
        <v>17</v>
      </c>
      <c r="B54" s="34">
        <f>(B53*1000)/B50</f>
        <v>116.91815423660829</v>
      </c>
      <c r="C54" s="33"/>
      <c r="D54" s="33"/>
      <c r="E54" s="33"/>
      <c r="F54" s="33"/>
      <c r="G54" s="33"/>
      <c r="H54" s="33"/>
      <c r="I54" s="33"/>
      <c r="J54" s="35"/>
      <c r="K54" s="91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6"/>
    </row>
    <row r="55" spans="1:42" ht="15.75" customHeight="1">
      <c r="A55" s="2"/>
      <c r="B55" s="3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5.75" customHeight="1">
      <c r="A56" s="3" t="s">
        <v>18</v>
      </c>
      <c r="B56" s="3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5.75" customHeight="1">
      <c r="A57" s="92" t="s">
        <v>19</v>
      </c>
      <c r="B57" s="25">
        <f>B50</f>
        <v>1538247</v>
      </c>
      <c r="C57" s="25">
        <f t="shared" ref="C57:L57" si="42">B57</f>
        <v>1538247</v>
      </c>
      <c r="D57" s="25">
        <f t="shared" si="42"/>
        <v>1538247</v>
      </c>
      <c r="E57" s="25">
        <f t="shared" si="42"/>
        <v>1538247</v>
      </c>
      <c r="F57" s="25">
        <f t="shared" si="42"/>
        <v>1538247</v>
      </c>
      <c r="G57" s="25">
        <f t="shared" si="42"/>
        <v>1538247</v>
      </c>
      <c r="H57" s="25">
        <f t="shared" si="42"/>
        <v>1538247</v>
      </c>
      <c r="I57" s="25">
        <f t="shared" si="42"/>
        <v>1538247</v>
      </c>
      <c r="J57" s="25">
        <f t="shared" si="42"/>
        <v>1538247</v>
      </c>
      <c r="K57" s="25">
        <f t="shared" si="42"/>
        <v>1538247</v>
      </c>
      <c r="L57" s="25">
        <f t="shared" si="42"/>
        <v>1538247</v>
      </c>
      <c r="M57" s="25">
        <f t="shared" ref="M57:AP57" si="43">$B$57+M58-M59-M60-M61</f>
        <v>1505247</v>
      </c>
      <c r="N57" s="25">
        <f t="shared" si="43"/>
        <v>1505247</v>
      </c>
      <c r="O57" s="25">
        <f t="shared" si="43"/>
        <v>1505247</v>
      </c>
      <c r="P57" s="25">
        <f t="shared" si="43"/>
        <v>1505247</v>
      </c>
      <c r="Q57" s="25">
        <f t="shared" si="43"/>
        <v>1505247</v>
      </c>
      <c r="R57" s="25">
        <f t="shared" si="43"/>
        <v>1505247</v>
      </c>
      <c r="S57" s="25">
        <f t="shared" si="43"/>
        <v>1441977</v>
      </c>
      <c r="T57" s="25">
        <f t="shared" si="43"/>
        <v>1358332</v>
      </c>
      <c r="U57" s="25">
        <f t="shared" si="43"/>
        <v>1358332</v>
      </c>
      <c r="V57" s="25">
        <f t="shared" si="43"/>
        <v>1319832</v>
      </c>
      <c r="W57" s="25">
        <f t="shared" si="43"/>
        <v>1267994</v>
      </c>
      <c r="X57" s="25">
        <f t="shared" si="43"/>
        <v>1175768</v>
      </c>
      <c r="Y57" s="25">
        <f t="shared" si="43"/>
        <v>1175768</v>
      </c>
      <c r="Z57" s="25">
        <f t="shared" si="43"/>
        <v>1012591</v>
      </c>
      <c r="AA57" s="25">
        <f t="shared" si="43"/>
        <v>1012591</v>
      </c>
      <c r="AB57" s="25">
        <f t="shared" si="43"/>
        <v>1012591</v>
      </c>
      <c r="AC57" s="25">
        <f t="shared" si="43"/>
        <v>1012591</v>
      </c>
      <c r="AD57" s="25">
        <f t="shared" si="43"/>
        <v>1012591</v>
      </c>
      <c r="AE57" s="25">
        <f t="shared" si="43"/>
        <v>1012591</v>
      </c>
      <c r="AF57" s="25">
        <f t="shared" si="43"/>
        <v>980879</v>
      </c>
      <c r="AG57" s="25">
        <f t="shared" si="43"/>
        <v>980879</v>
      </c>
      <c r="AH57" s="25">
        <f t="shared" si="43"/>
        <v>980879</v>
      </c>
      <c r="AI57" s="25">
        <f t="shared" si="43"/>
        <v>980879</v>
      </c>
      <c r="AJ57" s="25">
        <f t="shared" si="43"/>
        <v>980879</v>
      </c>
      <c r="AK57" s="25">
        <f t="shared" si="43"/>
        <v>980879</v>
      </c>
      <c r="AL57" s="25">
        <f t="shared" si="43"/>
        <v>980879</v>
      </c>
      <c r="AM57" s="25">
        <f t="shared" si="43"/>
        <v>980879</v>
      </c>
      <c r="AN57" s="25">
        <f t="shared" si="43"/>
        <v>980879</v>
      </c>
      <c r="AO57" s="25">
        <f t="shared" si="43"/>
        <v>980879</v>
      </c>
      <c r="AP57" s="27">
        <f t="shared" si="43"/>
        <v>980879</v>
      </c>
    </row>
    <row r="58" spans="1:42">
      <c r="A58" s="93" t="s">
        <v>20</v>
      </c>
      <c r="B58" s="12"/>
      <c r="C58" s="12"/>
      <c r="D58" s="12"/>
      <c r="E58" s="12"/>
      <c r="F58" s="12"/>
      <c r="G58" s="12"/>
      <c r="H58" s="12"/>
      <c r="I58" s="12"/>
      <c r="J58" s="12"/>
      <c r="K58" s="12">
        <f>'Mitigation Data Scenario 3 '!K45</f>
        <v>0</v>
      </c>
      <c r="L58" s="12">
        <f>'Mitigation Data Scenario 3 '!L45</f>
        <v>0</v>
      </c>
      <c r="M58" s="12">
        <f>'Mitigation Data Scenario 3 '!M45</f>
        <v>0</v>
      </c>
      <c r="N58" s="12">
        <f>'Mitigation Data Scenario 3 '!N45</f>
        <v>0</v>
      </c>
      <c r="O58" s="12">
        <f>'Mitigation Data Scenario 3 '!O45</f>
        <v>0</v>
      </c>
      <c r="P58" s="12">
        <f>'Mitigation Data Scenario 3 '!P45</f>
        <v>0</v>
      </c>
      <c r="Q58" s="12">
        <f>'Mitigation Data Scenario 3 '!Q45</f>
        <v>0</v>
      </c>
      <c r="R58" s="12">
        <f>'Mitigation Data Scenario 3 '!R45</f>
        <v>0</v>
      </c>
      <c r="S58" s="12">
        <f>'Mitigation Data Scenario 3 '!S45</f>
        <v>-38270</v>
      </c>
      <c r="T58" s="12">
        <f>'Mitigation Data Scenario 3 '!T45</f>
        <v>-121915</v>
      </c>
      <c r="U58" s="12">
        <f>'Mitigation Data Scenario 3 '!U45</f>
        <v>-121915</v>
      </c>
      <c r="V58" s="12">
        <f>'Mitigation Data Scenario 3 '!V45</f>
        <v>-121915</v>
      </c>
      <c r="W58" s="12">
        <f>'Mitigation Data Scenario 3 '!W45</f>
        <v>-121915</v>
      </c>
      <c r="X58" s="12">
        <f>'Mitigation Data Scenario 3 '!X45</f>
        <v>-183052</v>
      </c>
      <c r="Y58" s="12">
        <f>'Mitigation Data Scenario 3 '!Y45</f>
        <v>-183052</v>
      </c>
      <c r="Z58" s="12">
        <f>'Mitigation Data Scenario 3 '!Z45</f>
        <v>-248318</v>
      </c>
      <c r="AA58" s="12">
        <f>'Mitigation Data Scenario 3 '!AA45</f>
        <v>-248318</v>
      </c>
      <c r="AB58" s="12">
        <f>'Mitigation Data Scenario 3 '!AB45</f>
        <v>-248318</v>
      </c>
      <c r="AC58" s="12">
        <f>'Mitigation Data Scenario 3 '!AC45</f>
        <v>-248318</v>
      </c>
      <c r="AD58" s="12">
        <f>'Mitigation Data Scenario 3 '!AD45</f>
        <v>-248318</v>
      </c>
      <c r="AE58" s="12">
        <f>'Mitigation Data Scenario 3 '!AE45</f>
        <v>-248318</v>
      </c>
      <c r="AF58" s="12">
        <f>'Mitigation Data Scenario 3 '!AF45</f>
        <v>-248318</v>
      </c>
      <c r="AG58" s="12">
        <f>'Mitigation Data Scenario 3 '!AG45</f>
        <v>-248318</v>
      </c>
      <c r="AH58" s="12">
        <f>'Mitigation Data Scenario 3 '!AH45</f>
        <v>-248318</v>
      </c>
      <c r="AI58" s="12">
        <f>'Mitigation Data Scenario 3 '!AI45</f>
        <v>-248318</v>
      </c>
      <c r="AJ58" s="12">
        <f>'Mitigation Data Scenario 3 '!AJ45</f>
        <v>-248318</v>
      </c>
      <c r="AK58" s="12">
        <f>'Mitigation Data Scenario 3 '!AK45</f>
        <v>-248318</v>
      </c>
      <c r="AL58" s="12">
        <f>'Mitigation Data Scenario 3 '!AL45</f>
        <v>-248318</v>
      </c>
      <c r="AM58" s="12">
        <f>'Mitigation Data Scenario 3 '!AM45</f>
        <v>-248318</v>
      </c>
      <c r="AN58" s="12">
        <f>'Mitigation Data Scenario 3 '!AN45</f>
        <v>-248318</v>
      </c>
      <c r="AO58" s="12">
        <f>'Mitigation Data Scenario 3 '!AO45</f>
        <v>-248318</v>
      </c>
      <c r="AP58" s="30">
        <f>'Mitigation Data Scenario 3 '!AP45</f>
        <v>-248318</v>
      </c>
    </row>
    <row r="59" spans="1:42">
      <c r="A59" s="93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>
        <f>'Mitigation Data Scenario 3 '!K46</f>
        <v>0</v>
      </c>
      <c r="L59" s="12">
        <f>'Mitigation Data Scenario 3 '!L46</f>
        <v>0</v>
      </c>
      <c r="M59" s="12">
        <f>'Mitigation Data Scenario 3 '!M46</f>
        <v>33000</v>
      </c>
      <c r="N59" s="12">
        <f>'Mitigation Data Scenario 3 '!N46</f>
        <v>33000</v>
      </c>
      <c r="O59" s="12">
        <f>'Mitigation Data Scenario 3 '!O46</f>
        <v>33000</v>
      </c>
      <c r="P59" s="12">
        <f>'Mitigation Data Scenario 3 '!P46</f>
        <v>33000</v>
      </c>
      <c r="Q59" s="12">
        <f>'Mitigation Data Scenario 3 '!Q46</f>
        <v>33000</v>
      </c>
      <c r="R59" s="12">
        <f>'Mitigation Data Scenario 3 '!R46</f>
        <v>33000</v>
      </c>
      <c r="S59" s="12">
        <f>'Mitigation Data Scenario 3 '!S46</f>
        <v>58000</v>
      </c>
      <c r="T59" s="12">
        <f>'Mitigation Data Scenario 3 '!T46</f>
        <v>58000</v>
      </c>
      <c r="U59" s="12">
        <f>'Mitigation Data Scenario 3 '!U46</f>
        <v>58000</v>
      </c>
      <c r="V59" s="12">
        <f>'Mitigation Data Scenario 3 '!V46</f>
        <v>96500</v>
      </c>
      <c r="W59" s="12">
        <f>'Mitigation Data Scenario 3 '!W46</f>
        <v>148338</v>
      </c>
      <c r="X59" s="12">
        <f>'Mitigation Data Scenario 3 '!X46</f>
        <v>179427</v>
      </c>
      <c r="Y59" s="12">
        <f>'Mitigation Data Scenario 3 '!Y46</f>
        <v>179427</v>
      </c>
      <c r="Z59" s="12">
        <f>'Mitigation Data Scenario 3 '!Z46</f>
        <v>249827</v>
      </c>
      <c r="AA59" s="12">
        <f>'Mitigation Data Scenario 3 '!AA46</f>
        <v>249827</v>
      </c>
      <c r="AB59" s="12">
        <f>'Mitigation Data Scenario 3 '!AB46</f>
        <v>249827</v>
      </c>
      <c r="AC59" s="12">
        <f>'Mitigation Data Scenario 3 '!AC46</f>
        <v>249827</v>
      </c>
      <c r="AD59" s="12">
        <f>'Mitigation Data Scenario 3 '!AD46</f>
        <v>249827</v>
      </c>
      <c r="AE59" s="12">
        <f>'Mitigation Data Scenario 3 '!AE46</f>
        <v>249827</v>
      </c>
      <c r="AF59" s="12">
        <f>'Mitigation Data Scenario 3 '!AF46</f>
        <v>281539</v>
      </c>
      <c r="AG59" s="12">
        <f>'Mitigation Data Scenario 3 '!AG46</f>
        <v>281539</v>
      </c>
      <c r="AH59" s="12">
        <f>'Mitigation Data Scenario 3 '!AH46</f>
        <v>281539</v>
      </c>
      <c r="AI59" s="12">
        <f>'Mitigation Data Scenario 3 '!AI46</f>
        <v>281539</v>
      </c>
      <c r="AJ59" s="12">
        <f>'Mitigation Data Scenario 3 '!AJ46</f>
        <v>281539</v>
      </c>
      <c r="AK59" s="12">
        <f>'Mitigation Data Scenario 3 '!AK46</f>
        <v>281539</v>
      </c>
      <c r="AL59" s="12">
        <f>'Mitigation Data Scenario 3 '!AL46</f>
        <v>281539</v>
      </c>
      <c r="AM59" s="12">
        <f>'Mitigation Data Scenario 3 '!AM46</f>
        <v>281539</v>
      </c>
      <c r="AN59" s="12">
        <f>'Mitigation Data Scenario 3 '!AN46</f>
        <v>281539</v>
      </c>
      <c r="AO59" s="12">
        <f>'Mitigation Data Scenario 3 '!AO46</f>
        <v>281539</v>
      </c>
      <c r="AP59" s="30">
        <f>'Mitigation Data Scenario 3 '!AP46</f>
        <v>281539</v>
      </c>
    </row>
    <row r="60" spans="1:42">
      <c r="A60" s="93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>
        <f>'Mitigation Data Scenario 3 '!K47</f>
        <v>0</v>
      </c>
      <c r="L60" s="12">
        <f>'Mitigation Data Scenario 3 '!L47</f>
        <v>0</v>
      </c>
      <c r="M60" s="12">
        <f>'Mitigation Data Scenario 3 '!M47</f>
        <v>0</v>
      </c>
      <c r="N60" s="12">
        <f>'Mitigation Data Scenario 3 '!N47</f>
        <v>0</v>
      </c>
      <c r="O60" s="12">
        <f>'Mitigation Data Scenario 3 '!O47</f>
        <v>0</v>
      </c>
      <c r="P60" s="12">
        <f>'Mitigation Data Scenario 3 '!P47</f>
        <v>0</v>
      </c>
      <c r="Q60" s="12">
        <f>'Mitigation Data Scenario 3 '!Q47</f>
        <v>0</v>
      </c>
      <c r="R60" s="12">
        <f>'Mitigation Data Scenario 3 '!R47</f>
        <v>0</v>
      </c>
      <c r="S60" s="12">
        <f>'Mitigation Data Scenario 3 '!S47</f>
        <v>0</v>
      </c>
      <c r="T60" s="12">
        <f>'Mitigation Data Scenario 3 '!T47</f>
        <v>0</v>
      </c>
      <c r="U60" s="12">
        <f>'Mitigation Data Scenario 3 '!U47</f>
        <v>0</v>
      </c>
      <c r="V60" s="12">
        <f>'Mitigation Data Scenario 3 '!V47</f>
        <v>0</v>
      </c>
      <c r="W60" s="12">
        <f>'Mitigation Data Scenario 3 '!W47</f>
        <v>0</v>
      </c>
      <c r="X60" s="12">
        <f>'Mitigation Data Scenario 3 '!X47</f>
        <v>0</v>
      </c>
      <c r="Y60" s="12">
        <f>'Mitigation Data Scenario 3 '!Y47</f>
        <v>0</v>
      </c>
      <c r="Z60" s="12">
        <f>'Mitigation Data Scenario 3 '!Z47</f>
        <v>27511</v>
      </c>
      <c r="AA60" s="12">
        <f>'Mitigation Data Scenario 3 '!AA47</f>
        <v>27511</v>
      </c>
      <c r="AB60" s="12">
        <f>'Mitigation Data Scenario 3 '!AB47</f>
        <v>27511</v>
      </c>
      <c r="AC60" s="12">
        <f>'Mitigation Data Scenario 3 '!AC47</f>
        <v>27511</v>
      </c>
      <c r="AD60" s="12">
        <f>'Mitigation Data Scenario 3 '!AD47</f>
        <v>27511</v>
      </c>
      <c r="AE60" s="12">
        <f>'Mitigation Data Scenario 3 '!AE47</f>
        <v>27511</v>
      </c>
      <c r="AF60" s="12">
        <f>'Mitigation Data Scenario 3 '!AF47</f>
        <v>27511</v>
      </c>
      <c r="AG60" s="12">
        <f>'Mitigation Data Scenario 3 '!AG47</f>
        <v>27511</v>
      </c>
      <c r="AH60" s="12">
        <f>'Mitigation Data Scenario 3 '!AH47</f>
        <v>27511</v>
      </c>
      <c r="AI60" s="12">
        <f>'Mitigation Data Scenario 3 '!AI47</f>
        <v>27511</v>
      </c>
      <c r="AJ60" s="12">
        <f>'Mitigation Data Scenario 3 '!AJ47</f>
        <v>27511</v>
      </c>
      <c r="AK60" s="12">
        <f>'Mitigation Data Scenario 3 '!AK47</f>
        <v>27511</v>
      </c>
      <c r="AL60" s="12">
        <f>'Mitigation Data Scenario 3 '!AL47</f>
        <v>27511</v>
      </c>
      <c r="AM60" s="12">
        <f>'Mitigation Data Scenario 3 '!AM47</f>
        <v>27511</v>
      </c>
      <c r="AN60" s="12">
        <f>'Mitigation Data Scenario 3 '!AN47</f>
        <v>27511</v>
      </c>
      <c r="AO60" s="12">
        <f>'Mitigation Data Scenario 3 '!AO47</f>
        <v>27511</v>
      </c>
      <c r="AP60" s="30">
        <f>'Mitigation Data Scenario 3 '!AP47</f>
        <v>27511</v>
      </c>
    </row>
    <row r="61" spans="1:42">
      <c r="A61" s="93" t="s">
        <v>76</v>
      </c>
      <c r="B61" s="12"/>
      <c r="C61" s="12"/>
      <c r="D61" s="12"/>
      <c r="E61" s="12"/>
      <c r="F61" s="12"/>
      <c r="G61" s="12"/>
      <c r="H61" s="12"/>
      <c r="I61" s="12"/>
      <c r="J61" s="12"/>
      <c r="K61" s="12">
        <f>'Mitigation Data Scenario 3 '!K48</f>
        <v>0</v>
      </c>
      <c r="L61" s="12">
        <f>'Mitigation Data Scenario 3 '!L48</f>
        <v>0</v>
      </c>
      <c r="M61" s="12">
        <f>'Mitigation Data Scenario 3 '!M48</f>
        <v>0</v>
      </c>
      <c r="N61" s="12">
        <f>'Mitigation Data Scenario 3 '!N48</f>
        <v>0</v>
      </c>
      <c r="O61" s="12">
        <f>'Mitigation Data Scenario 3 '!O48</f>
        <v>0</v>
      </c>
      <c r="P61" s="12">
        <f>'Mitigation Data Scenario 3 '!P48</f>
        <v>0</v>
      </c>
      <c r="Q61" s="12">
        <f>'Mitigation Data Scenario 3 '!Q48</f>
        <v>0</v>
      </c>
      <c r="R61" s="12">
        <f>'Mitigation Data Scenario 3 '!R48</f>
        <v>0</v>
      </c>
      <c r="S61" s="12">
        <f>'Mitigation Data Scenario 3 '!S48</f>
        <v>0</v>
      </c>
      <c r="T61" s="12">
        <f>'Mitigation Data Scenario 3 '!T48</f>
        <v>0</v>
      </c>
      <c r="U61" s="12">
        <f>'Mitigation Data Scenario 3 '!U48</f>
        <v>0</v>
      </c>
      <c r="V61" s="12">
        <f>'Mitigation Data Scenario 3 '!V48</f>
        <v>0</v>
      </c>
      <c r="W61" s="12">
        <f>'Mitigation Data Scenario 3 '!W48</f>
        <v>0</v>
      </c>
      <c r="X61" s="12">
        <f>'Mitigation Data Scenario 3 '!X48</f>
        <v>0</v>
      </c>
      <c r="Y61" s="12">
        <f>'Mitigation Data Scenario 3 '!Y48</f>
        <v>0</v>
      </c>
      <c r="Z61" s="12">
        <f>'Mitigation Data Scenario 3 '!Z48</f>
        <v>0</v>
      </c>
      <c r="AA61" s="12">
        <f>'Mitigation Data Scenario 3 '!AA48</f>
        <v>0</v>
      </c>
      <c r="AB61" s="12">
        <f>'Mitigation Data Scenario 3 '!AB48</f>
        <v>0</v>
      </c>
      <c r="AC61" s="12">
        <f>'Mitigation Data Scenario 3 '!AC48</f>
        <v>0</v>
      </c>
      <c r="AD61" s="12">
        <f>'Mitigation Data Scenario 3 '!AD48</f>
        <v>0</v>
      </c>
      <c r="AE61" s="12">
        <f>'Mitigation Data Scenario 3 '!AE48</f>
        <v>0</v>
      </c>
      <c r="AF61" s="12">
        <f>'Mitigation Data Scenario 3 '!AF48</f>
        <v>0</v>
      </c>
      <c r="AG61" s="12">
        <f>'Mitigation Data Scenario 3 '!AG48</f>
        <v>0</v>
      </c>
      <c r="AH61" s="12">
        <f>'Mitigation Data Scenario 3 '!AH48</f>
        <v>0</v>
      </c>
      <c r="AI61" s="12">
        <f>'Mitigation Data Scenario 3 '!AI48</f>
        <v>0</v>
      </c>
      <c r="AJ61" s="12">
        <f>'Mitigation Data Scenario 3 '!AJ48</f>
        <v>0</v>
      </c>
      <c r="AK61" s="12">
        <f>'Mitigation Data Scenario 3 '!AK48</f>
        <v>0</v>
      </c>
      <c r="AL61" s="12">
        <f>'Mitigation Data Scenario 3 '!AL48</f>
        <v>0</v>
      </c>
      <c r="AM61" s="12">
        <f>'Mitigation Data Scenario 3 '!AM48</f>
        <v>0</v>
      </c>
      <c r="AN61" s="12">
        <f>'Mitigation Data Scenario 3 '!AN48</f>
        <v>0</v>
      </c>
      <c r="AO61" s="12">
        <f>'Mitigation Data Scenario 3 '!AO48</f>
        <v>0</v>
      </c>
      <c r="AP61" s="30">
        <f>'Mitigation Data Scenario 3 '!AP48</f>
        <v>0</v>
      </c>
    </row>
    <row r="62" spans="1:42">
      <c r="A62" s="93" t="s">
        <v>77</v>
      </c>
      <c r="B62" s="12"/>
      <c r="C62" s="12"/>
      <c r="D62" s="12"/>
      <c r="E62" s="12"/>
      <c r="F62" s="12"/>
      <c r="G62" s="12"/>
      <c r="H62" s="12"/>
      <c r="I62" s="12"/>
      <c r="J62" s="12"/>
      <c r="K62" s="12">
        <f>'Mitigation Data Scenario 3 '!K50</f>
        <v>0</v>
      </c>
      <c r="L62" s="12">
        <f>'Mitigation Data Scenario 3 '!L50</f>
        <v>0</v>
      </c>
      <c r="M62" s="12">
        <f>'Mitigation Data Scenario 3 '!M49</f>
        <v>7500</v>
      </c>
      <c r="N62" s="12">
        <f>'Mitigation Data Scenario 3 '!N49</f>
        <v>7500</v>
      </c>
      <c r="O62" s="12">
        <f>'Mitigation Data Scenario 3 '!O49</f>
        <v>7500</v>
      </c>
      <c r="P62" s="12">
        <f>'Mitigation Data Scenario 3 '!P49</f>
        <v>77375</v>
      </c>
      <c r="Q62" s="12">
        <f>'Mitigation Data Scenario 3 '!Q49</f>
        <v>77375</v>
      </c>
      <c r="R62" s="12">
        <f>'Mitigation Data Scenario 3 '!R49</f>
        <v>77375</v>
      </c>
      <c r="S62" s="12">
        <f>'Mitigation Data Scenario 3 '!S49</f>
        <v>77375</v>
      </c>
      <c r="T62" s="12">
        <f>'Mitigation Data Scenario 3 '!T49</f>
        <v>266250</v>
      </c>
      <c r="U62" s="12">
        <f>'Mitigation Data Scenario 3 '!U49</f>
        <v>266250</v>
      </c>
      <c r="V62" s="12">
        <f>'Mitigation Data Scenario 3 '!V49</f>
        <v>282400</v>
      </c>
      <c r="W62" s="12">
        <f>'Mitigation Data Scenario 3 '!W49</f>
        <v>304400</v>
      </c>
      <c r="X62" s="12">
        <f>'Mitigation Data Scenario 3 '!X49</f>
        <v>304400</v>
      </c>
      <c r="Y62" s="12">
        <f>'Mitigation Data Scenario 3 '!Y49</f>
        <v>304400</v>
      </c>
      <c r="Z62" s="12">
        <f>'Mitigation Data Scenario 3 '!Z49</f>
        <v>304400</v>
      </c>
      <c r="AA62" s="12">
        <f>'Mitigation Data Scenario 3 '!AA49</f>
        <v>330550</v>
      </c>
      <c r="AB62" s="12">
        <f>'Mitigation Data Scenario 3 '!AB49</f>
        <v>356700</v>
      </c>
      <c r="AC62" s="12">
        <f>'Mitigation Data Scenario 3 '!AC49</f>
        <v>371650</v>
      </c>
      <c r="AD62" s="12">
        <f>'Mitigation Data Scenario 3 '!AD49</f>
        <v>371650</v>
      </c>
      <c r="AE62" s="12">
        <f>'Mitigation Data Scenario 3 '!AE49</f>
        <v>371650</v>
      </c>
      <c r="AF62" s="12">
        <f>'Mitigation Data Scenario 3 '!AF49</f>
        <v>386859</v>
      </c>
      <c r="AG62" s="12">
        <f>'Mitigation Data Scenario 3 '!AG49</f>
        <v>386859</v>
      </c>
      <c r="AH62" s="12">
        <f>'Mitigation Data Scenario 3 '!AH49</f>
        <v>386859</v>
      </c>
      <c r="AI62" s="12">
        <f>'Mitigation Data Scenario 3 '!AI49</f>
        <v>386859</v>
      </c>
      <c r="AJ62" s="12">
        <f>'Mitigation Data Scenario 3 '!AJ49</f>
        <v>386859</v>
      </c>
      <c r="AK62" s="12">
        <f>'Mitigation Data Scenario 3 '!AK49</f>
        <v>441859</v>
      </c>
      <c r="AL62" s="12">
        <f>'Mitigation Data Scenario 3 '!AL49</f>
        <v>441859</v>
      </c>
      <c r="AM62" s="12">
        <f>'Mitigation Data Scenario 3 '!AM49</f>
        <v>441859</v>
      </c>
      <c r="AN62" s="12">
        <f>'Mitigation Data Scenario 3 '!AN49</f>
        <v>441859</v>
      </c>
      <c r="AO62" s="12">
        <f>'Mitigation Data Scenario 3 '!AO49</f>
        <v>528859</v>
      </c>
      <c r="AP62" s="12">
        <f>'Mitigation Data Scenario 3 '!AP49</f>
        <v>528859</v>
      </c>
    </row>
    <row r="63" spans="1:42">
      <c r="A63" s="93" t="s">
        <v>78</v>
      </c>
      <c r="B63" s="12"/>
      <c r="C63" s="12"/>
      <c r="D63" s="12"/>
      <c r="E63" s="12"/>
      <c r="F63" s="12"/>
      <c r="G63" s="12"/>
      <c r="H63" s="12"/>
      <c r="I63" s="12"/>
      <c r="J63" s="12"/>
      <c r="K63" s="12">
        <f>'Mitigation Data Scenario 3 '!K50</f>
        <v>0</v>
      </c>
      <c r="L63" s="12">
        <f>'Mitigation Data Scenario 3 '!L50</f>
        <v>0</v>
      </c>
      <c r="M63" s="12">
        <f>'Mitigation Data Scenario 3 '!M50</f>
        <v>0</v>
      </c>
      <c r="N63" s="12">
        <f>'Mitigation Data Scenario 3 '!N50</f>
        <v>0</v>
      </c>
      <c r="O63" s="12">
        <f>'Mitigation Data Scenario 3 '!O50</f>
        <v>0</v>
      </c>
      <c r="P63" s="12">
        <f>'Mitigation Data Scenario 3 '!P50</f>
        <v>0</v>
      </c>
      <c r="Q63" s="12">
        <f>'Mitigation Data Scenario 3 '!Q50</f>
        <v>0</v>
      </c>
      <c r="R63" s="12">
        <f>'Mitigation Data Scenario 3 '!R50</f>
        <v>0</v>
      </c>
      <c r="S63" s="12">
        <f>'Mitigation Data Scenario 3 '!S50</f>
        <v>0</v>
      </c>
      <c r="T63" s="12">
        <f>'Mitigation Data Scenario 3 '!T50</f>
        <v>0</v>
      </c>
      <c r="U63" s="12">
        <f>'Mitigation Data Scenario 3 '!U50</f>
        <v>0</v>
      </c>
      <c r="V63" s="12">
        <f>'Mitigation Data Scenario 3 '!V50</f>
        <v>0</v>
      </c>
      <c r="W63" s="12">
        <f>'Mitigation Data Scenario 3 '!W50</f>
        <v>0</v>
      </c>
      <c r="X63" s="12">
        <f>'Mitigation Data Scenario 3 '!X50</f>
        <v>0</v>
      </c>
      <c r="Y63" s="12">
        <f>'Mitigation Data Scenario 3 '!Y50</f>
        <v>0</v>
      </c>
      <c r="Z63" s="12">
        <f>'Mitigation Data Scenario 3 '!Z50</f>
        <v>0</v>
      </c>
      <c r="AA63" s="12">
        <f>'Mitigation Data Scenario 3 '!AA50</f>
        <v>0</v>
      </c>
      <c r="AB63" s="12">
        <f>'Mitigation Data Scenario 3 '!AB50</f>
        <v>0</v>
      </c>
      <c r="AC63" s="12">
        <f>'Mitigation Data Scenario 3 '!AC50</f>
        <v>0</v>
      </c>
      <c r="AD63" s="12">
        <f>'Mitigation Data Scenario 3 '!AD50</f>
        <v>0</v>
      </c>
      <c r="AE63" s="12">
        <f>'Mitigation Data Scenario 3 '!AE50</f>
        <v>0</v>
      </c>
      <c r="AF63" s="12">
        <f>'Mitigation Data Scenario 3 '!AF50</f>
        <v>0</v>
      </c>
      <c r="AG63" s="12">
        <f>'Mitigation Data Scenario 3 '!AG50</f>
        <v>0</v>
      </c>
      <c r="AH63" s="12">
        <f>'Mitigation Data Scenario 3 '!AH50</f>
        <v>0</v>
      </c>
      <c r="AI63" s="12">
        <f>'Mitigation Data Scenario 3 '!AI50</f>
        <v>0</v>
      </c>
      <c r="AJ63" s="12">
        <f>'Mitigation Data Scenario 3 '!AJ50</f>
        <v>0</v>
      </c>
      <c r="AK63" s="12">
        <f>'Mitigation Data Scenario 3 '!AK50</f>
        <v>0</v>
      </c>
      <c r="AL63" s="12">
        <f>'Mitigation Data Scenario 3 '!AL50</f>
        <v>0</v>
      </c>
      <c r="AM63" s="12">
        <f>'Mitigation Data Scenario 3 '!AM50</f>
        <v>0</v>
      </c>
      <c r="AN63" s="12">
        <f>'Mitigation Data Scenario 3 '!AN50</f>
        <v>0</v>
      </c>
      <c r="AO63" s="12">
        <f>'Mitigation Data Scenario 3 '!AO50</f>
        <v>0</v>
      </c>
      <c r="AP63" s="30">
        <f>'Mitigation Data Scenario 3 '!AP50</f>
        <v>0</v>
      </c>
    </row>
    <row r="64" spans="1:42">
      <c r="A64" s="93" t="s">
        <v>79</v>
      </c>
      <c r="B64" s="12"/>
      <c r="C64" s="12"/>
      <c r="D64" s="12"/>
      <c r="E64" s="12"/>
      <c r="F64" s="12"/>
      <c r="G64" s="12"/>
      <c r="H64" s="12"/>
      <c r="I64" s="12"/>
      <c r="J64" s="12"/>
      <c r="K64" s="12">
        <f>'Mitigation Data Scenario 3 '!K51</f>
        <v>0</v>
      </c>
      <c r="L64" s="12">
        <f>'Mitigation Data Scenario 3 '!L51</f>
        <v>0</v>
      </c>
      <c r="M64" s="12">
        <f>'Mitigation Data Scenario 3 '!M51</f>
        <v>0</v>
      </c>
      <c r="N64" s="12">
        <f>'Mitigation Data Scenario 3 '!N51</f>
        <v>0</v>
      </c>
      <c r="O64" s="12">
        <f>'Mitigation Data Scenario 3 '!O51</f>
        <v>0</v>
      </c>
      <c r="P64" s="12">
        <f>'Mitigation Data Scenario 3 '!P51</f>
        <v>0</v>
      </c>
      <c r="Q64" s="12">
        <f>'Mitigation Data Scenario 3 '!Q51</f>
        <v>0</v>
      </c>
      <c r="R64" s="12">
        <f>'Mitigation Data Scenario 3 '!R51</f>
        <v>0</v>
      </c>
      <c r="S64" s="12">
        <f>'Mitigation Data Scenario 3 '!S51</f>
        <v>0</v>
      </c>
      <c r="T64" s="12">
        <f>'Mitigation Data Scenario 3 '!T51</f>
        <v>0</v>
      </c>
      <c r="U64" s="12">
        <f>'Mitigation Data Scenario 3 '!U51</f>
        <v>0</v>
      </c>
      <c r="V64" s="12">
        <f>'Mitigation Data Scenario 3 '!V51</f>
        <v>0</v>
      </c>
      <c r="W64" s="12">
        <f>'Mitigation Data Scenario 3 '!W51</f>
        <v>0</v>
      </c>
      <c r="X64" s="12">
        <f>'Mitigation Data Scenario 3 '!X51</f>
        <v>135000</v>
      </c>
      <c r="Y64" s="12">
        <f>'Mitigation Data Scenario 3 '!Y51</f>
        <v>135000</v>
      </c>
      <c r="Z64" s="12">
        <f>'Mitigation Data Scenario 3 '!Z51</f>
        <v>135000</v>
      </c>
      <c r="AA64" s="12">
        <f>'Mitigation Data Scenario 3 '!AA51</f>
        <v>135000</v>
      </c>
      <c r="AB64" s="12">
        <f>'Mitigation Data Scenario 3 '!AB51</f>
        <v>135000</v>
      </c>
      <c r="AC64" s="12">
        <f>'Mitigation Data Scenario 3 '!AC51</f>
        <v>135000</v>
      </c>
      <c r="AD64" s="12">
        <f>'Mitigation Data Scenario 3 '!AD51</f>
        <v>135000</v>
      </c>
      <c r="AE64" s="12">
        <f>'Mitigation Data Scenario 3 '!AE51</f>
        <v>135000</v>
      </c>
      <c r="AF64" s="12">
        <f>'Mitigation Data Scenario 3 '!AF51</f>
        <v>135000</v>
      </c>
      <c r="AG64" s="12">
        <f>'Mitigation Data Scenario 3 '!AG51</f>
        <v>135000</v>
      </c>
      <c r="AH64" s="12">
        <f>'Mitigation Data Scenario 3 '!AH51</f>
        <v>135000</v>
      </c>
      <c r="AI64" s="12">
        <f>'Mitigation Data Scenario 3 '!AI51</f>
        <v>135000</v>
      </c>
      <c r="AJ64" s="12">
        <f>'Mitigation Data Scenario 3 '!AJ51</f>
        <v>135000</v>
      </c>
      <c r="AK64" s="12">
        <f>'Mitigation Data Scenario 3 '!AK51</f>
        <v>135000</v>
      </c>
      <c r="AL64" s="12">
        <f>'Mitigation Data Scenario 3 '!AL51</f>
        <v>135000</v>
      </c>
      <c r="AM64" s="12">
        <f>'Mitigation Data Scenario 3 '!AM51</f>
        <v>135000</v>
      </c>
      <c r="AN64" s="12">
        <f>'Mitigation Data Scenario 3 '!AN51</f>
        <v>135000</v>
      </c>
      <c r="AO64" s="12">
        <f>'Mitigation Data Scenario 3 '!AO51</f>
        <v>135000</v>
      </c>
      <c r="AP64" s="30">
        <f>'Mitigation Data Scenario 3 '!AP51</f>
        <v>135000</v>
      </c>
    </row>
    <row r="65" spans="1:42" ht="15.75" customHeight="1">
      <c r="A65" s="96" t="s">
        <v>24</v>
      </c>
      <c r="B65" s="38">
        <f t="shared" ref="B65:J65" si="44">SUM(B57:B64)</f>
        <v>1538247</v>
      </c>
      <c r="C65" s="38">
        <f t="shared" si="44"/>
        <v>1538247</v>
      </c>
      <c r="D65" s="38">
        <f t="shared" si="44"/>
        <v>1538247</v>
      </c>
      <c r="E65" s="38">
        <f t="shared" si="44"/>
        <v>1538247</v>
      </c>
      <c r="F65" s="38">
        <f t="shared" si="44"/>
        <v>1538247</v>
      </c>
      <c r="G65" s="38">
        <f t="shared" si="44"/>
        <v>1538247</v>
      </c>
      <c r="H65" s="38">
        <f t="shared" si="44"/>
        <v>1538247</v>
      </c>
      <c r="I65" s="38">
        <f t="shared" si="44"/>
        <v>1538247</v>
      </c>
      <c r="J65" s="38">
        <f t="shared" si="44"/>
        <v>1538247</v>
      </c>
      <c r="K65" s="38">
        <f t="shared" ref="K65:AP65" si="45">SUM(K59:K64)+K57</f>
        <v>1538247</v>
      </c>
      <c r="L65" s="38">
        <f t="shared" si="45"/>
        <v>1538247</v>
      </c>
      <c r="M65" s="38">
        <f t="shared" si="45"/>
        <v>1545747</v>
      </c>
      <c r="N65" s="38">
        <f t="shared" si="45"/>
        <v>1545747</v>
      </c>
      <c r="O65" s="38">
        <f t="shared" si="45"/>
        <v>1545747</v>
      </c>
      <c r="P65" s="38">
        <f t="shared" si="45"/>
        <v>1615622</v>
      </c>
      <c r="Q65" s="38">
        <f t="shared" si="45"/>
        <v>1615622</v>
      </c>
      <c r="R65" s="38">
        <f t="shared" si="45"/>
        <v>1615622</v>
      </c>
      <c r="S65" s="38">
        <f t="shared" si="45"/>
        <v>1577352</v>
      </c>
      <c r="T65" s="38">
        <f t="shared" si="45"/>
        <v>1682582</v>
      </c>
      <c r="U65" s="38">
        <f t="shared" si="45"/>
        <v>1682582</v>
      </c>
      <c r="V65" s="38">
        <f t="shared" si="45"/>
        <v>1698732</v>
      </c>
      <c r="W65" s="38">
        <f t="shared" si="45"/>
        <v>1720732</v>
      </c>
      <c r="X65" s="38">
        <f t="shared" si="45"/>
        <v>1794595</v>
      </c>
      <c r="Y65" s="38">
        <f t="shared" si="45"/>
        <v>1794595</v>
      </c>
      <c r="Z65" s="38">
        <f t="shared" si="45"/>
        <v>1729329</v>
      </c>
      <c r="AA65" s="38">
        <f t="shared" si="45"/>
        <v>1755479</v>
      </c>
      <c r="AB65" s="38">
        <f t="shared" si="45"/>
        <v>1781629</v>
      </c>
      <c r="AC65" s="38">
        <f t="shared" si="45"/>
        <v>1796579</v>
      </c>
      <c r="AD65" s="38">
        <f t="shared" si="45"/>
        <v>1796579</v>
      </c>
      <c r="AE65" s="38">
        <f t="shared" si="45"/>
        <v>1796579</v>
      </c>
      <c r="AF65" s="38">
        <f t="shared" si="45"/>
        <v>1811788</v>
      </c>
      <c r="AG65" s="38">
        <f t="shared" si="45"/>
        <v>1811788</v>
      </c>
      <c r="AH65" s="38">
        <f t="shared" si="45"/>
        <v>1811788</v>
      </c>
      <c r="AI65" s="38">
        <f t="shared" si="45"/>
        <v>1811788</v>
      </c>
      <c r="AJ65" s="38">
        <f t="shared" si="45"/>
        <v>1811788</v>
      </c>
      <c r="AK65" s="38">
        <f t="shared" si="45"/>
        <v>1866788</v>
      </c>
      <c r="AL65" s="38">
        <f t="shared" si="45"/>
        <v>1866788</v>
      </c>
      <c r="AM65" s="38">
        <f t="shared" si="45"/>
        <v>1866788</v>
      </c>
      <c r="AN65" s="38">
        <f t="shared" si="45"/>
        <v>1866788</v>
      </c>
      <c r="AO65" s="38">
        <f t="shared" si="45"/>
        <v>1953788</v>
      </c>
      <c r="AP65" s="39">
        <f t="shared" si="45"/>
        <v>1953788</v>
      </c>
    </row>
    <row r="66" spans="1:42" ht="15.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</row>
    <row r="67" spans="1:42" ht="15.75" customHeight="1">
      <c r="A67" s="21" t="s">
        <v>80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</row>
    <row r="68" spans="1:42" ht="15.75" customHeight="1">
      <c r="A68" s="92" t="s">
        <v>26</v>
      </c>
      <c r="B68" s="25">
        <f t="shared" ref="B68:AP68" si="46">B57*$B$80</f>
        <v>179849000</v>
      </c>
      <c r="C68" s="25">
        <f t="shared" si="46"/>
        <v>179849000</v>
      </c>
      <c r="D68" s="25">
        <f t="shared" si="46"/>
        <v>179849000</v>
      </c>
      <c r="E68" s="25">
        <f t="shared" si="46"/>
        <v>179849000</v>
      </c>
      <c r="F68" s="25">
        <f t="shared" si="46"/>
        <v>179849000</v>
      </c>
      <c r="G68" s="25">
        <f t="shared" si="46"/>
        <v>179849000</v>
      </c>
      <c r="H68" s="25">
        <f t="shared" si="46"/>
        <v>179849000</v>
      </c>
      <c r="I68" s="25">
        <f t="shared" si="46"/>
        <v>179849000</v>
      </c>
      <c r="J68" s="25">
        <f t="shared" si="46"/>
        <v>179849000</v>
      </c>
      <c r="K68" s="25">
        <f t="shared" si="46"/>
        <v>179849000</v>
      </c>
      <c r="L68" s="25">
        <f t="shared" si="46"/>
        <v>179849000</v>
      </c>
      <c r="M68" s="25">
        <f t="shared" si="46"/>
        <v>175990700.91019192</v>
      </c>
      <c r="N68" s="25">
        <f t="shared" si="46"/>
        <v>175990700.91019192</v>
      </c>
      <c r="O68" s="25">
        <f t="shared" si="46"/>
        <v>175990700.91019192</v>
      </c>
      <c r="P68" s="25">
        <f t="shared" si="46"/>
        <v>175990700.91019192</v>
      </c>
      <c r="Q68" s="25">
        <f t="shared" si="46"/>
        <v>175990700.91019192</v>
      </c>
      <c r="R68" s="25">
        <f t="shared" si="46"/>
        <v>175990700.91019192</v>
      </c>
      <c r="S68" s="25">
        <f t="shared" si="46"/>
        <v>168593289.29164171</v>
      </c>
      <c r="T68" s="25">
        <f t="shared" si="46"/>
        <v>158813670.28052062</v>
      </c>
      <c r="U68" s="25">
        <f t="shared" si="46"/>
        <v>158813670.28052062</v>
      </c>
      <c r="V68" s="25">
        <f t="shared" si="46"/>
        <v>154312321.34241119</v>
      </c>
      <c r="W68" s="25">
        <f t="shared" si="46"/>
        <v>148251518.0630939</v>
      </c>
      <c r="X68" s="25">
        <f t="shared" si="46"/>
        <v>137468624.37046847</v>
      </c>
      <c r="Y68" s="25">
        <f t="shared" si="46"/>
        <v>137468624.37046847</v>
      </c>
      <c r="Z68" s="25">
        <f t="shared" si="46"/>
        <v>118390270.71660142</v>
      </c>
      <c r="AA68" s="25">
        <f t="shared" si="46"/>
        <v>118390270.71660142</v>
      </c>
      <c r="AB68" s="25">
        <f t="shared" si="46"/>
        <v>118390270.71660142</v>
      </c>
      <c r="AC68" s="25">
        <f t="shared" si="46"/>
        <v>118390270.71660142</v>
      </c>
      <c r="AD68" s="25">
        <f t="shared" si="46"/>
        <v>118390270.71660142</v>
      </c>
      <c r="AE68" s="25">
        <f t="shared" si="46"/>
        <v>118390270.71660142</v>
      </c>
      <c r="AF68" s="25">
        <f t="shared" si="46"/>
        <v>114682562.2094501</v>
      </c>
      <c r="AG68" s="25">
        <f t="shared" si="46"/>
        <v>114682562.2094501</v>
      </c>
      <c r="AH68" s="25">
        <f t="shared" si="46"/>
        <v>114682562.2094501</v>
      </c>
      <c r="AI68" s="25">
        <f t="shared" si="46"/>
        <v>114682562.2094501</v>
      </c>
      <c r="AJ68" s="25">
        <f t="shared" si="46"/>
        <v>114682562.2094501</v>
      </c>
      <c r="AK68" s="25">
        <f t="shared" si="46"/>
        <v>114682562.2094501</v>
      </c>
      <c r="AL68" s="25">
        <f t="shared" si="46"/>
        <v>114682562.2094501</v>
      </c>
      <c r="AM68" s="25">
        <f t="shared" si="46"/>
        <v>114682562.2094501</v>
      </c>
      <c r="AN68" s="25">
        <f t="shared" si="46"/>
        <v>114682562.2094501</v>
      </c>
      <c r="AO68" s="25">
        <f t="shared" si="46"/>
        <v>114682562.2094501</v>
      </c>
      <c r="AP68" s="27">
        <f t="shared" si="46"/>
        <v>114682562.2094501</v>
      </c>
    </row>
    <row r="69" spans="1:42">
      <c r="A69" s="93" t="s">
        <v>81</v>
      </c>
      <c r="B69" s="12"/>
      <c r="C69" s="12"/>
      <c r="D69" s="12"/>
      <c r="E69" s="12"/>
      <c r="F69" s="12"/>
      <c r="G69" s="12"/>
      <c r="H69" s="12"/>
      <c r="I69" s="12"/>
      <c r="J69" s="12"/>
      <c r="K69" s="12">
        <f t="shared" ref="K69:AP69" si="47">K59*$B$81</f>
        <v>0</v>
      </c>
      <c r="L69" s="12">
        <f t="shared" si="47"/>
        <v>0</v>
      </c>
      <c r="M69" s="12">
        <f t="shared" si="47"/>
        <v>2640000</v>
      </c>
      <c r="N69" s="12">
        <f t="shared" si="47"/>
        <v>2640000</v>
      </c>
      <c r="O69" s="12">
        <f t="shared" si="47"/>
        <v>2640000</v>
      </c>
      <c r="P69" s="12">
        <f t="shared" si="47"/>
        <v>2640000</v>
      </c>
      <c r="Q69" s="12">
        <f t="shared" si="47"/>
        <v>2640000</v>
      </c>
      <c r="R69" s="12">
        <f t="shared" si="47"/>
        <v>2640000</v>
      </c>
      <c r="S69" s="12">
        <f t="shared" si="47"/>
        <v>4640000</v>
      </c>
      <c r="T69" s="12">
        <f t="shared" si="47"/>
        <v>4640000</v>
      </c>
      <c r="U69" s="12">
        <f t="shared" si="47"/>
        <v>4640000</v>
      </c>
      <c r="V69" s="12">
        <f t="shared" si="47"/>
        <v>7720000</v>
      </c>
      <c r="W69" s="12">
        <f t="shared" si="47"/>
        <v>11867040</v>
      </c>
      <c r="X69" s="12">
        <f t="shared" si="47"/>
        <v>14354160</v>
      </c>
      <c r="Y69" s="12">
        <f t="shared" si="47"/>
        <v>14354160</v>
      </c>
      <c r="Z69" s="12">
        <f t="shared" si="47"/>
        <v>19986160</v>
      </c>
      <c r="AA69" s="12">
        <f t="shared" si="47"/>
        <v>19986160</v>
      </c>
      <c r="AB69" s="12">
        <f t="shared" si="47"/>
        <v>19986160</v>
      </c>
      <c r="AC69" s="12">
        <f t="shared" si="47"/>
        <v>19986160</v>
      </c>
      <c r="AD69" s="12">
        <f t="shared" si="47"/>
        <v>19986160</v>
      </c>
      <c r="AE69" s="12">
        <f t="shared" si="47"/>
        <v>19986160</v>
      </c>
      <c r="AF69" s="12">
        <f t="shared" si="47"/>
        <v>22523120</v>
      </c>
      <c r="AG69" s="12">
        <f t="shared" si="47"/>
        <v>22523120</v>
      </c>
      <c r="AH69" s="12">
        <f t="shared" si="47"/>
        <v>22523120</v>
      </c>
      <c r="AI69" s="12">
        <f t="shared" si="47"/>
        <v>22523120</v>
      </c>
      <c r="AJ69" s="12">
        <f t="shared" si="47"/>
        <v>22523120</v>
      </c>
      <c r="AK69" s="12">
        <f t="shared" si="47"/>
        <v>22523120</v>
      </c>
      <c r="AL69" s="12">
        <f t="shared" si="47"/>
        <v>22523120</v>
      </c>
      <c r="AM69" s="12">
        <f t="shared" si="47"/>
        <v>22523120</v>
      </c>
      <c r="AN69" s="12">
        <f t="shared" si="47"/>
        <v>22523120</v>
      </c>
      <c r="AO69" s="12">
        <f t="shared" si="47"/>
        <v>22523120</v>
      </c>
      <c r="AP69" s="30">
        <f t="shared" si="47"/>
        <v>22523120</v>
      </c>
    </row>
    <row r="70" spans="1:42">
      <c r="A70" s="93" t="s">
        <v>82</v>
      </c>
      <c r="B70" s="12"/>
      <c r="C70" s="12"/>
      <c r="D70" s="12"/>
      <c r="E70" s="12"/>
      <c r="F70" s="12"/>
      <c r="G70" s="12"/>
      <c r="H70" s="12"/>
      <c r="I70" s="12"/>
      <c r="J70" s="12"/>
      <c r="K70" s="12">
        <f t="shared" ref="K70:AP70" si="48">K60*$B$82</f>
        <v>0</v>
      </c>
      <c r="L70" s="12">
        <f t="shared" si="48"/>
        <v>0</v>
      </c>
      <c r="M70" s="12">
        <f t="shared" si="48"/>
        <v>0</v>
      </c>
      <c r="N70" s="12">
        <f t="shared" si="48"/>
        <v>0</v>
      </c>
      <c r="O70" s="12">
        <f t="shared" si="48"/>
        <v>0</v>
      </c>
      <c r="P70" s="12">
        <f t="shared" si="48"/>
        <v>0</v>
      </c>
      <c r="Q70" s="12">
        <f t="shared" si="48"/>
        <v>0</v>
      </c>
      <c r="R70" s="12">
        <f t="shared" si="48"/>
        <v>0</v>
      </c>
      <c r="S70" s="12">
        <f t="shared" si="48"/>
        <v>0</v>
      </c>
      <c r="T70" s="12">
        <f t="shared" si="48"/>
        <v>0</v>
      </c>
      <c r="U70" s="12">
        <f t="shared" si="48"/>
        <v>0</v>
      </c>
      <c r="V70" s="12">
        <f t="shared" si="48"/>
        <v>0</v>
      </c>
      <c r="W70" s="12">
        <f t="shared" si="48"/>
        <v>0</v>
      </c>
      <c r="X70" s="12">
        <f t="shared" si="48"/>
        <v>0</v>
      </c>
      <c r="Y70" s="12">
        <f t="shared" si="48"/>
        <v>0</v>
      </c>
      <c r="Z70" s="12">
        <f t="shared" si="48"/>
        <v>2200880</v>
      </c>
      <c r="AA70" s="12">
        <f t="shared" si="48"/>
        <v>2200880</v>
      </c>
      <c r="AB70" s="12">
        <f t="shared" si="48"/>
        <v>2200880</v>
      </c>
      <c r="AC70" s="12">
        <f t="shared" si="48"/>
        <v>2200880</v>
      </c>
      <c r="AD70" s="12">
        <f t="shared" si="48"/>
        <v>2200880</v>
      </c>
      <c r="AE70" s="12">
        <f t="shared" si="48"/>
        <v>2200880</v>
      </c>
      <c r="AF70" s="12">
        <f t="shared" si="48"/>
        <v>2200880</v>
      </c>
      <c r="AG70" s="12">
        <f t="shared" si="48"/>
        <v>2200880</v>
      </c>
      <c r="AH70" s="12">
        <f t="shared" si="48"/>
        <v>2200880</v>
      </c>
      <c r="AI70" s="12">
        <f t="shared" si="48"/>
        <v>2200880</v>
      </c>
      <c r="AJ70" s="12">
        <f t="shared" si="48"/>
        <v>2200880</v>
      </c>
      <c r="AK70" s="12">
        <f t="shared" si="48"/>
        <v>2200880</v>
      </c>
      <c r="AL70" s="12">
        <f t="shared" si="48"/>
        <v>2200880</v>
      </c>
      <c r="AM70" s="12">
        <f t="shared" si="48"/>
        <v>2200880</v>
      </c>
      <c r="AN70" s="12">
        <f t="shared" si="48"/>
        <v>2200880</v>
      </c>
      <c r="AO70" s="12">
        <f t="shared" si="48"/>
        <v>2200880</v>
      </c>
      <c r="AP70" s="30">
        <f t="shared" si="48"/>
        <v>2200880</v>
      </c>
    </row>
    <row r="71" spans="1:42">
      <c r="A71" s="93" t="s">
        <v>83</v>
      </c>
      <c r="B71" s="12"/>
      <c r="C71" s="12"/>
      <c r="D71" s="12"/>
      <c r="E71" s="12"/>
      <c r="F71" s="12"/>
      <c r="G71" s="12"/>
      <c r="H71" s="12"/>
      <c r="I71" s="12"/>
      <c r="J71" s="12"/>
      <c r="K71" s="12">
        <f t="shared" ref="K71:AP71" si="49">K61*$B$83</f>
        <v>0</v>
      </c>
      <c r="L71" s="12">
        <f t="shared" si="49"/>
        <v>0</v>
      </c>
      <c r="M71" s="12">
        <f t="shared" si="49"/>
        <v>0</v>
      </c>
      <c r="N71" s="12">
        <f t="shared" si="49"/>
        <v>0</v>
      </c>
      <c r="O71" s="12">
        <f t="shared" si="49"/>
        <v>0</v>
      </c>
      <c r="P71" s="12">
        <f t="shared" si="49"/>
        <v>0</v>
      </c>
      <c r="Q71" s="12">
        <f t="shared" si="49"/>
        <v>0</v>
      </c>
      <c r="R71" s="12">
        <f t="shared" si="49"/>
        <v>0</v>
      </c>
      <c r="S71" s="12">
        <f t="shared" si="49"/>
        <v>0</v>
      </c>
      <c r="T71" s="12">
        <f t="shared" si="49"/>
        <v>0</v>
      </c>
      <c r="U71" s="12">
        <f t="shared" si="49"/>
        <v>0</v>
      </c>
      <c r="V71" s="12">
        <f t="shared" si="49"/>
        <v>0</v>
      </c>
      <c r="W71" s="12">
        <f t="shared" si="49"/>
        <v>0</v>
      </c>
      <c r="X71" s="12">
        <f t="shared" si="49"/>
        <v>0</v>
      </c>
      <c r="Y71" s="12">
        <f t="shared" si="49"/>
        <v>0</v>
      </c>
      <c r="Z71" s="12">
        <f t="shared" si="49"/>
        <v>0</v>
      </c>
      <c r="AA71" s="12">
        <f t="shared" si="49"/>
        <v>0</v>
      </c>
      <c r="AB71" s="12">
        <f t="shared" si="49"/>
        <v>0</v>
      </c>
      <c r="AC71" s="12">
        <f t="shared" si="49"/>
        <v>0</v>
      </c>
      <c r="AD71" s="12">
        <f t="shared" si="49"/>
        <v>0</v>
      </c>
      <c r="AE71" s="12">
        <f t="shared" si="49"/>
        <v>0</v>
      </c>
      <c r="AF71" s="12">
        <f t="shared" si="49"/>
        <v>0</v>
      </c>
      <c r="AG71" s="12">
        <f t="shared" si="49"/>
        <v>0</v>
      </c>
      <c r="AH71" s="12">
        <f t="shared" si="49"/>
        <v>0</v>
      </c>
      <c r="AI71" s="12">
        <f t="shared" si="49"/>
        <v>0</v>
      </c>
      <c r="AJ71" s="12">
        <f t="shared" si="49"/>
        <v>0</v>
      </c>
      <c r="AK71" s="12">
        <f t="shared" si="49"/>
        <v>0</v>
      </c>
      <c r="AL71" s="12">
        <f t="shared" si="49"/>
        <v>0</v>
      </c>
      <c r="AM71" s="12">
        <f t="shared" si="49"/>
        <v>0</v>
      </c>
      <c r="AN71" s="12">
        <f t="shared" si="49"/>
        <v>0</v>
      </c>
      <c r="AO71" s="12">
        <f t="shared" si="49"/>
        <v>0</v>
      </c>
      <c r="AP71" s="30">
        <f t="shared" si="49"/>
        <v>0</v>
      </c>
    </row>
    <row r="72" spans="1:42">
      <c r="A72" s="93" t="s">
        <v>84</v>
      </c>
      <c r="B72" s="12"/>
      <c r="C72" s="12"/>
      <c r="D72" s="12"/>
      <c r="E72" s="12"/>
      <c r="F72" s="12"/>
      <c r="G72" s="12"/>
      <c r="H72" s="12"/>
      <c r="I72" s="12"/>
      <c r="J72" s="12"/>
      <c r="K72" s="12">
        <f t="shared" ref="K72:AP72" si="50">K62*$B$84</f>
        <v>0</v>
      </c>
      <c r="L72" s="12">
        <f t="shared" si="50"/>
        <v>0</v>
      </c>
      <c r="M72" s="12">
        <f t="shared" si="50"/>
        <v>600000</v>
      </c>
      <c r="N72" s="12">
        <f t="shared" si="50"/>
        <v>600000</v>
      </c>
      <c r="O72" s="12">
        <f t="shared" si="50"/>
        <v>600000</v>
      </c>
      <c r="P72" s="12">
        <f t="shared" si="50"/>
        <v>6190000</v>
      </c>
      <c r="Q72" s="12">
        <f t="shared" si="50"/>
        <v>6190000</v>
      </c>
      <c r="R72" s="12">
        <f t="shared" si="50"/>
        <v>6190000</v>
      </c>
      <c r="S72" s="12">
        <f t="shared" si="50"/>
        <v>6190000</v>
      </c>
      <c r="T72" s="12">
        <f t="shared" si="50"/>
        <v>21300000</v>
      </c>
      <c r="U72" s="12">
        <f t="shared" si="50"/>
        <v>21300000</v>
      </c>
      <c r="V72" s="12">
        <f t="shared" si="50"/>
        <v>22592000</v>
      </c>
      <c r="W72" s="12">
        <f t="shared" si="50"/>
        <v>24352000</v>
      </c>
      <c r="X72" s="12">
        <f t="shared" si="50"/>
        <v>24352000</v>
      </c>
      <c r="Y72" s="12">
        <f t="shared" si="50"/>
        <v>24352000</v>
      </c>
      <c r="Z72" s="12">
        <f t="shared" si="50"/>
        <v>24352000</v>
      </c>
      <c r="AA72" s="12">
        <f t="shared" si="50"/>
        <v>26444000</v>
      </c>
      <c r="AB72" s="12">
        <f t="shared" si="50"/>
        <v>28536000</v>
      </c>
      <c r="AC72" s="12">
        <f t="shared" si="50"/>
        <v>29732000</v>
      </c>
      <c r="AD72" s="12">
        <f t="shared" si="50"/>
        <v>29732000</v>
      </c>
      <c r="AE72" s="12">
        <f t="shared" si="50"/>
        <v>29732000</v>
      </c>
      <c r="AF72" s="12">
        <f t="shared" si="50"/>
        <v>30948720</v>
      </c>
      <c r="AG72" s="12">
        <f t="shared" si="50"/>
        <v>30948720</v>
      </c>
      <c r="AH72" s="12">
        <f t="shared" si="50"/>
        <v>30948720</v>
      </c>
      <c r="AI72" s="12">
        <f t="shared" si="50"/>
        <v>30948720</v>
      </c>
      <c r="AJ72" s="12">
        <f t="shared" si="50"/>
        <v>30948720</v>
      </c>
      <c r="AK72" s="12">
        <f t="shared" si="50"/>
        <v>35348720</v>
      </c>
      <c r="AL72" s="12">
        <f t="shared" si="50"/>
        <v>35348720</v>
      </c>
      <c r="AM72" s="12">
        <f t="shared" si="50"/>
        <v>35348720</v>
      </c>
      <c r="AN72" s="12">
        <f t="shared" si="50"/>
        <v>35348720</v>
      </c>
      <c r="AO72" s="12">
        <f t="shared" si="50"/>
        <v>42308720</v>
      </c>
      <c r="AP72" s="30">
        <f t="shared" si="50"/>
        <v>42308720</v>
      </c>
    </row>
    <row r="73" spans="1:42">
      <c r="A73" s="93" t="s">
        <v>85</v>
      </c>
      <c r="B73" s="12"/>
      <c r="C73" s="12"/>
      <c r="D73" s="12"/>
      <c r="E73" s="12"/>
      <c r="F73" s="12"/>
      <c r="G73" s="12"/>
      <c r="H73" s="12"/>
      <c r="I73" s="12"/>
      <c r="J73" s="12"/>
      <c r="K73" s="12">
        <f t="shared" ref="K73:AP73" si="51">K63*$B$85</f>
        <v>0</v>
      </c>
      <c r="L73" s="12">
        <f t="shared" si="51"/>
        <v>0</v>
      </c>
      <c r="M73" s="12">
        <f t="shared" si="51"/>
        <v>0</v>
      </c>
      <c r="N73" s="12">
        <f t="shared" si="51"/>
        <v>0</v>
      </c>
      <c r="O73" s="12">
        <f t="shared" si="51"/>
        <v>0</v>
      </c>
      <c r="P73" s="12">
        <f t="shared" si="51"/>
        <v>0</v>
      </c>
      <c r="Q73" s="12">
        <f t="shared" si="51"/>
        <v>0</v>
      </c>
      <c r="R73" s="12">
        <f t="shared" si="51"/>
        <v>0</v>
      </c>
      <c r="S73" s="12">
        <f t="shared" si="51"/>
        <v>0</v>
      </c>
      <c r="T73" s="12">
        <f t="shared" si="51"/>
        <v>0</v>
      </c>
      <c r="U73" s="12">
        <f t="shared" si="51"/>
        <v>0</v>
      </c>
      <c r="V73" s="12">
        <f t="shared" si="51"/>
        <v>0</v>
      </c>
      <c r="W73" s="12">
        <f t="shared" si="51"/>
        <v>0</v>
      </c>
      <c r="X73" s="12">
        <f t="shared" si="51"/>
        <v>0</v>
      </c>
      <c r="Y73" s="12">
        <f t="shared" si="51"/>
        <v>0</v>
      </c>
      <c r="Z73" s="12">
        <f t="shared" si="51"/>
        <v>0</v>
      </c>
      <c r="AA73" s="12">
        <f t="shared" si="51"/>
        <v>0</v>
      </c>
      <c r="AB73" s="12">
        <f t="shared" si="51"/>
        <v>0</v>
      </c>
      <c r="AC73" s="12">
        <f t="shared" si="51"/>
        <v>0</v>
      </c>
      <c r="AD73" s="12">
        <f t="shared" si="51"/>
        <v>0</v>
      </c>
      <c r="AE73" s="12">
        <f t="shared" si="51"/>
        <v>0</v>
      </c>
      <c r="AF73" s="12">
        <f t="shared" si="51"/>
        <v>0</v>
      </c>
      <c r="AG73" s="12">
        <f t="shared" si="51"/>
        <v>0</v>
      </c>
      <c r="AH73" s="12">
        <f t="shared" si="51"/>
        <v>0</v>
      </c>
      <c r="AI73" s="12">
        <f t="shared" si="51"/>
        <v>0</v>
      </c>
      <c r="AJ73" s="12">
        <f t="shared" si="51"/>
        <v>0</v>
      </c>
      <c r="AK73" s="12">
        <f t="shared" si="51"/>
        <v>0</v>
      </c>
      <c r="AL73" s="12">
        <f t="shared" si="51"/>
        <v>0</v>
      </c>
      <c r="AM73" s="12">
        <f t="shared" si="51"/>
        <v>0</v>
      </c>
      <c r="AN73" s="12">
        <f t="shared" si="51"/>
        <v>0</v>
      </c>
      <c r="AO73" s="12">
        <f t="shared" si="51"/>
        <v>0</v>
      </c>
      <c r="AP73" s="30">
        <f t="shared" si="51"/>
        <v>0</v>
      </c>
    </row>
    <row r="74" spans="1:42">
      <c r="A74" s="93" t="s">
        <v>86</v>
      </c>
      <c r="B74" s="12"/>
      <c r="C74" s="12"/>
      <c r="D74" s="12"/>
      <c r="E74" s="12"/>
      <c r="F74" s="12"/>
      <c r="G74" s="12"/>
      <c r="H74" s="12"/>
      <c r="I74" s="12"/>
      <c r="J74" s="12"/>
      <c r="K74" s="12">
        <f t="shared" ref="K74:AP74" si="52">K64*$B$86</f>
        <v>0</v>
      </c>
      <c r="L74" s="12">
        <f t="shared" si="52"/>
        <v>0</v>
      </c>
      <c r="M74" s="12">
        <f t="shared" si="52"/>
        <v>0</v>
      </c>
      <c r="N74" s="12">
        <f t="shared" si="52"/>
        <v>0</v>
      </c>
      <c r="O74" s="12">
        <f t="shared" si="52"/>
        <v>0</v>
      </c>
      <c r="P74" s="12">
        <f t="shared" si="52"/>
        <v>0</v>
      </c>
      <c r="Q74" s="12">
        <f t="shared" si="52"/>
        <v>0</v>
      </c>
      <c r="R74" s="12">
        <f t="shared" si="52"/>
        <v>0</v>
      </c>
      <c r="S74" s="12">
        <f t="shared" si="52"/>
        <v>0</v>
      </c>
      <c r="T74" s="12">
        <f t="shared" si="52"/>
        <v>0</v>
      </c>
      <c r="U74" s="12">
        <f t="shared" si="52"/>
        <v>0</v>
      </c>
      <c r="V74" s="12">
        <f t="shared" si="52"/>
        <v>0</v>
      </c>
      <c r="W74" s="12">
        <f t="shared" si="52"/>
        <v>0</v>
      </c>
      <c r="X74" s="12">
        <f t="shared" si="52"/>
        <v>10800000</v>
      </c>
      <c r="Y74" s="12">
        <f t="shared" si="52"/>
        <v>10800000</v>
      </c>
      <c r="Z74" s="12">
        <f t="shared" si="52"/>
        <v>10800000</v>
      </c>
      <c r="AA74" s="12">
        <f t="shared" si="52"/>
        <v>10800000</v>
      </c>
      <c r="AB74" s="12">
        <f t="shared" si="52"/>
        <v>10800000</v>
      </c>
      <c r="AC74" s="12">
        <f t="shared" si="52"/>
        <v>10800000</v>
      </c>
      <c r="AD74" s="12">
        <f t="shared" si="52"/>
        <v>10800000</v>
      </c>
      <c r="AE74" s="12">
        <f t="shared" si="52"/>
        <v>10800000</v>
      </c>
      <c r="AF74" s="12">
        <f t="shared" si="52"/>
        <v>10800000</v>
      </c>
      <c r="AG74" s="12">
        <f t="shared" si="52"/>
        <v>10800000</v>
      </c>
      <c r="AH74" s="12">
        <f t="shared" si="52"/>
        <v>10800000</v>
      </c>
      <c r="AI74" s="12">
        <f t="shared" si="52"/>
        <v>10800000</v>
      </c>
      <c r="AJ74" s="12">
        <f t="shared" si="52"/>
        <v>10800000</v>
      </c>
      <c r="AK74" s="12">
        <f t="shared" si="52"/>
        <v>10800000</v>
      </c>
      <c r="AL74" s="12">
        <f t="shared" si="52"/>
        <v>10800000</v>
      </c>
      <c r="AM74" s="12">
        <f t="shared" si="52"/>
        <v>10800000</v>
      </c>
      <c r="AN74" s="12">
        <f t="shared" si="52"/>
        <v>10800000</v>
      </c>
      <c r="AO74" s="12">
        <f t="shared" si="52"/>
        <v>10800000</v>
      </c>
      <c r="AP74" s="30">
        <f t="shared" si="52"/>
        <v>10800000</v>
      </c>
    </row>
    <row r="75" spans="1:42" ht="15.75" customHeight="1">
      <c r="A75" s="96" t="s">
        <v>30</v>
      </c>
      <c r="B75" s="38">
        <f t="shared" ref="B75:AP75" si="53">SUM(B68:B74)</f>
        <v>179849000</v>
      </c>
      <c r="C75" s="38">
        <f t="shared" si="53"/>
        <v>179849000</v>
      </c>
      <c r="D75" s="38">
        <f t="shared" si="53"/>
        <v>179849000</v>
      </c>
      <c r="E75" s="38">
        <f t="shared" si="53"/>
        <v>179849000</v>
      </c>
      <c r="F75" s="38">
        <f t="shared" si="53"/>
        <v>179849000</v>
      </c>
      <c r="G75" s="38">
        <f t="shared" si="53"/>
        <v>179849000</v>
      </c>
      <c r="H75" s="38">
        <f t="shared" si="53"/>
        <v>179849000</v>
      </c>
      <c r="I75" s="38">
        <f t="shared" si="53"/>
        <v>179849000</v>
      </c>
      <c r="J75" s="38">
        <f t="shared" si="53"/>
        <v>179849000</v>
      </c>
      <c r="K75" s="38">
        <f t="shared" si="53"/>
        <v>179849000</v>
      </c>
      <c r="L75" s="38">
        <f t="shared" si="53"/>
        <v>179849000</v>
      </c>
      <c r="M75" s="38">
        <f t="shared" si="53"/>
        <v>179230700.91019192</v>
      </c>
      <c r="N75" s="38">
        <f t="shared" si="53"/>
        <v>179230700.91019192</v>
      </c>
      <c r="O75" s="38">
        <f t="shared" si="53"/>
        <v>179230700.91019192</v>
      </c>
      <c r="P75" s="38">
        <f t="shared" si="53"/>
        <v>184820700.91019192</v>
      </c>
      <c r="Q75" s="38">
        <f t="shared" si="53"/>
        <v>184820700.91019192</v>
      </c>
      <c r="R75" s="38">
        <f t="shared" si="53"/>
        <v>184820700.91019192</v>
      </c>
      <c r="S75" s="38">
        <f t="shared" si="53"/>
        <v>179423289.29164171</v>
      </c>
      <c r="T75" s="38">
        <f t="shared" si="53"/>
        <v>184753670.28052062</v>
      </c>
      <c r="U75" s="38">
        <f t="shared" si="53"/>
        <v>184753670.28052062</v>
      </c>
      <c r="V75" s="38">
        <f t="shared" si="53"/>
        <v>184624321.34241119</v>
      </c>
      <c r="W75" s="38">
        <f t="shared" si="53"/>
        <v>184470558.0630939</v>
      </c>
      <c r="X75" s="38">
        <f t="shared" si="53"/>
        <v>186974784.37046847</v>
      </c>
      <c r="Y75" s="38">
        <f t="shared" si="53"/>
        <v>186974784.37046847</v>
      </c>
      <c r="Z75" s="38">
        <f t="shared" si="53"/>
        <v>175729310.71660143</v>
      </c>
      <c r="AA75" s="38">
        <f t="shared" si="53"/>
        <v>177821310.71660143</v>
      </c>
      <c r="AB75" s="38">
        <f t="shared" si="53"/>
        <v>179913310.71660143</v>
      </c>
      <c r="AC75" s="38">
        <f t="shared" si="53"/>
        <v>181109310.71660143</v>
      </c>
      <c r="AD75" s="38">
        <f t="shared" si="53"/>
        <v>181109310.71660143</v>
      </c>
      <c r="AE75" s="38">
        <f t="shared" si="53"/>
        <v>181109310.71660143</v>
      </c>
      <c r="AF75" s="38">
        <f t="shared" si="53"/>
        <v>181155282.2094501</v>
      </c>
      <c r="AG75" s="38">
        <f t="shared" si="53"/>
        <v>181155282.2094501</v>
      </c>
      <c r="AH75" s="38">
        <f t="shared" si="53"/>
        <v>181155282.2094501</v>
      </c>
      <c r="AI75" s="38">
        <f t="shared" si="53"/>
        <v>181155282.2094501</v>
      </c>
      <c r="AJ75" s="38">
        <f t="shared" si="53"/>
        <v>181155282.2094501</v>
      </c>
      <c r="AK75" s="38">
        <f t="shared" si="53"/>
        <v>185555282.2094501</v>
      </c>
      <c r="AL75" s="38">
        <f t="shared" si="53"/>
        <v>185555282.2094501</v>
      </c>
      <c r="AM75" s="38">
        <f t="shared" si="53"/>
        <v>185555282.2094501</v>
      </c>
      <c r="AN75" s="38">
        <f t="shared" si="53"/>
        <v>185555282.2094501</v>
      </c>
      <c r="AO75" s="38">
        <f t="shared" si="53"/>
        <v>192515282.2094501</v>
      </c>
      <c r="AP75" s="39">
        <f t="shared" si="53"/>
        <v>192515282.2094501</v>
      </c>
    </row>
    <row r="76" spans="1:42" ht="15.75" customHeight="1">
      <c r="A76" s="66"/>
      <c r="B76" s="40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</row>
    <row r="77" spans="1:42" ht="15.75" customHeight="1">
      <c r="A77" s="41" t="s">
        <v>31</v>
      </c>
      <c r="B77" s="40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</row>
    <row r="78" spans="1:42" ht="15.75" customHeight="1">
      <c r="A78" s="57" t="s">
        <v>32</v>
      </c>
      <c r="B78" s="42">
        <f>(131543*1000)/B50</f>
        <v>85.514875049325624</v>
      </c>
      <c r="C78" s="66"/>
      <c r="D78" s="43" t="s">
        <v>33</v>
      </c>
      <c r="E78" s="44"/>
      <c r="F78" s="44"/>
      <c r="G78" s="45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</row>
    <row r="79" spans="1:42">
      <c r="A79" s="47" t="s">
        <v>34</v>
      </c>
      <c r="B79" s="46">
        <f>(48306*1000)/B50</f>
        <v>31.403279187282667</v>
      </c>
      <c r="C79" s="66"/>
      <c r="D79" s="47" t="s">
        <v>5</v>
      </c>
      <c r="E79" s="48">
        <f t="shared" ref="E79:G79" si="54">I32/I39</f>
        <v>7.1055077852660931E-3</v>
      </c>
      <c r="F79" s="48">
        <f t="shared" si="54"/>
        <v>7.0412640771242698E-3</v>
      </c>
      <c r="G79" s="49">
        <f t="shared" si="54"/>
        <v>6.8805095707562035E-3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</row>
    <row r="80" spans="1:42">
      <c r="A80" s="47" t="s">
        <v>35</v>
      </c>
      <c r="B80" s="46">
        <f>B54</f>
        <v>116.91815423660829</v>
      </c>
      <c r="C80" s="66"/>
      <c r="D80" s="47" t="s">
        <v>36</v>
      </c>
      <c r="E80" s="50">
        <f t="shared" ref="E80:G80" si="55">I33/I39</f>
        <v>9.2958401115500813E-3</v>
      </c>
      <c r="F80" s="50">
        <f t="shared" si="55"/>
        <v>8.6462183602446889E-3</v>
      </c>
      <c r="G80" s="51">
        <f t="shared" si="55"/>
        <v>8.6957466928988363E-3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</row>
    <row r="81" spans="1:42" ht="15.75" customHeight="1">
      <c r="A81" s="47" t="s">
        <v>87</v>
      </c>
      <c r="B81" s="46">
        <v>80</v>
      </c>
      <c r="C81" s="66"/>
      <c r="D81" s="52" t="s">
        <v>38</v>
      </c>
      <c r="E81" s="53">
        <f t="shared" ref="E81:G81" si="56">I34/I39</f>
        <v>1.6837090402045087E-2</v>
      </c>
      <c r="F81" s="53">
        <f t="shared" si="56"/>
        <v>1.609277392300543E-2</v>
      </c>
      <c r="G81" s="54">
        <f t="shared" si="56"/>
        <v>1.5983869389884674E-2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</row>
    <row r="82" spans="1:42" ht="15.75" customHeight="1">
      <c r="A82" s="47" t="s">
        <v>88</v>
      </c>
      <c r="B82" s="46">
        <v>80</v>
      </c>
      <c r="C82" s="66"/>
      <c r="D82" s="2"/>
      <c r="E82" s="55"/>
      <c r="F82" s="55"/>
      <c r="G82" s="55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</row>
    <row r="83" spans="1:42">
      <c r="A83" s="47" t="s">
        <v>89</v>
      </c>
      <c r="B83" s="46">
        <v>80</v>
      </c>
      <c r="C83" s="66"/>
      <c r="D83" s="2"/>
      <c r="E83" s="55"/>
      <c r="F83" s="55"/>
      <c r="G83" s="55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</row>
    <row r="84" spans="1:42">
      <c r="A84" s="47" t="s">
        <v>90</v>
      </c>
      <c r="B84" s="46">
        <v>80</v>
      </c>
      <c r="C84" s="66"/>
      <c r="D84" s="2"/>
      <c r="E84" s="55"/>
      <c r="F84" s="55"/>
      <c r="G84" s="55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</row>
    <row r="85" spans="1:42">
      <c r="A85" s="47" t="s">
        <v>91</v>
      </c>
      <c r="B85" s="46">
        <f>B80*2.5</f>
        <v>292.2953855915207</v>
      </c>
      <c r="C85" s="66"/>
      <c r="D85" s="2"/>
      <c r="E85" s="55"/>
      <c r="F85" s="55"/>
      <c r="G85" s="55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</row>
    <row r="86" spans="1:42">
      <c r="A86" s="47" t="s">
        <v>92</v>
      </c>
      <c r="B86" s="46">
        <v>80</v>
      </c>
      <c r="C86" s="66"/>
      <c r="D86" s="2"/>
      <c r="E86" s="55"/>
      <c r="F86" s="55"/>
      <c r="G86" s="55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</row>
    <row r="87" spans="1:42">
      <c r="A87" s="47" t="s">
        <v>39</v>
      </c>
      <c r="B87" s="49">
        <f>B78/B80</f>
        <v>0.73140801450105364</v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</row>
    <row r="88" spans="1:42" ht="15.75" customHeight="1">
      <c r="A88" s="47" t="s">
        <v>40</v>
      </c>
      <c r="B88" s="49">
        <f>B79/B80</f>
        <v>0.26859198549894636</v>
      </c>
      <c r="C88" s="66"/>
      <c r="D88" s="66"/>
      <c r="E88" s="66"/>
      <c r="F88" s="7">
        <v>2009</v>
      </c>
      <c r="G88" s="4">
        <v>2010</v>
      </c>
      <c r="H88" s="4">
        <v>2011</v>
      </c>
      <c r="I88" s="4">
        <v>2012</v>
      </c>
      <c r="J88" s="4">
        <v>2013</v>
      </c>
      <c r="K88" s="4">
        <v>2014</v>
      </c>
      <c r="L88" s="4">
        <v>2015</v>
      </c>
      <c r="M88" s="4">
        <v>2016</v>
      </c>
      <c r="N88" s="4">
        <v>2017</v>
      </c>
      <c r="O88" s="4">
        <v>2018</v>
      </c>
      <c r="P88" s="4">
        <v>2019</v>
      </c>
      <c r="Q88" s="4">
        <v>2020</v>
      </c>
      <c r="R88" s="4">
        <v>2021</v>
      </c>
      <c r="S88" s="4">
        <v>2022</v>
      </c>
      <c r="T88" s="4">
        <v>2023</v>
      </c>
      <c r="U88" s="4">
        <v>2024</v>
      </c>
      <c r="V88" s="4">
        <v>2025</v>
      </c>
      <c r="W88" s="4">
        <v>2026</v>
      </c>
      <c r="X88" s="4">
        <v>2027</v>
      </c>
      <c r="Y88" s="4">
        <v>2028</v>
      </c>
      <c r="Z88" s="4">
        <v>2029</v>
      </c>
      <c r="AA88" s="4">
        <v>2030</v>
      </c>
      <c r="AB88" s="4">
        <v>2031</v>
      </c>
      <c r="AC88" s="4">
        <v>2032</v>
      </c>
      <c r="AD88" s="4">
        <v>2033</v>
      </c>
      <c r="AE88" s="4">
        <v>2034</v>
      </c>
      <c r="AF88" s="4">
        <v>2035</v>
      </c>
      <c r="AG88" s="4">
        <v>2036</v>
      </c>
      <c r="AH88" s="4">
        <v>2037</v>
      </c>
      <c r="AI88" s="4">
        <v>2038</v>
      </c>
      <c r="AJ88" s="4">
        <v>2039</v>
      </c>
      <c r="AK88" s="4">
        <v>2040</v>
      </c>
      <c r="AL88" s="66"/>
      <c r="AM88" s="66"/>
      <c r="AN88" s="66"/>
      <c r="AO88" s="66"/>
      <c r="AP88" s="66"/>
    </row>
    <row r="89" spans="1:42" ht="15.75" customHeight="1">
      <c r="A89" s="47" t="s">
        <v>41</v>
      </c>
      <c r="B89" s="56">
        <f>K31/(B75*B87)</f>
        <v>5.7030780809317106E-5</v>
      </c>
      <c r="C89" s="66"/>
      <c r="D89" s="57"/>
      <c r="E89" s="23"/>
      <c r="F89" s="58" t="s">
        <v>42</v>
      </c>
      <c r="G89" s="23"/>
      <c r="H89" s="23"/>
      <c r="I89" s="23"/>
      <c r="J89" s="59"/>
      <c r="K89" s="60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61"/>
      <c r="AK89" s="66"/>
      <c r="AL89" s="66"/>
      <c r="AM89" s="66"/>
      <c r="AN89" s="66"/>
      <c r="AO89" s="66"/>
      <c r="AP89" s="66"/>
    </row>
    <row r="90" spans="1:42">
      <c r="A90" s="47" t="s">
        <v>43</v>
      </c>
      <c r="B90" s="56">
        <f>K35/(B75*B88)</f>
        <v>1.7738997226017471E-4</v>
      </c>
      <c r="C90" s="66"/>
      <c r="D90" s="47" t="s">
        <v>44</v>
      </c>
      <c r="E90" s="2" t="s">
        <v>45</v>
      </c>
      <c r="F90" s="62">
        <f t="shared" ref="F90:AJ90" si="57">(L31+L32+L33+L34+L36+L37)*4.5</f>
        <v>39695.4</v>
      </c>
      <c r="G90" s="62">
        <f t="shared" si="57"/>
        <v>39585.628809187489</v>
      </c>
      <c r="H90" s="62">
        <f t="shared" si="57"/>
        <v>39574.179255690557</v>
      </c>
      <c r="I90" s="62">
        <f t="shared" si="57"/>
        <v>39574.179255690557</v>
      </c>
      <c r="J90" s="62">
        <f t="shared" si="57"/>
        <v>40681.531147097303</v>
      </c>
      <c r="K90" s="62">
        <f t="shared" si="57"/>
        <v>40681.531147097303</v>
      </c>
      <c r="L90" s="62">
        <f t="shared" si="57"/>
        <v>40681.531147097303</v>
      </c>
      <c r="M90" s="62">
        <f t="shared" si="57"/>
        <v>39636.593754977468</v>
      </c>
      <c r="N90" s="62">
        <f t="shared" si="57"/>
        <v>10300.093747481325</v>
      </c>
      <c r="O90" s="62">
        <f t="shared" si="57"/>
        <v>10300.093747481325</v>
      </c>
      <c r="P90" s="62">
        <f t="shared" si="57"/>
        <v>10316.234874894806</v>
      </c>
      <c r="Q90" s="62">
        <f t="shared" si="57"/>
        <v>10332.654684685567</v>
      </c>
      <c r="R90" s="62">
        <f t="shared" si="57"/>
        <v>10396.097903465832</v>
      </c>
      <c r="S90" s="62">
        <f t="shared" si="57"/>
        <v>10396.097903465832</v>
      </c>
      <c r="T90" s="62">
        <f t="shared" si="57"/>
        <v>10341.501532261171</v>
      </c>
      <c r="U90" s="62">
        <f t="shared" si="57"/>
        <v>10364.416587148991</v>
      </c>
      <c r="V90" s="62">
        <f t="shared" si="57"/>
        <v>10382.831642036814</v>
      </c>
      <c r="W90" s="62">
        <f t="shared" si="57"/>
        <v>10394.753442058722</v>
      </c>
      <c r="X90" s="62">
        <f t="shared" si="57"/>
        <v>10394.753442058722</v>
      </c>
      <c r="Y90" s="62">
        <f t="shared" si="57"/>
        <v>10394.753442058722</v>
      </c>
      <c r="Z90" s="62">
        <f t="shared" si="57"/>
        <v>10411.521538341371</v>
      </c>
      <c r="AA90" s="62">
        <f t="shared" si="57"/>
        <v>10411.521538341371</v>
      </c>
      <c r="AB90" s="62">
        <f t="shared" si="57"/>
        <v>10411.521538341371</v>
      </c>
      <c r="AC90" s="62">
        <f t="shared" si="57"/>
        <v>10411.521538341371</v>
      </c>
      <c r="AD90" s="62">
        <f t="shared" si="57"/>
        <v>10411.521538341371</v>
      </c>
      <c r="AE90" s="62">
        <f t="shared" si="57"/>
        <v>10455.14020062933</v>
      </c>
      <c r="AF90" s="62">
        <f t="shared" si="57"/>
        <v>10455.14020062933</v>
      </c>
      <c r="AG90" s="62">
        <f t="shared" si="57"/>
        <v>10455.14020062933</v>
      </c>
      <c r="AH90" s="62">
        <f t="shared" si="57"/>
        <v>10455.14020062933</v>
      </c>
      <c r="AI90" s="62">
        <f t="shared" si="57"/>
        <v>10528.882448248463</v>
      </c>
      <c r="AJ90" s="63">
        <f t="shared" si="57"/>
        <v>10528.882448248463</v>
      </c>
      <c r="AK90" s="66"/>
      <c r="AL90" s="66"/>
      <c r="AM90" s="66"/>
      <c r="AN90" s="66"/>
      <c r="AO90" s="66"/>
      <c r="AP90" s="66"/>
    </row>
    <row r="91" spans="1:42">
      <c r="A91" s="47"/>
      <c r="B91" s="32"/>
      <c r="C91" s="66"/>
      <c r="D91" s="47"/>
      <c r="E91" s="2" t="s">
        <v>46</v>
      </c>
      <c r="F91" s="62">
        <f t="shared" ref="F91:AJ91" si="58">(L35/0.682)*3</f>
        <v>365.10263929618765</v>
      </c>
      <c r="G91" s="62">
        <f t="shared" si="58"/>
        <v>363.08276545825925</v>
      </c>
      <c r="H91" s="62">
        <f t="shared" si="58"/>
        <v>363.08276545825925</v>
      </c>
      <c r="I91" s="62">
        <f t="shared" si="58"/>
        <v>363.08276545825925</v>
      </c>
      <c r="J91" s="62">
        <f t="shared" si="58"/>
        <v>364.57169779150769</v>
      </c>
      <c r="K91" s="62">
        <f t="shared" si="58"/>
        <v>364.57169779150769</v>
      </c>
      <c r="L91" s="62">
        <f t="shared" si="58"/>
        <v>364.57169779150769</v>
      </c>
      <c r="M91" s="62">
        <f t="shared" si="58"/>
        <v>363.85684690486619</v>
      </c>
      <c r="N91" s="62">
        <f t="shared" si="58"/>
        <v>363.71960307516122</v>
      </c>
      <c r="O91" s="62">
        <f t="shared" si="58"/>
        <v>363.71960307516122</v>
      </c>
      <c r="P91" s="62">
        <f t="shared" si="58"/>
        <v>363.00304275589315</v>
      </c>
      <c r="Q91" s="62">
        <f t="shared" si="58"/>
        <v>365.96727084914886</v>
      </c>
      <c r="R91" s="62">
        <f t="shared" si="58"/>
        <v>362.95485197294835</v>
      </c>
      <c r="S91" s="62">
        <f t="shared" si="58"/>
        <v>362.95485197294835</v>
      </c>
      <c r="T91" s="62">
        <f t="shared" si="58"/>
        <v>363.85003744076704</v>
      </c>
      <c r="U91" s="62">
        <f t="shared" si="58"/>
        <v>366.81677351452493</v>
      </c>
      <c r="V91" s="62">
        <f t="shared" si="58"/>
        <v>365.38468260881064</v>
      </c>
      <c r="W91" s="62">
        <f t="shared" si="58"/>
        <v>365.31451132843165</v>
      </c>
      <c r="X91" s="62">
        <f t="shared" si="58"/>
        <v>365.31451132843165</v>
      </c>
      <c r="Y91" s="62">
        <f t="shared" si="58"/>
        <v>365.31451132843165</v>
      </c>
      <c r="Z91" s="62">
        <f t="shared" si="58"/>
        <v>366.15176604353701</v>
      </c>
      <c r="AA91" s="62">
        <f t="shared" si="58"/>
        <v>366.15176604353701</v>
      </c>
      <c r="AB91" s="62">
        <f t="shared" si="58"/>
        <v>366.15176604353701</v>
      </c>
      <c r="AC91" s="62">
        <f t="shared" si="58"/>
        <v>366.15176604353701</v>
      </c>
      <c r="AD91" s="62">
        <f t="shared" si="58"/>
        <v>366.15176604353701</v>
      </c>
      <c r="AE91" s="62">
        <f t="shared" si="58"/>
        <v>364.56954919884248</v>
      </c>
      <c r="AF91" s="62">
        <f t="shared" si="58"/>
        <v>364.56954919884248</v>
      </c>
      <c r="AG91" s="62">
        <f t="shared" si="58"/>
        <v>364.56954919884248</v>
      </c>
      <c r="AH91" s="62">
        <f t="shared" si="58"/>
        <v>364.56954919884248</v>
      </c>
      <c r="AI91" s="62">
        <f t="shared" si="58"/>
        <v>367.26538352932278</v>
      </c>
      <c r="AJ91" s="63">
        <f t="shared" si="58"/>
        <v>367.26538352932278</v>
      </c>
      <c r="AK91" s="66"/>
      <c r="AL91" s="66"/>
      <c r="AM91" s="66"/>
      <c r="AN91" s="66"/>
      <c r="AO91" s="66"/>
      <c r="AP91" s="66"/>
    </row>
    <row r="92" spans="1:42">
      <c r="A92" s="47" t="s">
        <v>47</v>
      </c>
      <c r="B92" s="32">
        <f>K32/B50</f>
        <v>8.2301476940959407E-5</v>
      </c>
      <c r="C92" s="66"/>
      <c r="D92" s="47" t="s">
        <v>48</v>
      </c>
      <c r="E92" s="2" t="s">
        <v>49</v>
      </c>
      <c r="F92" s="62">
        <f t="shared" ref="F92:AJ92" si="59">(L31+L32+L33+L34+L36+L37)*16</f>
        <v>141139.20000000001</v>
      </c>
      <c r="G92" s="62">
        <f t="shared" si="59"/>
        <v>140748.90243266663</v>
      </c>
      <c r="H92" s="62">
        <f t="shared" si="59"/>
        <v>140708.19290912198</v>
      </c>
      <c r="I92" s="62">
        <f t="shared" si="59"/>
        <v>140708.19290912198</v>
      </c>
      <c r="J92" s="62">
        <f t="shared" si="59"/>
        <v>144645.44407856819</v>
      </c>
      <c r="K92" s="62">
        <f t="shared" si="59"/>
        <v>144645.44407856819</v>
      </c>
      <c r="L92" s="62">
        <f t="shared" si="59"/>
        <v>144645.44407856819</v>
      </c>
      <c r="M92" s="62">
        <f t="shared" si="59"/>
        <v>140930.11112880878</v>
      </c>
      <c r="N92" s="62">
        <f t="shared" si="59"/>
        <v>36622.55554660027</v>
      </c>
      <c r="O92" s="62">
        <f t="shared" si="59"/>
        <v>36622.55554660027</v>
      </c>
      <c r="P92" s="62">
        <f t="shared" si="59"/>
        <v>36679.9462218482</v>
      </c>
      <c r="Q92" s="62">
        <f t="shared" si="59"/>
        <v>36738.327767770905</v>
      </c>
      <c r="R92" s="62">
        <f t="shared" si="59"/>
        <v>36963.903656767405</v>
      </c>
      <c r="S92" s="62">
        <f t="shared" si="59"/>
        <v>36963.903656767405</v>
      </c>
      <c r="T92" s="62">
        <f t="shared" si="59"/>
        <v>36769.783225817497</v>
      </c>
      <c r="U92" s="62">
        <f t="shared" si="59"/>
        <v>36851.258976529745</v>
      </c>
      <c r="V92" s="62">
        <f t="shared" si="59"/>
        <v>36916.734727242001</v>
      </c>
      <c r="W92" s="62">
        <f t="shared" si="59"/>
        <v>36959.123349542118</v>
      </c>
      <c r="X92" s="62">
        <f t="shared" si="59"/>
        <v>36959.123349542118</v>
      </c>
      <c r="Y92" s="62">
        <f t="shared" si="59"/>
        <v>36959.123349542118</v>
      </c>
      <c r="Z92" s="62">
        <f t="shared" si="59"/>
        <v>37018.743247435981</v>
      </c>
      <c r="AA92" s="62">
        <f t="shared" si="59"/>
        <v>37018.743247435981</v>
      </c>
      <c r="AB92" s="62">
        <f t="shared" si="59"/>
        <v>37018.743247435981</v>
      </c>
      <c r="AC92" s="62">
        <f t="shared" si="59"/>
        <v>37018.743247435981</v>
      </c>
      <c r="AD92" s="62">
        <f t="shared" si="59"/>
        <v>37018.743247435981</v>
      </c>
      <c r="AE92" s="62">
        <f t="shared" si="59"/>
        <v>37173.831824459841</v>
      </c>
      <c r="AF92" s="62">
        <f t="shared" si="59"/>
        <v>37173.831824459841</v>
      </c>
      <c r="AG92" s="62">
        <f t="shared" si="59"/>
        <v>37173.831824459841</v>
      </c>
      <c r="AH92" s="62">
        <f t="shared" si="59"/>
        <v>37173.831824459841</v>
      </c>
      <c r="AI92" s="62">
        <f t="shared" si="59"/>
        <v>37436.026482661204</v>
      </c>
      <c r="AJ92" s="63">
        <f t="shared" si="59"/>
        <v>37436.026482661204</v>
      </c>
      <c r="AK92" s="66"/>
      <c r="AL92" s="66"/>
      <c r="AM92" s="66"/>
      <c r="AN92" s="66"/>
      <c r="AO92" s="66"/>
      <c r="AP92" s="66"/>
    </row>
    <row r="93" spans="1:42" ht="15.75" customHeight="1">
      <c r="A93" s="52" t="s">
        <v>50</v>
      </c>
      <c r="B93" s="36">
        <f>K33/B50</f>
        <v>1.0401450482269753E-4</v>
      </c>
      <c r="C93" s="66"/>
      <c r="D93" s="52"/>
      <c r="E93" s="33" t="s">
        <v>46</v>
      </c>
      <c r="F93" s="64">
        <f t="shared" ref="F93:AJ93" si="60">(L35/0.682)*6</f>
        <v>730.20527859237529</v>
      </c>
      <c r="G93" s="64">
        <f t="shared" si="60"/>
        <v>726.16553091651849</v>
      </c>
      <c r="H93" s="64">
        <f t="shared" si="60"/>
        <v>726.16553091651849</v>
      </c>
      <c r="I93" s="64">
        <f t="shared" si="60"/>
        <v>726.16553091651849</v>
      </c>
      <c r="J93" s="64">
        <f t="shared" si="60"/>
        <v>729.14339558301538</v>
      </c>
      <c r="K93" s="64">
        <f t="shared" si="60"/>
        <v>729.14339558301538</v>
      </c>
      <c r="L93" s="64">
        <f t="shared" si="60"/>
        <v>729.14339558301538</v>
      </c>
      <c r="M93" s="64">
        <f t="shared" si="60"/>
        <v>727.71369380973238</v>
      </c>
      <c r="N93" s="64">
        <f t="shared" si="60"/>
        <v>727.43920615032243</v>
      </c>
      <c r="O93" s="64">
        <f t="shared" si="60"/>
        <v>727.43920615032243</v>
      </c>
      <c r="P93" s="64">
        <f t="shared" si="60"/>
        <v>726.0060855117863</v>
      </c>
      <c r="Q93" s="64">
        <f t="shared" si="60"/>
        <v>731.93454169829772</v>
      </c>
      <c r="R93" s="64">
        <f t="shared" si="60"/>
        <v>725.90970394589669</v>
      </c>
      <c r="S93" s="64">
        <f t="shared" si="60"/>
        <v>725.90970394589669</v>
      </c>
      <c r="T93" s="64">
        <f t="shared" si="60"/>
        <v>727.70007488153408</v>
      </c>
      <c r="U93" s="64">
        <f t="shared" si="60"/>
        <v>733.63354702904985</v>
      </c>
      <c r="V93" s="64">
        <f t="shared" si="60"/>
        <v>730.76936521762127</v>
      </c>
      <c r="W93" s="64">
        <f t="shared" si="60"/>
        <v>730.6290226568633</v>
      </c>
      <c r="X93" s="64">
        <f t="shared" si="60"/>
        <v>730.6290226568633</v>
      </c>
      <c r="Y93" s="64">
        <f t="shared" si="60"/>
        <v>730.6290226568633</v>
      </c>
      <c r="Z93" s="64">
        <f t="shared" si="60"/>
        <v>732.30353208707402</v>
      </c>
      <c r="AA93" s="64">
        <f t="shared" si="60"/>
        <v>732.30353208707402</v>
      </c>
      <c r="AB93" s="64">
        <f t="shared" si="60"/>
        <v>732.30353208707402</v>
      </c>
      <c r="AC93" s="64">
        <f t="shared" si="60"/>
        <v>732.30353208707402</v>
      </c>
      <c r="AD93" s="64">
        <f t="shared" si="60"/>
        <v>732.30353208707402</v>
      </c>
      <c r="AE93" s="64">
        <f t="shared" si="60"/>
        <v>729.13909839768496</v>
      </c>
      <c r="AF93" s="64">
        <f t="shared" si="60"/>
        <v>729.13909839768496</v>
      </c>
      <c r="AG93" s="64">
        <f t="shared" si="60"/>
        <v>729.13909839768496</v>
      </c>
      <c r="AH93" s="64">
        <f t="shared" si="60"/>
        <v>729.13909839768496</v>
      </c>
      <c r="AI93" s="64">
        <f t="shared" si="60"/>
        <v>734.53076705864555</v>
      </c>
      <c r="AJ93" s="65">
        <f t="shared" si="60"/>
        <v>734.53076705864555</v>
      </c>
      <c r="AK93" s="66"/>
      <c r="AL93" s="66"/>
      <c r="AM93" s="66"/>
      <c r="AN93" s="66"/>
      <c r="AO93" s="66"/>
      <c r="AP93" s="66"/>
    </row>
    <row r="94" spans="1:42" ht="15.75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</row>
    <row r="95" spans="1:42">
      <c r="A95" s="66"/>
      <c r="B95" s="66"/>
      <c r="C95" s="66"/>
      <c r="D95" s="14" t="s">
        <v>93</v>
      </c>
      <c r="E95" s="14" t="s">
        <v>94</v>
      </c>
      <c r="F95" s="14" t="s">
        <v>95</v>
      </c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</row>
    <row r="96" spans="1:42">
      <c r="A96" s="66"/>
      <c r="B96" s="66"/>
      <c r="C96" s="66"/>
      <c r="D96" s="97">
        <f>E96/(F96/1000)</f>
        <v>0.61062836516506114</v>
      </c>
      <c r="E96" s="18">
        <f>AVERAGE(I35:K35)</f>
        <v>8370.4</v>
      </c>
      <c r="F96" s="98">
        <f>AVERAGE(F97:F99)</f>
        <v>13707846.666666666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</row>
    <row r="97" spans="1:42">
      <c r="A97" s="66"/>
      <c r="B97" s="66"/>
      <c r="C97" s="66"/>
      <c r="D97" s="14"/>
      <c r="E97" s="14"/>
      <c r="F97" s="99">
        <v>13811482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</row>
    <row r="98" spans="1:42">
      <c r="A98" s="66"/>
      <c r="B98" s="66"/>
      <c r="C98" s="66"/>
      <c r="D98" s="14"/>
      <c r="E98" s="14"/>
      <c r="F98" s="99">
        <v>13275754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</row>
    <row r="99" spans="1:42">
      <c r="A99" s="66"/>
      <c r="B99" s="48"/>
      <c r="C99" s="66"/>
      <c r="D99" s="14"/>
      <c r="E99" s="14"/>
      <c r="F99" s="99">
        <v>14036304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</row>
    <row r="100" spans="1:4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</row>
    <row r="101" spans="1:4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</row>
    <row r="102" spans="1:4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</row>
    <row r="103" spans="1:4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</row>
    <row r="104" spans="1:4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</row>
    <row r="105" spans="1:4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</row>
    <row r="106" spans="1:4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</row>
    <row r="107" spans="1:4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</row>
    <row r="108" spans="1:4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</row>
    <row r="109" spans="1:4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</row>
    <row r="110" spans="1:4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</row>
    <row r="111" spans="1:4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</row>
    <row r="112" spans="1:4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</row>
    <row r="113" spans="1:4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</row>
    <row r="114" spans="1:4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</row>
    <row r="115" spans="1:4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</row>
    <row r="116" spans="1:4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</row>
    <row r="117" spans="1:4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</row>
    <row r="118" spans="1:4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</row>
    <row r="119" spans="1:4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</row>
    <row r="120" spans="1:4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</row>
    <row r="121" spans="1:4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</row>
    <row r="122" spans="1:4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</row>
    <row r="123" spans="1:4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</row>
    <row r="124" spans="1:4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</row>
    <row r="125" spans="1:4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</row>
    <row r="126" spans="1:4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</row>
    <row r="127" spans="1:4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</row>
    <row r="128" spans="1:4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</row>
    <row r="129" spans="1:4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</row>
    <row r="130" spans="1:4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</row>
    <row r="131" spans="1:4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</row>
    <row r="132" spans="1:4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</row>
    <row r="133" spans="1:4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</row>
    <row r="134" spans="1:4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</row>
    <row r="135" spans="1:4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</row>
    <row r="136" spans="1:4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</row>
    <row r="137" spans="1:4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</row>
    <row r="138" spans="1:4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</row>
    <row r="139" spans="1:4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</row>
    <row r="140" spans="1:4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</row>
    <row r="141" spans="1:4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</row>
    <row r="142" spans="1:4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</row>
    <row r="143" spans="1:4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</row>
    <row r="144" spans="1:4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</row>
    <row r="145" spans="1:4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</row>
    <row r="146" spans="1:4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</row>
    <row r="147" spans="1:4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</row>
    <row r="148" spans="1:4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</row>
    <row r="149" spans="1:4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</row>
    <row r="150" spans="1:4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</row>
    <row r="151" spans="1:4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</row>
    <row r="152" spans="1:4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</row>
    <row r="153" spans="1:4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</row>
    <row r="154" spans="1:4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</row>
    <row r="155" spans="1:4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</row>
    <row r="156" spans="1:4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</row>
    <row r="157" spans="1:4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</row>
    <row r="158" spans="1:4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</row>
    <row r="159" spans="1:4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</row>
    <row r="160" spans="1:4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</row>
    <row r="161" spans="1:4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</row>
    <row r="162" spans="1:4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</row>
    <row r="163" spans="1:42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</row>
    <row r="164" spans="1:42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</row>
    <row r="165" spans="1:42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</row>
    <row r="166" spans="1:4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</row>
    <row r="167" spans="1:42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</row>
    <row r="168" spans="1:4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</row>
    <row r="169" spans="1:42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</row>
    <row r="170" spans="1:42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</row>
    <row r="171" spans="1:4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</row>
    <row r="172" spans="1:4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</row>
    <row r="173" spans="1:42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</row>
    <row r="174" spans="1:42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</row>
    <row r="175" spans="1:42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</row>
    <row r="176" spans="1:42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</row>
    <row r="177" spans="1:4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</row>
    <row r="178" spans="1:4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</row>
    <row r="179" spans="1:42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</row>
    <row r="180" spans="1:42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</row>
    <row r="181" spans="1:42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</row>
    <row r="182" spans="1:4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</row>
    <row r="183" spans="1:42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</row>
    <row r="184" spans="1:42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</row>
    <row r="185" spans="1:42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</row>
    <row r="186" spans="1:42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</row>
    <row r="187" spans="1:4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</row>
    <row r="188" spans="1:4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</row>
    <row r="189" spans="1:42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</row>
    <row r="190" spans="1:42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</row>
    <row r="191" spans="1:42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</row>
    <row r="192" spans="1:4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</row>
    <row r="193" spans="1:4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</row>
    <row r="194" spans="1:4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</row>
    <row r="195" spans="1:4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</row>
    <row r="196" spans="1:42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</row>
    <row r="197" spans="1:4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</row>
    <row r="198" spans="1:42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</row>
    <row r="199" spans="1:4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</row>
    <row r="200" spans="1:4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</row>
    <row r="201" spans="1:4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</row>
    <row r="202" spans="1:4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</row>
    <row r="203" spans="1:42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</row>
    <row r="204" spans="1:42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</row>
    <row r="205" spans="1:42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</row>
    <row r="206" spans="1:42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</row>
    <row r="207" spans="1:42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</row>
    <row r="208" spans="1:42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</row>
    <row r="209" spans="1:42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</row>
    <row r="210" spans="1:42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</row>
    <row r="211" spans="1:42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</row>
    <row r="212" spans="1:4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</row>
    <row r="213" spans="1:42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</row>
    <row r="214" spans="1:42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</row>
    <row r="215" spans="1:42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</row>
    <row r="216" spans="1:42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</row>
    <row r="217" spans="1:42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</row>
    <row r="218" spans="1:42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</row>
    <row r="219" spans="1:42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</row>
    <row r="220" spans="1:42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</row>
    <row r="221" spans="1:42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</row>
    <row r="222" spans="1:4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</row>
    <row r="223" spans="1:42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</row>
    <row r="224" spans="1:42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</row>
    <row r="225" spans="1:42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</row>
    <row r="226" spans="1:42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</row>
    <row r="227" spans="1:42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</row>
    <row r="228" spans="1:42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</row>
    <row r="229" spans="1:42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</row>
    <row r="230" spans="1:42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</row>
    <row r="231" spans="1:42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</row>
    <row r="232" spans="1:4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</row>
    <row r="233" spans="1:42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</row>
    <row r="234" spans="1:42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</row>
    <row r="235" spans="1:42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</row>
    <row r="236" spans="1:42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</row>
    <row r="237" spans="1:4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</row>
    <row r="238" spans="1:42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</row>
    <row r="239" spans="1:42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</row>
    <row r="240" spans="1:42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</row>
    <row r="241" spans="1:42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</row>
    <row r="242" spans="1:4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</row>
    <row r="243" spans="1:42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</row>
    <row r="244" spans="1:42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</row>
    <row r="245" spans="1:42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</row>
    <row r="246" spans="1:42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</row>
    <row r="247" spans="1:42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</row>
    <row r="248" spans="1:42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</row>
    <row r="249" spans="1:42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</row>
    <row r="250" spans="1:42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</row>
    <row r="251" spans="1:42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</row>
    <row r="252" spans="1:4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</row>
    <row r="253" spans="1:42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</row>
    <row r="254" spans="1:42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</row>
    <row r="255" spans="1:42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</row>
    <row r="256" spans="1:42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</row>
    <row r="257" spans="1:4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</row>
    <row r="258" spans="1:42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</row>
    <row r="259" spans="1:42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</row>
    <row r="260" spans="1:42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</row>
    <row r="261" spans="1:42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</row>
    <row r="262" spans="1:4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</row>
    <row r="263" spans="1:42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</row>
    <row r="264" spans="1:42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</row>
    <row r="265" spans="1:42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</row>
    <row r="266" spans="1:42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</row>
    <row r="267" spans="1:42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</row>
    <row r="268" spans="1:42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</row>
    <row r="269" spans="1:42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</row>
    <row r="270" spans="1:42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</row>
    <row r="271" spans="1:42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</row>
    <row r="272" spans="1:4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</row>
    <row r="273" spans="1:4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</row>
    <row r="274" spans="1:4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</row>
    <row r="275" spans="1:4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</row>
    <row r="276" spans="1:42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</row>
    <row r="277" spans="1:42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</row>
    <row r="278" spans="1:42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</row>
    <row r="279" spans="1:42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</row>
    <row r="280" spans="1:42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</row>
    <row r="281" spans="1:42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</row>
    <row r="282" spans="1:4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</row>
    <row r="283" spans="1:42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</row>
    <row r="284" spans="1:42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</row>
    <row r="285" spans="1:42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</row>
    <row r="286" spans="1:42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</row>
    <row r="287" spans="1:42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</row>
    <row r="288" spans="1:42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</row>
    <row r="289" spans="1:42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</row>
    <row r="290" spans="1:42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</row>
    <row r="291" spans="1:42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</row>
    <row r="292" spans="1:4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</row>
    <row r="293" spans="1:42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</row>
    <row r="294" spans="1:42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</row>
    <row r="295" spans="1:42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</row>
    <row r="296" spans="1:42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</row>
    <row r="297" spans="1:42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</row>
    <row r="298" spans="1:42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</row>
    <row r="299" spans="1:42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</row>
    <row r="300" spans="1:42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</row>
    <row r="301" spans="1:42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</row>
    <row r="302" spans="1:4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</row>
    <row r="303" spans="1:42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</row>
    <row r="304" spans="1:42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</row>
    <row r="305" spans="1:42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</row>
    <row r="306" spans="1:42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</row>
    <row r="307" spans="1:42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</row>
    <row r="308" spans="1:42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</row>
    <row r="309" spans="1:42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</row>
    <row r="310" spans="1:42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</row>
    <row r="311" spans="1:42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</row>
    <row r="312" spans="1:4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</row>
    <row r="313" spans="1:42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</row>
    <row r="314" spans="1:42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</row>
    <row r="315" spans="1:42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</row>
    <row r="316" spans="1:42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</row>
    <row r="317" spans="1:42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</row>
    <row r="318" spans="1:42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</row>
    <row r="319" spans="1:4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</row>
    <row r="320" spans="1:4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</row>
    <row r="321" spans="1:42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</row>
    <row r="322" spans="1:4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</row>
    <row r="323" spans="1:42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</row>
    <row r="324" spans="1:42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</row>
    <row r="325" spans="1:42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</row>
    <row r="326" spans="1:42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</row>
    <row r="327" spans="1:42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</row>
    <row r="328" spans="1:42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</row>
    <row r="329" spans="1:42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</row>
    <row r="330" spans="1:42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</row>
    <row r="331" spans="1:42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</row>
    <row r="332" spans="1:4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</row>
    <row r="333" spans="1:42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</row>
    <row r="334" spans="1:42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</row>
    <row r="335" spans="1:42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</row>
    <row r="336" spans="1:42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</row>
    <row r="337" spans="1:42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</row>
    <row r="338" spans="1:42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</row>
    <row r="339" spans="1:42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</row>
    <row r="340" spans="1:42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</row>
    <row r="341" spans="1:42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</row>
    <row r="342" spans="1:4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</row>
    <row r="343" spans="1:42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</row>
    <row r="344" spans="1:42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</row>
    <row r="345" spans="1:42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</row>
    <row r="346" spans="1:42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</row>
    <row r="347" spans="1:42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</row>
    <row r="348" spans="1:42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</row>
    <row r="349" spans="1:42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</row>
    <row r="350" spans="1:42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</row>
    <row r="351" spans="1:42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</row>
    <row r="352" spans="1:4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</row>
    <row r="353" spans="1:4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</row>
    <row r="354" spans="1:42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</row>
    <row r="355" spans="1:42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</row>
    <row r="356" spans="1:42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</row>
    <row r="357" spans="1:42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</row>
    <row r="358" spans="1:42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</row>
    <row r="359" spans="1:42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</row>
    <row r="360" spans="1:42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</row>
    <row r="361" spans="1:42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</row>
    <row r="362" spans="1:4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</row>
    <row r="363" spans="1:42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</row>
    <row r="364" spans="1:4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</row>
    <row r="365" spans="1:4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</row>
    <row r="366" spans="1:4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</row>
    <row r="367" spans="1:42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</row>
    <row r="368" spans="1:42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</row>
    <row r="369" spans="1:42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</row>
    <row r="370" spans="1:42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</row>
    <row r="371" spans="1:42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</row>
    <row r="372" spans="1:4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</row>
    <row r="373" spans="1:42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</row>
    <row r="374" spans="1:42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</row>
    <row r="375" spans="1:42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</row>
    <row r="376" spans="1:42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</row>
    <row r="377" spans="1:42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</row>
    <row r="378" spans="1:42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</row>
    <row r="379" spans="1:42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</row>
    <row r="380" spans="1:42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</row>
    <row r="381" spans="1:42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</row>
    <row r="382" spans="1:4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</row>
    <row r="383" spans="1:42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</row>
    <row r="384" spans="1:42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</row>
    <row r="385" spans="1:42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</row>
    <row r="386" spans="1:42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</row>
    <row r="387" spans="1:42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</row>
    <row r="388" spans="1:4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</row>
    <row r="389" spans="1:42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</row>
    <row r="390" spans="1:42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</row>
    <row r="391" spans="1:42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</row>
    <row r="392" spans="1:4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</row>
    <row r="393" spans="1:42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</row>
    <row r="394" spans="1:42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</row>
    <row r="395" spans="1:42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</row>
    <row r="396" spans="1:42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</row>
    <row r="397" spans="1:42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</row>
    <row r="398" spans="1:42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</row>
    <row r="399" spans="1:42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</row>
    <row r="400" spans="1:42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</row>
    <row r="401" spans="1:42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</row>
    <row r="402" spans="1:4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</row>
    <row r="403" spans="1:42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</row>
    <row r="404" spans="1:42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</row>
    <row r="405" spans="1:42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</row>
    <row r="406" spans="1:42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</row>
    <row r="407" spans="1:42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</row>
    <row r="408" spans="1:42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</row>
    <row r="409" spans="1:4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</row>
    <row r="410" spans="1:42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</row>
    <row r="411" spans="1:42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</row>
    <row r="412" spans="1:42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</row>
    <row r="413" spans="1:42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</row>
    <row r="414" spans="1:42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</row>
    <row r="415" spans="1:42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</row>
    <row r="416" spans="1:42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</row>
    <row r="417" spans="1:42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</row>
    <row r="418" spans="1:42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</row>
    <row r="419" spans="1:42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</row>
    <row r="420" spans="1:42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</row>
    <row r="421" spans="1:42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</row>
    <row r="422" spans="1:42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</row>
    <row r="423" spans="1:42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</row>
    <row r="424" spans="1:42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</row>
    <row r="425" spans="1:42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</row>
    <row r="426" spans="1:42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</row>
    <row r="427" spans="1:42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</row>
    <row r="428" spans="1:42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</row>
    <row r="429" spans="1:42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</row>
    <row r="430" spans="1:42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</row>
    <row r="431" spans="1:42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</row>
    <row r="432" spans="1:4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</row>
    <row r="433" spans="1:42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</row>
    <row r="434" spans="1:42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</row>
    <row r="435" spans="1:42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</row>
    <row r="436" spans="1:42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</row>
    <row r="437" spans="1:42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</row>
    <row r="438" spans="1:42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</row>
    <row r="439" spans="1:42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</row>
    <row r="440" spans="1:42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</row>
    <row r="441" spans="1:42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</row>
    <row r="442" spans="1:42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</row>
    <row r="443" spans="1:42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</row>
    <row r="444" spans="1:42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</row>
    <row r="445" spans="1:42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</row>
    <row r="446" spans="1:42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</row>
    <row r="447" spans="1:42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</row>
    <row r="448" spans="1:42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</row>
    <row r="449" spans="1:42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</row>
    <row r="450" spans="1:42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</row>
    <row r="451" spans="1:42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</row>
    <row r="452" spans="1:42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</row>
    <row r="453" spans="1:42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</row>
    <row r="454" spans="1:42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</row>
    <row r="455" spans="1:42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</row>
    <row r="456" spans="1:42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</row>
    <row r="457" spans="1:42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</row>
    <row r="458" spans="1:42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</row>
    <row r="459" spans="1:42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</row>
    <row r="460" spans="1:42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</row>
    <row r="461" spans="1:42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</row>
    <row r="462" spans="1:42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</row>
    <row r="463" spans="1:42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</row>
    <row r="464" spans="1:42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</row>
    <row r="465" spans="1:42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</row>
    <row r="466" spans="1:42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</row>
    <row r="467" spans="1:42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</row>
    <row r="468" spans="1:42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</row>
    <row r="469" spans="1:42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</row>
    <row r="470" spans="1:42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</row>
    <row r="471" spans="1:4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</row>
    <row r="472" spans="1:42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</row>
    <row r="473" spans="1:42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</row>
    <row r="474" spans="1:42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</row>
    <row r="475" spans="1:42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</row>
    <row r="476" spans="1:42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</row>
    <row r="477" spans="1:42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</row>
    <row r="478" spans="1:42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</row>
    <row r="479" spans="1:42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</row>
    <row r="480" spans="1:42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</row>
    <row r="481" spans="1:42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</row>
    <row r="482" spans="1:42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</row>
    <row r="483" spans="1:42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</row>
    <row r="484" spans="1:42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</row>
    <row r="485" spans="1:42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</row>
    <row r="486" spans="1:42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</row>
    <row r="487" spans="1:42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</row>
    <row r="488" spans="1:42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</row>
    <row r="489" spans="1:42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</row>
    <row r="490" spans="1:42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</row>
    <row r="491" spans="1:42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</row>
    <row r="492" spans="1:4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</row>
    <row r="493" spans="1:42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</row>
    <row r="494" spans="1:42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</row>
    <row r="495" spans="1:42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</row>
    <row r="496" spans="1:42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</row>
    <row r="497" spans="1:42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</row>
    <row r="498" spans="1:42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</row>
    <row r="499" spans="1:42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</row>
    <row r="500" spans="1:42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</row>
    <row r="501" spans="1:42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</row>
    <row r="502" spans="1:42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</row>
    <row r="503" spans="1:42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</row>
    <row r="504" spans="1:42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</row>
    <row r="505" spans="1:42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</row>
    <row r="506" spans="1:42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</row>
    <row r="507" spans="1:42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</row>
    <row r="508" spans="1:42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</row>
    <row r="509" spans="1:42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</row>
    <row r="510" spans="1:42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</row>
    <row r="511" spans="1:42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</row>
    <row r="512" spans="1:42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</row>
    <row r="513" spans="1:42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</row>
    <row r="514" spans="1:42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</row>
    <row r="515" spans="1:42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</row>
    <row r="516" spans="1:42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</row>
    <row r="517" spans="1:42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</row>
    <row r="518" spans="1:42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</row>
    <row r="519" spans="1:42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</row>
    <row r="520" spans="1:42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</row>
    <row r="521" spans="1:42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</row>
    <row r="522" spans="1:42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</row>
    <row r="523" spans="1:42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</row>
    <row r="524" spans="1:42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</row>
    <row r="525" spans="1:42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</row>
    <row r="526" spans="1:42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</row>
    <row r="527" spans="1:42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</row>
    <row r="528" spans="1:42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</row>
    <row r="529" spans="1:42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</row>
    <row r="530" spans="1:42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</row>
    <row r="531" spans="1:42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</row>
    <row r="532" spans="1:42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</row>
    <row r="533" spans="1:42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</row>
    <row r="534" spans="1:42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</row>
    <row r="535" spans="1:42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</row>
    <row r="536" spans="1:42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</row>
    <row r="537" spans="1:42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</row>
    <row r="538" spans="1:42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</row>
    <row r="539" spans="1:42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</row>
    <row r="540" spans="1:42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</row>
    <row r="541" spans="1:42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</row>
    <row r="542" spans="1:4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</row>
    <row r="543" spans="1:42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</row>
    <row r="544" spans="1:42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</row>
    <row r="545" spans="1:42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</row>
    <row r="546" spans="1:42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</row>
    <row r="547" spans="1:42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</row>
    <row r="548" spans="1:42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</row>
    <row r="549" spans="1:42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</row>
    <row r="550" spans="1:42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</row>
    <row r="551" spans="1:42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</row>
    <row r="552" spans="1:42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</row>
    <row r="553" spans="1:42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</row>
    <row r="554" spans="1:42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</row>
    <row r="555" spans="1:42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</row>
    <row r="556" spans="1:42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</row>
    <row r="557" spans="1:42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</row>
    <row r="558" spans="1:42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</row>
    <row r="559" spans="1:42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</row>
    <row r="560" spans="1:42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</row>
    <row r="561" spans="1:42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</row>
    <row r="562" spans="1:42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</row>
    <row r="563" spans="1:42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</row>
    <row r="564" spans="1:42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</row>
    <row r="565" spans="1:42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</row>
    <row r="566" spans="1:42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</row>
    <row r="567" spans="1:42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</row>
    <row r="568" spans="1:42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</row>
    <row r="569" spans="1:42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</row>
    <row r="570" spans="1:42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</row>
    <row r="571" spans="1:42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</row>
    <row r="572" spans="1:42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</row>
    <row r="573" spans="1:42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</row>
    <row r="574" spans="1:42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</row>
    <row r="575" spans="1:42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</row>
    <row r="576" spans="1:42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</row>
    <row r="577" spans="1:42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</row>
    <row r="578" spans="1:42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</row>
    <row r="579" spans="1:42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</row>
    <row r="580" spans="1:42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</row>
    <row r="581" spans="1:42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</row>
    <row r="582" spans="1:42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</row>
    <row r="583" spans="1:42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</row>
    <row r="584" spans="1:42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</row>
    <row r="585" spans="1:42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</row>
    <row r="586" spans="1:42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</row>
    <row r="587" spans="1:42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</row>
    <row r="588" spans="1:42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</row>
    <row r="589" spans="1:42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</row>
    <row r="590" spans="1:42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</row>
    <row r="591" spans="1:42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</row>
    <row r="592" spans="1:42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</row>
    <row r="593" spans="1:42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</row>
    <row r="594" spans="1:42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</row>
    <row r="595" spans="1:42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</row>
    <row r="596" spans="1:42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</row>
    <row r="597" spans="1:42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</row>
    <row r="598" spans="1:42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</row>
    <row r="599" spans="1:42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</row>
    <row r="600" spans="1:42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</row>
    <row r="601" spans="1:42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</row>
    <row r="602" spans="1:42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</row>
    <row r="603" spans="1:42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</row>
    <row r="604" spans="1:42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</row>
    <row r="605" spans="1:42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</row>
    <row r="606" spans="1:42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</row>
    <row r="607" spans="1:42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</row>
    <row r="608" spans="1:42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</row>
    <row r="609" spans="1:42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</row>
    <row r="610" spans="1:42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</row>
    <row r="611" spans="1:42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</row>
    <row r="612" spans="1:42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</row>
    <row r="613" spans="1:42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</row>
    <row r="614" spans="1:42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</row>
    <row r="615" spans="1:42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</row>
    <row r="616" spans="1:42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</row>
    <row r="617" spans="1:42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</row>
    <row r="618" spans="1:42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</row>
    <row r="619" spans="1:42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</row>
    <row r="620" spans="1:42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</row>
    <row r="621" spans="1:42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</row>
    <row r="622" spans="1:42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</row>
    <row r="623" spans="1:42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</row>
    <row r="624" spans="1:42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</row>
    <row r="625" spans="1:42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</row>
    <row r="626" spans="1:42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</row>
    <row r="627" spans="1:42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</row>
    <row r="628" spans="1:42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</row>
    <row r="629" spans="1:42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</row>
    <row r="630" spans="1:42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</row>
    <row r="631" spans="1:42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</row>
    <row r="632" spans="1:42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</row>
    <row r="633" spans="1:42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</row>
    <row r="634" spans="1:42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</row>
    <row r="635" spans="1:42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</row>
    <row r="636" spans="1:42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</row>
    <row r="637" spans="1:42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</row>
    <row r="638" spans="1:42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</row>
    <row r="639" spans="1:42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</row>
    <row r="640" spans="1:42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</row>
    <row r="641" spans="1:42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</row>
    <row r="642" spans="1:42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</row>
    <row r="643" spans="1:42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</row>
    <row r="644" spans="1:42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</row>
    <row r="645" spans="1:42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</row>
    <row r="646" spans="1:42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</row>
    <row r="647" spans="1:42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</row>
    <row r="648" spans="1:42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</row>
    <row r="649" spans="1:42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</row>
    <row r="650" spans="1:42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</row>
    <row r="651" spans="1:42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</row>
    <row r="652" spans="1:42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</row>
    <row r="653" spans="1:42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</row>
    <row r="654" spans="1:42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</row>
    <row r="655" spans="1:42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</row>
    <row r="656" spans="1:42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</row>
    <row r="657" spans="1:42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</row>
    <row r="658" spans="1:42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</row>
    <row r="659" spans="1:42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</row>
    <row r="660" spans="1:42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</row>
    <row r="661" spans="1:42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</row>
    <row r="662" spans="1:42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</row>
    <row r="663" spans="1:42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</row>
    <row r="664" spans="1:42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</row>
    <row r="665" spans="1:42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</row>
    <row r="666" spans="1:42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</row>
    <row r="667" spans="1:42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</row>
    <row r="668" spans="1:42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</row>
    <row r="669" spans="1:42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</row>
    <row r="670" spans="1:42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</row>
    <row r="671" spans="1:42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</row>
    <row r="672" spans="1:42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</row>
    <row r="673" spans="1:42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</row>
    <row r="674" spans="1:42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</row>
    <row r="675" spans="1:42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</row>
    <row r="676" spans="1:42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</row>
    <row r="677" spans="1:42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</row>
    <row r="678" spans="1:42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</row>
    <row r="679" spans="1:42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</row>
    <row r="680" spans="1:42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</row>
    <row r="681" spans="1:42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</row>
    <row r="682" spans="1:42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</row>
    <row r="683" spans="1:42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</row>
    <row r="684" spans="1:42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</row>
    <row r="685" spans="1:42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</row>
    <row r="686" spans="1:42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</row>
    <row r="687" spans="1:42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</row>
    <row r="688" spans="1:42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</row>
    <row r="689" spans="1:42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</row>
    <row r="690" spans="1:42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</row>
    <row r="691" spans="1:42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</row>
    <row r="692" spans="1:42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</row>
    <row r="693" spans="1:42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</row>
    <row r="694" spans="1:42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</row>
    <row r="695" spans="1:42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</row>
    <row r="696" spans="1:42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</row>
    <row r="697" spans="1:42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</row>
    <row r="698" spans="1:42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</row>
    <row r="699" spans="1:42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</row>
    <row r="700" spans="1:42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</row>
    <row r="701" spans="1:42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</row>
    <row r="702" spans="1:42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</row>
    <row r="703" spans="1:42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</row>
    <row r="704" spans="1:42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</row>
    <row r="705" spans="1:42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</row>
    <row r="706" spans="1:42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</row>
    <row r="707" spans="1:42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</row>
    <row r="708" spans="1:42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</row>
    <row r="709" spans="1:42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</row>
    <row r="710" spans="1:42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</row>
    <row r="711" spans="1:42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</row>
    <row r="712" spans="1:42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</row>
    <row r="713" spans="1:42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</row>
    <row r="714" spans="1:42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</row>
    <row r="715" spans="1:42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</row>
    <row r="716" spans="1:42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</row>
    <row r="717" spans="1:42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</row>
    <row r="718" spans="1:42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</row>
    <row r="719" spans="1:42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</row>
    <row r="720" spans="1:42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</row>
    <row r="721" spans="1:42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</row>
    <row r="722" spans="1:42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</row>
    <row r="723" spans="1:42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</row>
    <row r="724" spans="1:42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</row>
    <row r="725" spans="1:42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</row>
    <row r="726" spans="1:42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</row>
    <row r="727" spans="1:42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</row>
    <row r="728" spans="1:42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</row>
    <row r="729" spans="1:42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</row>
    <row r="730" spans="1:42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</row>
    <row r="731" spans="1:42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</row>
    <row r="732" spans="1:42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</row>
    <row r="733" spans="1:42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</row>
    <row r="734" spans="1:42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</row>
    <row r="735" spans="1:42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</row>
    <row r="736" spans="1:42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</row>
    <row r="737" spans="1:42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</row>
    <row r="738" spans="1:42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</row>
    <row r="739" spans="1:42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</row>
    <row r="740" spans="1:42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</row>
    <row r="741" spans="1:42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</row>
    <row r="742" spans="1:42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</row>
    <row r="743" spans="1:42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</row>
    <row r="744" spans="1:42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</row>
    <row r="745" spans="1:42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</row>
    <row r="746" spans="1:42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</row>
    <row r="747" spans="1:42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</row>
    <row r="748" spans="1:42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</row>
    <row r="749" spans="1:42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</row>
    <row r="750" spans="1:42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</row>
    <row r="751" spans="1:42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</row>
    <row r="752" spans="1:42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</row>
    <row r="753" spans="1:42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</row>
    <row r="754" spans="1:42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</row>
    <row r="755" spans="1:42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</row>
    <row r="756" spans="1:42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</row>
    <row r="757" spans="1:42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</row>
    <row r="758" spans="1:42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</row>
    <row r="759" spans="1:42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</row>
    <row r="760" spans="1:42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</row>
    <row r="761" spans="1:42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</row>
    <row r="762" spans="1:42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</row>
    <row r="763" spans="1:42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</row>
    <row r="764" spans="1:42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</row>
    <row r="765" spans="1:42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</row>
    <row r="766" spans="1:42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</row>
    <row r="767" spans="1:42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</row>
    <row r="768" spans="1:42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</row>
    <row r="769" spans="1:42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</row>
    <row r="770" spans="1:42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</row>
    <row r="771" spans="1:42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</row>
    <row r="772" spans="1:42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</row>
    <row r="773" spans="1:42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</row>
    <row r="774" spans="1:42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</row>
    <row r="775" spans="1:42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</row>
    <row r="776" spans="1:42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</row>
    <row r="777" spans="1:42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</row>
    <row r="778" spans="1:42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</row>
    <row r="779" spans="1:42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</row>
    <row r="780" spans="1:42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</row>
    <row r="781" spans="1:42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</row>
    <row r="782" spans="1:42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</row>
    <row r="783" spans="1:42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</row>
    <row r="784" spans="1:42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</row>
    <row r="785" spans="1:42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</row>
    <row r="786" spans="1:42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</row>
    <row r="787" spans="1:42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</row>
    <row r="788" spans="1:42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</row>
    <row r="789" spans="1:42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</row>
    <row r="790" spans="1:42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</row>
    <row r="791" spans="1:42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</row>
    <row r="792" spans="1:42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</row>
    <row r="793" spans="1:42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</row>
    <row r="794" spans="1:42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</row>
    <row r="795" spans="1:42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</row>
    <row r="796" spans="1:42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</row>
    <row r="797" spans="1:42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</row>
    <row r="798" spans="1:42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</row>
    <row r="799" spans="1:42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</row>
    <row r="800" spans="1:42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</row>
    <row r="801" spans="1:42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</row>
    <row r="802" spans="1:42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</row>
    <row r="803" spans="1:42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</row>
    <row r="804" spans="1:42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</row>
    <row r="805" spans="1:42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</row>
    <row r="806" spans="1:42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</row>
    <row r="807" spans="1:42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</row>
    <row r="808" spans="1:42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</row>
    <row r="809" spans="1:42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</row>
    <row r="810" spans="1:42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</row>
    <row r="811" spans="1:42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</row>
    <row r="812" spans="1:42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</row>
    <row r="813" spans="1:42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</row>
    <row r="814" spans="1:42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</row>
    <row r="815" spans="1:42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</row>
    <row r="816" spans="1:42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</row>
    <row r="817" spans="1:42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</row>
    <row r="818" spans="1:42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</row>
    <row r="819" spans="1:42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</row>
    <row r="820" spans="1:42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</row>
    <row r="821" spans="1:42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</row>
    <row r="822" spans="1:42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</row>
    <row r="823" spans="1:42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</row>
    <row r="824" spans="1:42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</row>
    <row r="825" spans="1:42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</row>
    <row r="826" spans="1:42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</row>
    <row r="827" spans="1:42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</row>
    <row r="828" spans="1:42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</row>
    <row r="829" spans="1:42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</row>
    <row r="830" spans="1:42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</row>
    <row r="831" spans="1:42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</row>
    <row r="832" spans="1:42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</row>
    <row r="833" spans="1:42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</row>
    <row r="834" spans="1:42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</row>
    <row r="835" spans="1:42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</row>
    <row r="836" spans="1:42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</row>
    <row r="837" spans="1:42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</row>
    <row r="838" spans="1:42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</row>
    <row r="839" spans="1:42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</row>
    <row r="840" spans="1:42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</row>
    <row r="841" spans="1:42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</row>
    <row r="842" spans="1:42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</row>
    <row r="843" spans="1:42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</row>
    <row r="844" spans="1:42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</row>
    <row r="845" spans="1:42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</row>
    <row r="846" spans="1:42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</row>
    <row r="847" spans="1:42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</row>
    <row r="848" spans="1:42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</row>
    <row r="849" spans="1:42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</row>
    <row r="850" spans="1:42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</row>
    <row r="851" spans="1:42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</row>
    <row r="852" spans="1:42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</row>
    <row r="853" spans="1:42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</row>
    <row r="854" spans="1:42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</row>
    <row r="855" spans="1:42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</row>
    <row r="856" spans="1:42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</row>
    <row r="857" spans="1:42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</row>
    <row r="858" spans="1:42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</row>
    <row r="859" spans="1:42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</row>
    <row r="860" spans="1:42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</row>
    <row r="861" spans="1:42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</row>
    <row r="862" spans="1:42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</row>
    <row r="863" spans="1:42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</row>
    <row r="864" spans="1:42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</row>
    <row r="865" spans="1:42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</row>
    <row r="866" spans="1:42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</row>
    <row r="867" spans="1:42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</row>
    <row r="868" spans="1:42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</row>
    <row r="869" spans="1:42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</row>
    <row r="870" spans="1:42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</row>
    <row r="871" spans="1:42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</row>
    <row r="872" spans="1:42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</row>
    <row r="873" spans="1:42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</row>
    <row r="874" spans="1:42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</row>
    <row r="875" spans="1:42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</row>
    <row r="876" spans="1:42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</row>
    <row r="877" spans="1:42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</row>
    <row r="878" spans="1:42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</row>
    <row r="879" spans="1:42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</row>
    <row r="880" spans="1:42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</row>
    <row r="881" spans="1:42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</row>
    <row r="882" spans="1:42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</row>
    <row r="883" spans="1:42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</row>
    <row r="884" spans="1:42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</row>
    <row r="885" spans="1:42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</row>
    <row r="886" spans="1:42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</row>
    <row r="887" spans="1:42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</row>
    <row r="888" spans="1:42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</row>
    <row r="889" spans="1:42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</row>
    <row r="890" spans="1:42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</row>
    <row r="891" spans="1:42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</row>
    <row r="892" spans="1:42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</row>
    <row r="893" spans="1:42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</row>
    <row r="894" spans="1:42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</row>
    <row r="895" spans="1:42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</row>
    <row r="896" spans="1:42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</row>
    <row r="897" spans="1:42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</row>
    <row r="898" spans="1:42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</row>
    <row r="899" spans="1:42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</row>
    <row r="900" spans="1:42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</row>
    <row r="901" spans="1:42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</row>
    <row r="902" spans="1:42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</row>
    <row r="903" spans="1:42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</row>
    <row r="904" spans="1:42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</row>
    <row r="905" spans="1:42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</row>
    <row r="906" spans="1:42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</row>
    <row r="907" spans="1:42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</row>
    <row r="908" spans="1:42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</row>
    <row r="909" spans="1:42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</row>
    <row r="910" spans="1:42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</row>
    <row r="911" spans="1:42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</row>
    <row r="912" spans="1:42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</row>
    <row r="913" spans="1:42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</row>
    <row r="914" spans="1:42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</row>
    <row r="915" spans="1:42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</row>
    <row r="916" spans="1:42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</row>
    <row r="917" spans="1:42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</row>
    <row r="918" spans="1:42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</row>
    <row r="919" spans="1:42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</row>
    <row r="920" spans="1:42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</row>
    <row r="921" spans="1:42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</row>
    <row r="922" spans="1:42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</row>
    <row r="923" spans="1:42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</row>
    <row r="924" spans="1:42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</row>
    <row r="925" spans="1:42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</row>
    <row r="926" spans="1:42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</row>
    <row r="927" spans="1:42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</row>
    <row r="928" spans="1:42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</row>
    <row r="929" spans="1:42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</row>
    <row r="930" spans="1:42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</row>
    <row r="931" spans="1:42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</row>
    <row r="932" spans="1:42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</row>
    <row r="933" spans="1:42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</row>
    <row r="934" spans="1:42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</row>
    <row r="935" spans="1:42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</row>
    <row r="936" spans="1:42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</row>
    <row r="937" spans="1:42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</row>
    <row r="938" spans="1:42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</row>
    <row r="939" spans="1:42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</row>
    <row r="940" spans="1:42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</row>
    <row r="941" spans="1:42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</row>
    <row r="942" spans="1:42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</row>
    <row r="943" spans="1:42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</row>
    <row r="944" spans="1:42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</row>
    <row r="945" spans="1:42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</row>
    <row r="946" spans="1:42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</row>
    <row r="947" spans="1:42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</row>
    <row r="948" spans="1:42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</row>
    <row r="949" spans="1:42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</row>
    <row r="950" spans="1:42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</row>
    <row r="951" spans="1:42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</row>
    <row r="952" spans="1:42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</row>
    <row r="953" spans="1:42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</row>
    <row r="954" spans="1:42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</row>
    <row r="955" spans="1:42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</row>
    <row r="956" spans="1:42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</row>
    <row r="957" spans="1:42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</row>
    <row r="958" spans="1:42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</row>
    <row r="959" spans="1:42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</row>
    <row r="960" spans="1:42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</row>
    <row r="961" spans="1:42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</row>
    <row r="962" spans="1:42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</row>
    <row r="963" spans="1:42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</row>
    <row r="964" spans="1:42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</row>
    <row r="965" spans="1:42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</row>
    <row r="966" spans="1:42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</row>
    <row r="967" spans="1:42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</row>
    <row r="968" spans="1:42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</row>
    <row r="969" spans="1:42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</row>
    <row r="970" spans="1:42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</row>
    <row r="971" spans="1:42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</row>
    <row r="972" spans="1:42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</row>
    <row r="973" spans="1:42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</row>
    <row r="974" spans="1:42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</row>
    <row r="975" spans="1:42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</row>
    <row r="976" spans="1:42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</row>
    <row r="977" spans="1:42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</row>
    <row r="978" spans="1:42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</row>
    <row r="979" spans="1:42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</row>
    <row r="980" spans="1:42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</row>
    <row r="981" spans="1:42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</row>
    <row r="982" spans="1:42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</row>
    <row r="983" spans="1:42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</row>
    <row r="984" spans="1:42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</row>
    <row r="985" spans="1:42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</row>
    <row r="986" spans="1:42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</row>
    <row r="987" spans="1:42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</row>
    <row r="988" spans="1:42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</row>
    <row r="989" spans="1:42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</row>
    <row r="990" spans="1:42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</row>
    <row r="991" spans="1:42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</row>
    <row r="992" spans="1:42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</row>
    <row r="993" spans="1:42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</row>
    <row r="994" spans="1:42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</row>
    <row r="995" spans="1:42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</row>
    <row r="996" spans="1:42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</row>
    <row r="997" spans="1:42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</row>
    <row r="998" spans="1:42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</row>
    <row r="999" spans="1:42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</row>
    <row r="1000" spans="1:42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</row>
  </sheetData>
  <mergeCells count="1">
    <mergeCell ref="B4:K4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00"/>
  <sheetViews>
    <sheetView workbookViewId="0"/>
  </sheetViews>
  <sheetFormatPr defaultColWidth="15.140625" defaultRowHeight="15" customHeight="1"/>
  <cols>
    <col min="1" max="1" width="31.140625" customWidth="1"/>
    <col min="2" max="42" width="11.140625" customWidth="1"/>
  </cols>
  <sheetData>
    <row r="1" spans="1:42" ht="21" customHeight="1">
      <c r="A1" s="1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1:4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1:42" ht="15.75" customHeight="1">
      <c r="A3" s="3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</row>
    <row r="4" spans="1:42" ht="15.75" customHeight="1">
      <c r="A4" s="66"/>
      <c r="B4" s="177" t="s">
        <v>2</v>
      </c>
      <c r="C4" s="178"/>
      <c r="D4" s="178"/>
      <c r="E4" s="178"/>
      <c r="F4" s="178"/>
      <c r="G4" s="178"/>
      <c r="H4" s="178"/>
      <c r="I4" s="178"/>
      <c r="J4" s="178"/>
      <c r="K4" s="179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</row>
    <row r="5" spans="1:42" ht="15.75" customHeight="1">
      <c r="A5" s="4" t="s">
        <v>3</v>
      </c>
      <c r="B5" s="5">
        <v>2000</v>
      </c>
      <c r="C5" s="4">
        <v>2001</v>
      </c>
      <c r="D5" s="4">
        <v>2002</v>
      </c>
      <c r="E5" s="4">
        <v>2003</v>
      </c>
      <c r="F5" s="4">
        <v>2004</v>
      </c>
      <c r="G5" s="4">
        <v>2005</v>
      </c>
      <c r="H5" s="4">
        <v>2006</v>
      </c>
      <c r="I5" s="4">
        <v>2007</v>
      </c>
      <c r="J5" s="4">
        <v>2008</v>
      </c>
      <c r="K5" s="7">
        <v>2009</v>
      </c>
      <c r="L5" s="4">
        <v>2010</v>
      </c>
      <c r="M5" s="4">
        <v>2011</v>
      </c>
      <c r="N5" s="4">
        <v>2012</v>
      </c>
      <c r="O5" s="4">
        <v>2013</v>
      </c>
      <c r="P5" s="4">
        <v>2014</v>
      </c>
      <c r="Q5" s="4">
        <v>2015</v>
      </c>
      <c r="R5" s="4">
        <v>2016</v>
      </c>
      <c r="S5" s="4">
        <v>2017</v>
      </c>
      <c r="T5" s="4">
        <v>2018</v>
      </c>
      <c r="U5" s="4">
        <v>2019</v>
      </c>
      <c r="V5" s="4">
        <v>2020</v>
      </c>
      <c r="W5" s="4">
        <v>2021</v>
      </c>
      <c r="X5" s="4">
        <v>2022</v>
      </c>
      <c r="Y5" s="4">
        <v>2023</v>
      </c>
      <c r="Z5" s="4">
        <v>2024</v>
      </c>
      <c r="AA5" s="4">
        <v>2025</v>
      </c>
      <c r="AB5" s="4">
        <v>2026</v>
      </c>
      <c r="AC5" s="4">
        <v>2027</v>
      </c>
      <c r="AD5" s="4">
        <v>2028</v>
      </c>
      <c r="AE5" s="4">
        <v>2029</v>
      </c>
      <c r="AF5" s="4">
        <v>2030</v>
      </c>
      <c r="AG5" s="4">
        <v>2031</v>
      </c>
      <c r="AH5" s="4">
        <v>2032</v>
      </c>
      <c r="AI5" s="4">
        <v>2033</v>
      </c>
      <c r="AJ5" s="4">
        <v>2034</v>
      </c>
      <c r="AK5" s="4">
        <v>2035</v>
      </c>
      <c r="AL5" s="4">
        <v>2036</v>
      </c>
      <c r="AM5" s="4">
        <v>2037</v>
      </c>
      <c r="AN5" s="4">
        <v>2038</v>
      </c>
      <c r="AO5" s="4">
        <v>2039</v>
      </c>
      <c r="AP5" s="4">
        <v>2040</v>
      </c>
    </row>
    <row r="6" spans="1:42" ht="15.75" customHeight="1">
      <c r="A6" s="3" t="s">
        <v>51</v>
      </c>
      <c r="B6" s="3"/>
      <c r="C6" s="3"/>
      <c r="D6" s="3"/>
      <c r="E6" s="3"/>
      <c r="F6" s="3"/>
      <c r="G6" s="3"/>
      <c r="H6" s="3"/>
      <c r="I6" s="3"/>
      <c r="J6" s="3"/>
      <c r="K6" s="6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5.75" customHeight="1">
      <c r="A7" s="57" t="s">
        <v>53</v>
      </c>
      <c r="B7" s="69">
        <f t="shared" ref="B7:AP7" si="0">B24</f>
        <v>727.9</v>
      </c>
      <c r="C7" s="69">
        <f t="shared" si="0"/>
        <v>720.2</v>
      </c>
      <c r="D7" s="69">
        <f t="shared" si="0"/>
        <v>725.5</v>
      </c>
      <c r="E7" s="69">
        <f t="shared" si="0"/>
        <v>715.6</v>
      </c>
      <c r="F7" s="69">
        <f t="shared" si="0"/>
        <v>723</v>
      </c>
      <c r="G7" s="69">
        <f t="shared" si="0"/>
        <v>713.2</v>
      </c>
      <c r="H7" s="69">
        <f t="shared" si="0"/>
        <v>729.6</v>
      </c>
      <c r="I7" s="69">
        <f t="shared" si="0"/>
        <v>754</v>
      </c>
      <c r="J7" s="69">
        <f t="shared" si="0"/>
        <v>725.6</v>
      </c>
      <c r="K7" s="70">
        <f t="shared" si="0"/>
        <v>725.6</v>
      </c>
      <c r="L7" s="25">
        <f t="shared" si="0"/>
        <v>725.6</v>
      </c>
      <c r="M7" s="25">
        <f t="shared" si="0"/>
        <v>725.6</v>
      </c>
      <c r="N7" s="25">
        <f t="shared" si="0"/>
        <v>725.6</v>
      </c>
      <c r="O7" s="25">
        <f t="shared" si="0"/>
        <v>725.6</v>
      </c>
      <c r="P7" s="25">
        <f t="shared" si="0"/>
        <v>725.6</v>
      </c>
      <c r="Q7" s="25">
        <f t="shared" si="0"/>
        <v>725.6</v>
      </c>
      <c r="R7" s="25">
        <f t="shared" si="0"/>
        <v>725.6</v>
      </c>
      <c r="S7" s="25">
        <f t="shared" si="0"/>
        <v>725.6</v>
      </c>
      <c r="T7" s="25">
        <f t="shared" si="0"/>
        <v>725.6</v>
      </c>
      <c r="U7" s="25">
        <f t="shared" si="0"/>
        <v>725.6</v>
      </c>
      <c r="V7" s="25">
        <f t="shared" si="0"/>
        <v>725.6</v>
      </c>
      <c r="W7" s="25">
        <f t="shared" si="0"/>
        <v>725.6</v>
      </c>
      <c r="X7" s="25">
        <f t="shared" si="0"/>
        <v>725.6</v>
      </c>
      <c r="Y7" s="25">
        <f t="shared" si="0"/>
        <v>725.6</v>
      </c>
      <c r="Z7" s="25">
        <f t="shared" si="0"/>
        <v>725.6</v>
      </c>
      <c r="AA7" s="25">
        <f t="shared" si="0"/>
        <v>725.6</v>
      </c>
      <c r="AB7" s="25">
        <f t="shared" si="0"/>
        <v>725.6</v>
      </c>
      <c r="AC7" s="25">
        <f t="shared" si="0"/>
        <v>725.6</v>
      </c>
      <c r="AD7" s="25">
        <f t="shared" si="0"/>
        <v>725.6</v>
      </c>
      <c r="AE7" s="25">
        <f t="shared" si="0"/>
        <v>725.6</v>
      </c>
      <c r="AF7" s="25">
        <f t="shared" si="0"/>
        <v>725.6</v>
      </c>
      <c r="AG7" s="25">
        <f t="shared" si="0"/>
        <v>725.6</v>
      </c>
      <c r="AH7" s="25">
        <f t="shared" si="0"/>
        <v>725.6</v>
      </c>
      <c r="AI7" s="25">
        <f t="shared" si="0"/>
        <v>725.6</v>
      </c>
      <c r="AJ7" s="25">
        <f t="shared" si="0"/>
        <v>725.6</v>
      </c>
      <c r="AK7" s="25">
        <f t="shared" si="0"/>
        <v>725.6</v>
      </c>
      <c r="AL7" s="25">
        <f t="shared" si="0"/>
        <v>725.6</v>
      </c>
      <c r="AM7" s="25">
        <f t="shared" si="0"/>
        <v>725.6</v>
      </c>
      <c r="AN7" s="25">
        <f t="shared" si="0"/>
        <v>725.6</v>
      </c>
      <c r="AO7" s="25">
        <f t="shared" si="0"/>
        <v>725.6</v>
      </c>
      <c r="AP7" s="27">
        <f t="shared" si="0"/>
        <v>725.6</v>
      </c>
    </row>
    <row r="8" spans="1:42">
      <c r="A8" s="71" t="s">
        <v>9</v>
      </c>
      <c r="B8" s="72">
        <f t="shared" ref="B8:K8" si="1">B23</f>
        <v>1000</v>
      </c>
      <c r="C8" s="72">
        <f t="shared" si="1"/>
        <v>1000</v>
      </c>
      <c r="D8" s="72">
        <f t="shared" si="1"/>
        <v>1000</v>
      </c>
      <c r="E8" s="72">
        <f t="shared" si="1"/>
        <v>1000</v>
      </c>
      <c r="F8" s="72">
        <f t="shared" si="1"/>
        <v>1000</v>
      </c>
      <c r="G8" s="72">
        <f t="shared" si="1"/>
        <v>1000</v>
      </c>
      <c r="H8" s="72">
        <f t="shared" si="1"/>
        <v>1000</v>
      </c>
      <c r="I8" s="72">
        <f t="shared" si="1"/>
        <v>1000</v>
      </c>
      <c r="J8" s="72">
        <f t="shared" si="1"/>
        <v>1000</v>
      </c>
      <c r="K8" s="73">
        <f t="shared" si="1"/>
        <v>1022.5</v>
      </c>
      <c r="L8" s="72">
        <f>'BAU Data'!L11</f>
        <v>1022.5</v>
      </c>
      <c r="M8" s="72">
        <f>'BAU Data'!M11</f>
        <v>1022.5</v>
      </c>
      <c r="N8" s="72">
        <f>'BAU Data'!N11</f>
        <v>1022.5</v>
      </c>
      <c r="O8" s="72">
        <f>'BAU Data'!O11</f>
        <v>1022.5</v>
      </c>
      <c r="P8" s="72">
        <f>'BAU Data'!P11</f>
        <v>1022.5</v>
      </c>
      <c r="Q8" s="72">
        <f>'BAU Data'!Q11</f>
        <v>1022.5</v>
      </c>
      <c r="R8" s="72">
        <f>'BAU Data'!R11</f>
        <v>1022.5</v>
      </c>
      <c r="S8" s="72">
        <f>'BAU Data'!S11</f>
        <v>1022.5</v>
      </c>
      <c r="T8" s="72">
        <f>'BAU Data'!T11</f>
        <v>1022.5</v>
      </c>
      <c r="U8" s="72">
        <f>'BAU Data'!U11</f>
        <v>1022.5</v>
      </c>
      <c r="V8" s="72">
        <f>'BAU Data'!V11</f>
        <v>1022.5</v>
      </c>
      <c r="W8" s="72">
        <f>'BAU Data'!W11</f>
        <v>1022.5</v>
      </c>
      <c r="X8" s="72">
        <f>'BAU Data'!X11</f>
        <v>1022.5</v>
      </c>
      <c r="Y8" s="72">
        <f>'BAU Data'!Y11</f>
        <v>1022.5</v>
      </c>
      <c r="Z8" s="72">
        <f>'BAU Data'!Z11</f>
        <v>1022.5</v>
      </c>
      <c r="AA8" s="72">
        <f>'BAU Data'!AA11</f>
        <v>1022.5</v>
      </c>
      <c r="AB8" s="72">
        <f>'BAU Data'!AB11</f>
        <v>1022.5</v>
      </c>
      <c r="AC8" s="72">
        <f>'BAU Data'!AC11</f>
        <v>1022.5</v>
      </c>
      <c r="AD8" s="72">
        <f>'BAU Data'!AD11</f>
        <v>1022.5</v>
      </c>
      <c r="AE8" s="72">
        <f>'BAU Data'!AE11</f>
        <v>1022.5</v>
      </c>
      <c r="AF8" s="72">
        <f>'BAU Data'!AF11</f>
        <v>1022.5</v>
      </c>
      <c r="AG8" s="72">
        <f>'BAU Data'!AG11</f>
        <v>1022.5</v>
      </c>
      <c r="AH8" s="72">
        <f>'BAU Data'!AH11</f>
        <v>1022.5</v>
      </c>
      <c r="AI8" s="72">
        <f>'BAU Data'!AI11</f>
        <v>1022.5</v>
      </c>
      <c r="AJ8" s="72">
        <f>'BAU Data'!AJ11</f>
        <v>1022.5</v>
      </c>
      <c r="AK8" s="72">
        <f>'BAU Data'!AK11</f>
        <v>1022.5</v>
      </c>
      <c r="AL8" s="72">
        <f>'BAU Data'!AL11</f>
        <v>1022.5</v>
      </c>
      <c r="AM8" s="72">
        <f>'BAU Data'!AM11</f>
        <v>1022.5</v>
      </c>
      <c r="AN8" s="72">
        <f>'BAU Data'!AN11</f>
        <v>1022.5</v>
      </c>
      <c r="AO8" s="72">
        <f>'BAU Data'!AO11</f>
        <v>1022.5</v>
      </c>
      <c r="AP8" s="74">
        <f>'BAU Data'!AP11</f>
        <v>1022.5</v>
      </c>
    </row>
    <row r="9" spans="1:42">
      <c r="A9" s="75" t="s">
        <v>7</v>
      </c>
      <c r="B9" s="18">
        <f t="shared" ref="B9:AP9" si="2">B19+B20+B21</f>
        <v>582.5</v>
      </c>
      <c r="C9" s="18">
        <f t="shared" si="2"/>
        <v>684.7</v>
      </c>
      <c r="D9" s="18">
        <f t="shared" si="2"/>
        <v>800.9</v>
      </c>
      <c r="E9" s="18">
        <f t="shared" si="2"/>
        <v>841.1</v>
      </c>
      <c r="F9" s="18">
        <f t="shared" si="2"/>
        <v>839.5</v>
      </c>
      <c r="G9" s="18">
        <f t="shared" si="2"/>
        <v>875.9</v>
      </c>
      <c r="H9" s="18">
        <f t="shared" si="2"/>
        <v>835.3</v>
      </c>
      <c r="I9" s="18">
        <f t="shared" si="2"/>
        <v>572.1</v>
      </c>
      <c r="J9" s="18">
        <f t="shared" si="2"/>
        <v>588.1</v>
      </c>
      <c r="K9" s="18">
        <f t="shared" si="2"/>
        <v>580.70000000000005</v>
      </c>
      <c r="L9" s="18">
        <f t="shared" si="2"/>
        <v>294.09999999999997</v>
      </c>
      <c r="M9" s="18">
        <f t="shared" si="2"/>
        <v>295.49736986322739</v>
      </c>
      <c r="N9" s="18">
        <f t="shared" si="2"/>
        <v>292.95302464168628</v>
      </c>
      <c r="O9" s="18">
        <f t="shared" si="2"/>
        <v>292.95302464168628</v>
      </c>
      <c r="P9" s="18">
        <f t="shared" si="2"/>
        <v>305.85683755339676</v>
      </c>
      <c r="Q9" s="18">
        <f t="shared" si="2"/>
        <v>305.85683755339676</v>
      </c>
      <c r="R9" s="18">
        <f t="shared" si="2"/>
        <v>305.85683755339676</v>
      </c>
      <c r="S9" s="18">
        <f t="shared" si="2"/>
        <v>298.78951848175228</v>
      </c>
      <c r="T9" s="18">
        <f t="shared" si="2"/>
        <v>318.22233755437196</v>
      </c>
      <c r="U9" s="18">
        <f t="shared" si="2"/>
        <v>318.22233755437196</v>
      </c>
      <c r="V9" s="18">
        <f t="shared" si="2"/>
        <v>321.20475728280309</v>
      </c>
      <c r="W9" s="18">
        <f t="shared" si="2"/>
        <v>325.26749623174953</v>
      </c>
      <c r="X9" s="18">
        <f t="shared" si="2"/>
        <v>338.90777291293273</v>
      </c>
      <c r="Y9" s="18">
        <f t="shared" si="2"/>
        <v>338.90777291293273</v>
      </c>
      <c r="Z9" s="18">
        <f t="shared" si="2"/>
        <v>326.85510381102642</v>
      </c>
      <c r="AA9" s="18">
        <f t="shared" si="2"/>
        <v>331.68422306170595</v>
      </c>
      <c r="AB9" s="18">
        <f t="shared" si="2"/>
        <v>336.51334231238548</v>
      </c>
      <c r="AC9" s="18">
        <f t="shared" si="2"/>
        <v>339.27415809814681</v>
      </c>
      <c r="AD9" s="18">
        <f t="shared" si="2"/>
        <v>339.27415809814681</v>
      </c>
      <c r="AE9" s="18">
        <f t="shared" si="2"/>
        <v>339.27415809814681</v>
      </c>
      <c r="AF9" s="18">
        <f t="shared" si="2"/>
        <v>342.08280340153431</v>
      </c>
      <c r="AG9" s="18">
        <f t="shared" si="2"/>
        <v>342.08280340153431</v>
      </c>
      <c r="AH9" s="18">
        <f t="shared" si="2"/>
        <v>342.08280340153431</v>
      </c>
      <c r="AI9" s="18">
        <f t="shared" si="2"/>
        <v>342.08280340153431</v>
      </c>
      <c r="AJ9" s="18">
        <f t="shared" si="2"/>
        <v>342.08280340153431</v>
      </c>
      <c r="AK9" s="18">
        <f t="shared" si="2"/>
        <v>352.23965077390039</v>
      </c>
      <c r="AL9" s="18">
        <f t="shared" si="2"/>
        <v>352.23965077390039</v>
      </c>
      <c r="AM9" s="18">
        <f t="shared" si="2"/>
        <v>352.23965077390039</v>
      </c>
      <c r="AN9" s="18">
        <f t="shared" si="2"/>
        <v>352.23965077390039</v>
      </c>
      <c r="AO9" s="18">
        <f t="shared" si="2"/>
        <v>368.30593661746127</v>
      </c>
      <c r="AP9" s="18">
        <f t="shared" si="2"/>
        <v>368.30593661746127</v>
      </c>
    </row>
    <row r="10" spans="1:42" hidden="1">
      <c r="A10" s="47" t="s">
        <v>6</v>
      </c>
      <c r="B10" s="77">
        <f t="shared" ref="B10:AP10" si="3">B20</f>
        <v>160</v>
      </c>
      <c r="C10" s="77">
        <f t="shared" si="3"/>
        <v>160</v>
      </c>
      <c r="D10" s="77">
        <f t="shared" si="3"/>
        <v>160</v>
      </c>
      <c r="E10" s="77">
        <f t="shared" si="3"/>
        <v>160</v>
      </c>
      <c r="F10" s="77">
        <f t="shared" si="3"/>
        <v>160</v>
      </c>
      <c r="G10" s="77">
        <f t="shared" si="3"/>
        <v>160</v>
      </c>
      <c r="H10" s="77">
        <f t="shared" si="3"/>
        <v>160</v>
      </c>
      <c r="I10" s="77">
        <f t="shared" si="3"/>
        <v>160</v>
      </c>
      <c r="J10" s="77">
        <f t="shared" si="3"/>
        <v>160</v>
      </c>
      <c r="K10" s="79">
        <f t="shared" si="3"/>
        <v>160</v>
      </c>
      <c r="L10" s="12">
        <f t="shared" si="3"/>
        <v>160</v>
      </c>
      <c r="M10" s="12">
        <f t="shared" si="3"/>
        <v>160.78010878617025</v>
      </c>
      <c r="N10" s="12">
        <f t="shared" si="3"/>
        <v>160.78010878617025</v>
      </c>
      <c r="O10" s="12">
        <f t="shared" si="3"/>
        <v>160.78010878617025</v>
      </c>
      <c r="P10" s="12">
        <f t="shared" si="3"/>
        <v>168.04812231065623</v>
      </c>
      <c r="Q10" s="12">
        <f t="shared" si="3"/>
        <v>168.04812231065623</v>
      </c>
      <c r="R10" s="12">
        <f t="shared" si="3"/>
        <v>168.04812231065623</v>
      </c>
      <c r="S10" s="12">
        <f t="shared" si="3"/>
        <v>164.06748721109159</v>
      </c>
      <c r="T10" s="12">
        <f t="shared" si="3"/>
        <v>175.01293355358405</v>
      </c>
      <c r="U10" s="12">
        <f t="shared" si="3"/>
        <v>175.01293355358405</v>
      </c>
      <c r="V10" s="12">
        <f t="shared" si="3"/>
        <v>176.69276780647061</v>
      </c>
      <c r="W10" s="12">
        <f t="shared" si="3"/>
        <v>178.98108691256996</v>
      </c>
      <c r="X10" s="12">
        <f t="shared" si="3"/>
        <v>186.66391028228887</v>
      </c>
      <c r="Y10" s="12">
        <f t="shared" si="3"/>
        <v>186.66391028228887</v>
      </c>
      <c r="Z10" s="12">
        <f t="shared" si="3"/>
        <v>179.8752996105307</v>
      </c>
      <c r="AA10" s="12">
        <f t="shared" si="3"/>
        <v>182.59527891164424</v>
      </c>
      <c r="AB10" s="12">
        <f t="shared" si="3"/>
        <v>185.31525821275778</v>
      </c>
      <c r="AC10" s="12">
        <f t="shared" si="3"/>
        <v>186.87027505985711</v>
      </c>
      <c r="AD10" s="12">
        <f t="shared" si="3"/>
        <v>186.87027505985711</v>
      </c>
      <c r="AE10" s="12">
        <f t="shared" si="3"/>
        <v>186.87027505985711</v>
      </c>
      <c r="AF10" s="12">
        <f t="shared" si="3"/>
        <v>188.4522316637055</v>
      </c>
      <c r="AG10" s="12">
        <f t="shared" si="3"/>
        <v>188.4522316637055</v>
      </c>
      <c r="AH10" s="12">
        <f t="shared" si="3"/>
        <v>188.4522316637055</v>
      </c>
      <c r="AI10" s="12">
        <f t="shared" si="3"/>
        <v>188.4522316637055</v>
      </c>
      <c r="AJ10" s="12">
        <f t="shared" si="3"/>
        <v>188.4522316637055</v>
      </c>
      <c r="AK10" s="12">
        <f t="shared" si="3"/>
        <v>194.17302942895387</v>
      </c>
      <c r="AL10" s="12">
        <f t="shared" si="3"/>
        <v>194.17302942895387</v>
      </c>
      <c r="AM10" s="12">
        <f t="shared" si="3"/>
        <v>194.17302942895387</v>
      </c>
      <c r="AN10" s="12">
        <f t="shared" si="3"/>
        <v>194.17302942895387</v>
      </c>
      <c r="AO10" s="12">
        <f t="shared" si="3"/>
        <v>203.22229134852856</v>
      </c>
      <c r="AP10" s="30">
        <f t="shared" si="3"/>
        <v>203.22229134852856</v>
      </c>
    </row>
    <row r="11" spans="1:42" hidden="1">
      <c r="A11" s="80" t="s">
        <v>5</v>
      </c>
      <c r="B11" s="77">
        <f t="shared" ref="B11:AP11" si="4">B19</f>
        <v>127.5</v>
      </c>
      <c r="C11" s="77">
        <f t="shared" si="4"/>
        <v>178.6</v>
      </c>
      <c r="D11" s="77">
        <f t="shared" si="4"/>
        <v>236.7</v>
      </c>
      <c r="E11" s="77">
        <f t="shared" si="4"/>
        <v>256.8</v>
      </c>
      <c r="F11" s="77">
        <f t="shared" si="4"/>
        <v>256</v>
      </c>
      <c r="G11" s="77">
        <f t="shared" si="4"/>
        <v>274.2</v>
      </c>
      <c r="H11" s="77">
        <f t="shared" si="4"/>
        <v>253.9</v>
      </c>
      <c r="I11" s="77">
        <f t="shared" si="4"/>
        <v>122.3</v>
      </c>
      <c r="J11" s="77">
        <f t="shared" si="4"/>
        <v>130.30000000000001</v>
      </c>
      <c r="K11" s="79">
        <f t="shared" si="4"/>
        <v>126.6</v>
      </c>
      <c r="L11" s="77">
        <f t="shared" si="4"/>
        <v>126.59999999999998</v>
      </c>
      <c r="M11" s="77">
        <f t="shared" si="4"/>
        <v>127.21726107705717</v>
      </c>
      <c r="N11" s="77">
        <f t="shared" si="4"/>
        <v>124.67291585551602</v>
      </c>
      <c r="O11" s="77">
        <f t="shared" si="4"/>
        <v>124.67291585551602</v>
      </c>
      <c r="P11" s="77">
        <f t="shared" si="4"/>
        <v>130.30871524274056</v>
      </c>
      <c r="Q11" s="77">
        <f t="shared" si="4"/>
        <v>130.30871524274056</v>
      </c>
      <c r="R11" s="77">
        <f t="shared" si="4"/>
        <v>130.30871524274056</v>
      </c>
      <c r="S11" s="77">
        <f t="shared" si="4"/>
        <v>127.22203127066068</v>
      </c>
      <c r="T11" s="77">
        <f t="shared" si="4"/>
        <v>135.70940400078788</v>
      </c>
      <c r="U11" s="77">
        <f t="shared" si="4"/>
        <v>135.70940400078788</v>
      </c>
      <c r="V11" s="77">
        <f t="shared" si="4"/>
        <v>137.01198947633247</v>
      </c>
      <c r="W11" s="77">
        <f t="shared" si="4"/>
        <v>138.78640931917954</v>
      </c>
      <c r="X11" s="77">
        <f t="shared" si="4"/>
        <v>144.74386263064383</v>
      </c>
      <c r="Y11" s="77">
        <f t="shared" si="4"/>
        <v>144.74386263064383</v>
      </c>
      <c r="Z11" s="77">
        <f t="shared" si="4"/>
        <v>139.47980420049572</v>
      </c>
      <c r="AA11" s="77">
        <f t="shared" si="4"/>
        <v>141.58894415006171</v>
      </c>
      <c r="AB11" s="77">
        <f t="shared" si="4"/>
        <v>143.69808409962766</v>
      </c>
      <c r="AC11" s="77">
        <f t="shared" si="4"/>
        <v>144.90388303828968</v>
      </c>
      <c r="AD11" s="77">
        <f t="shared" si="4"/>
        <v>144.90388303828968</v>
      </c>
      <c r="AE11" s="77">
        <f t="shared" si="4"/>
        <v>144.90388303828968</v>
      </c>
      <c r="AF11" s="77">
        <f t="shared" si="4"/>
        <v>146.1305717378288</v>
      </c>
      <c r="AG11" s="77">
        <f t="shared" si="4"/>
        <v>146.1305717378288</v>
      </c>
      <c r="AH11" s="77">
        <f t="shared" si="4"/>
        <v>146.1305717378288</v>
      </c>
      <c r="AI11" s="77">
        <f t="shared" si="4"/>
        <v>146.1305717378288</v>
      </c>
      <c r="AJ11" s="77">
        <f t="shared" si="4"/>
        <v>146.1305717378288</v>
      </c>
      <c r="AK11" s="77">
        <f t="shared" si="4"/>
        <v>150.56662134494653</v>
      </c>
      <c r="AL11" s="77">
        <f t="shared" si="4"/>
        <v>150.56662134494653</v>
      </c>
      <c r="AM11" s="77">
        <f t="shared" si="4"/>
        <v>150.56662134494653</v>
      </c>
      <c r="AN11" s="77">
        <f t="shared" si="4"/>
        <v>150.56662134494653</v>
      </c>
      <c r="AO11" s="77">
        <f t="shared" si="4"/>
        <v>157.58364526893274</v>
      </c>
      <c r="AP11" s="81">
        <f t="shared" si="4"/>
        <v>157.58364526893274</v>
      </c>
    </row>
    <row r="12" spans="1:42">
      <c r="A12" s="80" t="s">
        <v>56</v>
      </c>
      <c r="B12" s="77">
        <f t="shared" ref="B12:K12" si="5">B25</f>
        <v>887.1</v>
      </c>
      <c r="C12" s="77">
        <f t="shared" si="5"/>
        <v>857.8</v>
      </c>
      <c r="D12" s="77">
        <f t="shared" si="5"/>
        <v>887</v>
      </c>
      <c r="E12" s="77">
        <f t="shared" si="5"/>
        <v>881.9</v>
      </c>
      <c r="F12" s="77">
        <f t="shared" si="5"/>
        <v>853.1</v>
      </c>
      <c r="G12" s="77">
        <f t="shared" si="5"/>
        <v>872</v>
      </c>
      <c r="H12" s="77">
        <f t="shared" si="5"/>
        <v>874.3</v>
      </c>
      <c r="I12" s="77">
        <f t="shared" si="5"/>
        <v>795.2</v>
      </c>
      <c r="J12" s="77">
        <f t="shared" si="5"/>
        <v>840.8</v>
      </c>
      <c r="K12" s="79">
        <f t="shared" si="5"/>
        <v>847.6</v>
      </c>
      <c r="L12" s="77">
        <f t="shared" ref="L12:AP12" si="6">L14*0.0991</f>
        <v>744.63739999999996</v>
      </c>
      <c r="M12" s="77">
        <f t="shared" si="6"/>
        <v>727.84399480093828</v>
      </c>
      <c r="N12" s="77">
        <f t="shared" si="6"/>
        <v>713.96999480093825</v>
      </c>
      <c r="O12" s="77">
        <f t="shared" si="6"/>
        <v>700.09599480093834</v>
      </c>
      <c r="P12" s="77">
        <f t="shared" si="6"/>
        <v>712.61613856042538</v>
      </c>
      <c r="Q12" s="77">
        <f t="shared" si="6"/>
        <v>698.74213856042547</v>
      </c>
      <c r="R12" s="77">
        <f t="shared" si="6"/>
        <v>684.86813856042545</v>
      </c>
      <c r="S12" s="77">
        <f t="shared" si="6"/>
        <v>645.50933387542716</v>
      </c>
      <c r="T12" s="77">
        <f t="shared" si="6"/>
        <v>656.80364194578613</v>
      </c>
      <c r="U12" s="77">
        <f t="shared" si="6"/>
        <v>642.9296419457861</v>
      </c>
      <c r="V12" s="77">
        <f t="shared" si="6"/>
        <v>553.42619874943603</v>
      </c>
      <c r="W12" s="77">
        <f t="shared" si="6"/>
        <v>552.7001790536882</v>
      </c>
      <c r="X12" s="77">
        <f t="shared" si="6"/>
        <v>564.52431307213794</v>
      </c>
      <c r="Y12" s="77">
        <f t="shared" si="6"/>
        <v>564.52431307213794</v>
      </c>
      <c r="Z12" s="77">
        <f t="shared" si="6"/>
        <v>511.42688046682633</v>
      </c>
      <c r="AA12" s="77">
        <f t="shared" si="6"/>
        <v>521.30461727270244</v>
      </c>
      <c r="AB12" s="77">
        <f t="shared" si="6"/>
        <v>531.18235407857844</v>
      </c>
      <c r="AC12" s="77">
        <f t="shared" si="6"/>
        <v>536.8294732085152</v>
      </c>
      <c r="AD12" s="77">
        <f t="shared" si="6"/>
        <v>536.8294732085152</v>
      </c>
      <c r="AE12" s="77">
        <f t="shared" si="6"/>
        <v>536.8294732085152</v>
      </c>
      <c r="AF12" s="77">
        <f t="shared" si="6"/>
        <v>537.04653549672389</v>
      </c>
      <c r="AG12" s="77">
        <f t="shared" si="6"/>
        <v>537.04653549672389</v>
      </c>
      <c r="AH12" s="77">
        <f t="shared" si="6"/>
        <v>537.04653549672389</v>
      </c>
      <c r="AI12" s="77">
        <f t="shared" si="6"/>
        <v>537.04653549672389</v>
      </c>
      <c r="AJ12" s="77">
        <f t="shared" si="6"/>
        <v>537.04653549672389</v>
      </c>
      <c r="AK12" s="77">
        <f t="shared" si="6"/>
        <v>557.82189015535425</v>
      </c>
      <c r="AL12" s="77">
        <f t="shared" si="6"/>
        <v>557.82189015535425</v>
      </c>
      <c r="AM12" s="77">
        <f t="shared" si="6"/>
        <v>557.82189015535425</v>
      </c>
      <c r="AN12" s="77">
        <f t="shared" si="6"/>
        <v>557.82189015535425</v>
      </c>
      <c r="AO12" s="77">
        <f t="shared" si="6"/>
        <v>590.68472388809641</v>
      </c>
      <c r="AP12" s="81">
        <f t="shared" si="6"/>
        <v>590.68472388809641</v>
      </c>
    </row>
    <row r="13" spans="1:42">
      <c r="A13" s="80" t="s">
        <v>4</v>
      </c>
      <c r="B13" s="77">
        <f t="shared" ref="B13:AP13" si="7">B18</f>
        <v>8261.9</v>
      </c>
      <c r="C13" s="77">
        <f t="shared" si="7"/>
        <v>8092.7</v>
      </c>
      <c r="D13" s="77">
        <f t="shared" si="7"/>
        <v>7895.3</v>
      </c>
      <c r="E13" s="77">
        <f t="shared" si="7"/>
        <v>9424.6</v>
      </c>
      <c r="F13" s="77">
        <f t="shared" si="7"/>
        <v>9347.7000000000007</v>
      </c>
      <c r="G13" s="77">
        <f t="shared" si="7"/>
        <v>8348.5</v>
      </c>
      <c r="H13" s="77">
        <f t="shared" si="7"/>
        <v>6962.6</v>
      </c>
      <c r="I13" s="77">
        <f t="shared" si="7"/>
        <v>6845.1</v>
      </c>
      <c r="J13" s="77">
        <f t="shared" si="7"/>
        <v>7690.1</v>
      </c>
      <c r="K13" s="79">
        <f t="shared" si="7"/>
        <v>7502</v>
      </c>
      <c r="L13" s="77">
        <f t="shared" si="7"/>
        <v>6779</v>
      </c>
      <c r="M13" s="77">
        <f t="shared" si="7"/>
        <v>6753.2090321784372</v>
      </c>
      <c r="N13" s="77">
        <f t="shared" si="7"/>
        <v>6753.2090321784372</v>
      </c>
      <c r="O13" s="77">
        <f t="shared" si="7"/>
        <v>6753.2090321784372</v>
      </c>
      <c r="P13" s="77">
        <f t="shared" si="7"/>
        <v>6986.3834173571149</v>
      </c>
      <c r="Q13" s="77">
        <f t="shared" si="7"/>
        <v>6986.3834173571149</v>
      </c>
      <c r="R13" s="77">
        <f t="shared" si="7"/>
        <v>6986.3834173571149</v>
      </c>
      <c r="S13" s="77">
        <f t="shared" si="7"/>
        <v>6761.242427068797</v>
      </c>
      <c r="T13" s="77">
        <f t="shared" si="7"/>
        <v>222.58738410814476</v>
      </c>
      <c r="U13" s="77">
        <f t="shared" si="7"/>
        <v>222.58738410814476</v>
      </c>
      <c r="V13" s="77">
        <f t="shared" si="7"/>
        <v>223.19188158270936</v>
      </c>
      <c r="W13" s="77">
        <f t="shared" si="7"/>
        <v>222.77798925393199</v>
      </c>
      <c r="X13" s="77">
        <f t="shared" si="7"/>
        <v>223.23620563503027</v>
      </c>
      <c r="Y13" s="77">
        <f t="shared" si="7"/>
        <v>223.23620563503027</v>
      </c>
      <c r="Z13" s="77">
        <f t="shared" si="7"/>
        <v>223.15634780256732</v>
      </c>
      <c r="AA13" s="77">
        <f t="shared" si="7"/>
        <v>223.41946297140294</v>
      </c>
      <c r="AB13" s="77">
        <f t="shared" si="7"/>
        <v>222.68257814023946</v>
      </c>
      <c r="AC13" s="77">
        <f t="shared" si="7"/>
        <v>222.57105124823556</v>
      </c>
      <c r="AD13" s="77">
        <f t="shared" si="7"/>
        <v>222.57105124823556</v>
      </c>
      <c r="AE13" s="77">
        <f t="shared" si="7"/>
        <v>222.57105124823556</v>
      </c>
      <c r="AF13" s="77">
        <f t="shared" si="7"/>
        <v>223.48864956321449</v>
      </c>
      <c r="AG13" s="77">
        <f t="shared" si="7"/>
        <v>223.48864956321449</v>
      </c>
      <c r="AH13" s="77">
        <f t="shared" si="7"/>
        <v>223.48864956321449</v>
      </c>
      <c r="AI13" s="77">
        <f t="shared" si="7"/>
        <v>223.48864956321449</v>
      </c>
      <c r="AJ13" s="77">
        <f t="shared" si="7"/>
        <v>223.48864956321449</v>
      </c>
      <c r="AK13" s="77">
        <f t="shared" si="7"/>
        <v>223.02483825483978</v>
      </c>
      <c r="AL13" s="77">
        <f t="shared" si="7"/>
        <v>223.02483825483978</v>
      </c>
      <c r="AM13" s="77">
        <f t="shared" si="7"/>
        <v>223.02483825483978</v>
      </c>
      <c r="AN13" s="77">
        <f t="shared" si="7"/>
        <v>223.02483825483978</v>
      </c>
      <c r="AO13" s="77">
        <f t="shared" si="7"/>
        <v>223.34571854886417</v>
      </c>
      <c r="AP13" s="81">
        <f t="shared" si="7"/>
        <v>223.34571854886417</v>
      </c>
    </row>
    <row r="14" spans="1:42">
      <c r="A14" s="47" t="s">
        <v>8</v>
      </c>
      <c r="B14" s="12">
        <f t="shared" ref="B14:AP14" si="8">B22</f>
        <v>8969.9</v>
      </c>
      <c r="C14" s="12">
        <f t="shared" si="8"/>
        <v>8673.7000000000007</v>
      </c>
      <c r="D14" s="12">
        <f t="shared" si="8"/>
        <v>8968.9</v>
      </c>
      <c r="E14" s="12">
        <f t="shared" si="8"/>
        <v>8916.7999999999993</v>
      </c>
      <c r="F14" s="12">
        <f t="shared" si="8"/>
        <v>8625.7999999999993</v>
      </c>
      <c r="G14" s="12">
        <f t="shared" si="8"/>
        <v>8817.2999999999993</v>
      </c>
      <c r="H14" s="12">
        <f t="shared" si="8"/>
        <v>8840.1</v>
      </c>
      <c r="I14" s="12">
        <f t="shared" si="8"/>
        <v>8040.8</v>
      </c>
      <c r="J14" s="12">
        <f t="shared" si="8"/>
        <v>8501.4</v>
      </c>
      <c r="K14" s="11">
        <f t="shared" si="8"/>
        <v>8569</v>
      </c>
      <c r="L14" s="12">
        <f t="shared" si="8"/>
        <v>7514</v>
      </c>
      <c r="M14" s="12">
        <f t="shared" si="8"/>
        <v>7344.5408153475109</v>
      </c>
      <c r="N14" s="12">
        <f t="shared" si="8"/>
        <v>7204.5408153475109</v>
      </c>
      <c r="O14" s="12">
        <f t="shared" si="8"/>
        <v>7064.5408153475109</v>
      </c>
      <c r="P14" s="12">
        <f t="shared" si="8"/>
        <v>7190.8792992979361</v>
      </c>
      <c r="Q14" s="12">
        <f t="shared" si="8"/>
        <v>7050.8792992979361</v>
      </c>
      <c r="R14" s="12">
        <f t="shared" si="8"/>
        <v>6910.8792992979361</v>
      </c>
      <c r="S14" s="12">
        <f t="shared" si="8"/>
        <v>6513.7167898630396</v>
      </c>
      <c r="T14" s="12">
        <f t="shared" si="8"/>
        <v>6627.6855897657533</v>
      </c>
      <c r="U14" s="12">
        <f t="shared" si="8"/>
        <v>6487.6855897657533</v>
      </c>
      <c r="V14" s="12">
        <f t="shared" si="8"/>
        <v>5584.5226917198397</v>
      </c>
      <c r="W14" s="12">
        <f t="shared" si="8"/>
        <v>5577.1965595730398</v>
      </c>
      <c r="X14" s="12">
        <f t="shared" si="8"/>
        <v>5696.5117363485169</v>
      </c>
      <c r="Y14" s="12">
        <f t="shared" si="8"/>
        <v>5696.5117363485169</v>
      </c>
      <c r="Z14" s="12">
        <f t="shared" si="8"/>
        <v>5160.7152418448677</v>
      </c>
      <c r="AA14" s="12">
        <f t="shared" si="8"/>
        <v>5260.3896798456353</v>
      </c>
      <c r="AB14" s="12">
        <f t="shared" si="8"/>
        <v>5360.064117846403</v>
      </c>
      <c r="AC14" s="12">
        <f t="shared" si="8"/>
        <v>5417.0481655753301</v>
      </c>
      <c r="AD14" s="12">
        <f t="shared" si="8"/>
        <v>5417.0481655753301</v>
      </c>
      <c r="AE14" s="12">
        <f t="shared" si="8"/>
        <v>5417.0481655753301</v>
      </c>
      <c r="AF14" s="12">
        <f t="shared" si="8"/>
        <v>5419.2385014805641</v>
      </c>
      <c r="AG14" s="12">
        <f t="shared" si="8"/>
        <v>5419.2385014805641</v>
      </c>
      <c r="AH14" s="12">
        <f t="shared" si="8"/>
        <v>5419.2385014805641</v>
      </c>
      <c r="AI14" s="12">
        <f t="shared" si="8"/>
        <v>5419.2385014805641</v>
      </c>
      <c r="AJ14" s="12">
        <f t="shared" si="8"/>
        <v>5419.2385014805641</v>
      </c>
      <c r="AK14" s="12">
        <f t="shared" si="8"/>
        <v>5628.8788108512035</v>
      </c>
      <c r="AL14" s="12">
        <f t="shared" si="8"/>
        <v>5628.8788108512035</v>
      </c>
      <c r="AM14" s="12">
        <f t="shared" si="8"/>
        <v>5628.8788108512035</v>
      </c>
      <c r="AN14" s="12">
        <f t="shared" si="8"/>
        <v>5628.8788108512035</v>
      </c>
      <c r="AO14" s="12">
        <f t="shared" si="8"/>
        <v>5960.491663855666</v>
      </c>
      <c r="AP14" s="30">
        <f t="shared" si="8"/>
        <v>5960.491663855666</v>
      </c>
    </row>
    <row r="15" spans="1:42" ht="15.75" customHeight="1">
      <c r="A15" s="52" t="s">
        <v>60</v>
      </c>
      <c r="B15" s="38"/>
      <c r="C15" s="38"/>
      <c r="D15" s="38"/>
      <c r="E15" s="38"/>
      <c r="F15" s="38"/>
      <c r="G15" s="38"/>
      <c r="H15" s="38"/>
      <c r="I15" s="38"/>
      <c r="J15" s="38"/>
      <c r="K15" s="82">
        <f>'BAU Data'!K14</f>
        <v>19247.400000000001</v>
      </c>
      <c r="L15" s="38">
        <f>'BAU Data'!L14</f>
        <v>19247.400000000001</v>
      </c>
      <c r="M15" s="38">
        <f>'BAU Data'!M14</f>
        <v>19332.615252429736</v>
      </c>
      <c r="N15" s="38">
        <f>'BAU Data'!N14</f>
        <v>19332.615252429736</v>
      </c>
      <c r="O15" s="38">
        <f>'BAU Data'!O14</f>
        <v>19332.615252429736</v>
      </c>
      <c r="P15" s="38">
        <f>'BAU Data'!P14</f>
        <v>20127.062414172859</v>
      </c>
      <c r="Q15" s="38">
        <f>'BAU Data'!Q14</f>
        <v>20127.062414172859</v>
      </c>
      <c r="R15" s="38">
        <f>'BAU Data'!R14</f>
        <v>20127.062414172859</v>
      </c>
      <c r="S15" s="38">
        <f>'BAU Data'!S14</f>
        <v>19691.841762964643</v>
      </c>
      <c r="T15" s="38">
        <f>'BAU Data'!T14</f>
        <v>20888.116443772509</v>
      </c>
      <c r="U15" s="38">
        <f>'BAU Data'!U14</f>
        <v>20888.116443772509</v>
      </c>
      <c r="V15" s="38">
        <f>'BAU Data'!V14</f>
        <v>21071.668892970105</v>
      </c>
      <c r="W15" s="38">
        <f>'BAU Data'!W14</f>
        <v>21321.710419070594</v>
      </c>
      <c r="X15" s="38">
        <f>'BAU Data'!X14</f>
        <v>24338.488382897944</v>
      </c>
      <c r="Y15" s="38">
        <f>'BAU Data'!Y14</f>
        <v>24338.488382897944</v>
      </c>
      <c r="Z15" s="38">
        <f>'BAU Data'!Z14</f>
        <v>23596.21177857733</v>
      </c>
      <c r="AA15" s="38">
        <f>'BAU Data'!AA14</f>
        <v>23893.525456997115</v>
      </c>
      <c r="AB15" s="38">
        <f>'BAU Data'!AB14</f>
        <v>24190.839135416907</v>
      </c>
      <c r="AC15" s="38">
        <f>'BAU Data'!AC14</f>
        <v>24360.813876999153</v>
      </c>
      <c r="AD15" s="38">
        <f>'BAU Data'!AD14</f>
        <v>24411.119192075341</v>
      </c>
      <c r="AE15" s="38">
        <f>'BAU Data'!AE14</f>
        <v>24411.119192075341</v>
      </c>
      <c r="AF15" s="38">
        <f>'BAU Data'!AF14</f>
        <v>24583.98448914539</v>
      </c>
      <c r="AG15" s="38">
        <f>'BAU Data'!AG14</f>
        <v>24583.98448914539</v>
      </c>
      <c r="AH15" s="38">
        <f>'BAU Data'!AH14</f>
        <v>24583.98448914539</v>
      </c>
      <c r="AI15" s="38">
        <f>'BAU Data'!AI14</f>
        <v>24583.98448914539</v>
      </c>
      <c r="AJ15" s="38">
        <f>'BAU Data'!AJ14</f>
        <v>24583.98448914539</v>
      </c>
      <c r="AK15" s="38">
        <f>'BAU Data'!AK14</f>
        <v>25209.309625401154</v>
      </c>
      <c r="AL15" s="38">
        <f>'BAU Data'!AL14</f>
        <v>25209.309625401154</v>
      </c>
      <c r="AM15" s="38">
        <f>'BAU Data'!AM14</f>
        <v>25209.309625401154</v>
      </c>
      <c r="AN15" s="38">
        <f>'BAU Data'!AN14</f>
        <v>25209.309625401154</v>
      </c>
      <c r="AO15" s="38">
        <f>'BAU Data'!AO14</f>
        <v>26198.46029547846</v>
      </c>
      <c r="AP15" s="39">
        <f>'BAU Data'!AP14</f>
        <v>26198.46029547846</v>
      </c>
    </row>
    <row r="16" spans="1:42" ht="15.75" customHeight="1">
      <c r="A16" s="66"/>
      <c r="B16" s="12"/>
      <c r="C16" s="12"/>
      <c r="D16" s="12"/>
      <c r="E16" s="12"/>
      <c r="F16" s="12"/>
      <c r="G16" s="12"/>
      <c r="H16" s="12"/>
      <c r="I16" s="12"/>
      <c r="J16" s="12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ht="15.75" customHeight="1">
      <c r="A17" s="3" t="s">
        <v>66</v>
      </c>
      <c r="B17" s="3"/>
      <c r="C17" s="3"/>
      <c r="D17" s="3"/>
      <c r="E17" s="3"/>
      <c r="F17" s="3"/>
      <c r="G17" s="3"/>
      <c r="H17" s="3"/>
      <c r="I17" s="3"/>
      <c r="J17" s="3"/>
      <c r="K17" s="6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15.75" customHeight="1">
      <c r="A18" s="57" t="s">
        <v>4</v>
      </c>
      <c r="B18" s="23">
        <f>'BAU Data'!B6</f>
        <v>8261.9</v>
      </c>
      <c r="C18" s="23">
        <f>'BAU Data'!C6</f>
        <v>8092.7</v>
      </c>
      <c r="D18" s="23">
        <f>'BAU Data'!D6</f>
        <v>7895.3</v>
      </c>
      <c r="E18" s="23">
        <f>'BAU Data'!E6</f>
        <v>9424.6</v>
      </c>
      <c r="F18" s="23">
        <f>'BAU Data'!F6</f>
        <v>9347.7000000000007</v>
      </c>
      <c r="G18" s="23">
        <f>'BAU Data'!G6</f>
        <v>8348.5</v>
      </c>
      <c r="H18" s="23">
        <f>'BAU Data'!H6</f>
        <v>6962.6</v>
      </c>
      <c r="I18" s="83">
        <f>'BAU Data'!I6</f>
        <v>6845.1</v>
      </c>
      <c r="J18" s="83">
        <f>'BAU Data'!J6</f>
        <v>7690.1</v>
      </c>
      <c r="K18" s="26">
        <f>'BAU Data'!K6</f>
        <v>7502</v>
      </c>
      <c r="L18" s="25">
        <f t="shared" ref="L18:AP18" si="9">(L62*$B$74*$B$76)-L30</f>
        <v>6779</v>
      </c>
      <c r="M18" s="25">
        <f t="shared" si="9"/>
        <v>6753.2090321784372</v>
      </c>
      <c r="N18" s="25">
        <f t="shared" si="9"/>
        <v>6753.2090321784372</v>
      </c>
      <c r="O18" s="25">
        <f t="shared" si="9"/>
        <v>6753.2090321784372</v>
      </c>
      <c r="P18" s="25">
        <f t="shared" si="9"/>
        <v>6986.3834173571149</v>
      </c>
      <c r="Q18" s="25">
        <f t="shared" si="9"/>
        <v>6986.3834173571149</v>
      </c>
      <c r="R18" s="25">
        <f t="shared" si="9"/>
        <v>6986.3834173571149</v>
      </c>
      <c r="S18" s="25">
        <f t="shared" si="9"/>
        <v>6761.242427068797</v>
      </c>
      <c r="T18" s="25">
        <f t="shared" si="9"/>
        <v>222.58738410814476</v>
      </c>
      <c r="U18" s="25">
        <f t="shared" si="9"/>
        <v>222.58738410814476</v>
      </c>
      <c r="V18" s="25">
        <f t="shared" si="9"/>
        <v>223.19188158270936</v>
      </c>
      <c r="W18" s="25">
        <f t="shared" si="9"/>
        <v>222.77798925393199</v>
      </c>
      <c r="X18" s="25">
        <f t="shared" si="9"/>
        <v>223.23620563503027</v>
      </c>
      <c r="Y18" s="25">
        <f t="shared" si="9"/>
        <v>223.23620563503027</v>
      </c>
      <c r="Z18" s="25">
        <f t="shared" si="9"/>
        <v>223.15634780256732</v>
      </c>
      <c r="AA18" s="25">
        <f t="shared" si="9"/>
        <v>223.41946297140294</v>
      </c>
      <c r="AB18" s="25">
        <f t="shared" si="9"/>
        <v>222.68257814023946</v>
      </c>
      <c r="AC18" s="25">
        <f t="shared" si="9"/>
        <v>222.57105124823556</v>
      </c>
      <c r="AD18" s="25">
        <f t="shared" si="9"/>
        <v>222.57105124823556</v>
      </c>
      <c r="AE18" s="25">
        <f t="shared" si="9"/>
        <v>222.57105124823556</v>
      </c>
      <c r="AF18" s="25">
        <f t="shared" si="9"/>
        <v>223.48864956321449</v>
      </c>
      <c r="AG18" s="25">
        <f t="shared" si="9"/>
        <v>223.48864956321449</v>
      </c>
      <c r="AH18" s="25">
        <f t="shared" si="9"/>
        <v>223.48864956321449</v>
      </c>
      <c r="AI18" s="25">
        <f t="shared" si="9"/>
        <v>223.48864956321449</v>
      </c>
      <c r="AJ18" s="25">
        <f t="shared" si="9"/>
        <v>223.48864956321449</v>
      </c>
      <c r="AK18" s="25">
        <f t="shared" si="9"/>
        <v>223.02483825483978</v>
      </c>
      <c r="AL18" s="25">
        <f t="shared" si="9"/>
        <v>223.02483825483978</v>
      </c>
      <c r="AM18" s="25">
        <f t="shared" si="9"/>
        <v>223.02483825483978</v>
      </c>
      <c r="AN18" s="25">
        <f t="shared" si="9"/>
        <v>223.02483825483978</v>
      </c>
      <c r="AO18" s="25">
        <f t="shared" si="9"/>
        <v>223.34571854886417</v>
      </c>
      <c r="AP18" s="27">
        <f t="shared" si="9"/>
        <v>223.34571854886417</v>
      </c>
    </row>
    <row r="19" spans="1:42">
      <c r="A19" s="80" t="s">
        <v>5</v>
      </c>
      <c r="B19" s="77">
        <f>'BAU Data'!B7</f>
        <v>127.5</v>
      </c>
      <c r="C19" s="77">
        <f>'BAU Data'!C7</f>
        <v>178.6</v>
      </c>
      <c r="D19" s="77">
        <f>'BAU Data'!D7</f>
        <v>236.7</v>
      </c>
      <c r="E19" s="77">
        <f>'BAU Data'!E7</f>
        <v>256.8</v>
      </c>
      <c r="F19" s="77">
        <f>'BAU Data'!F7</f>
        <v>256</v>
      </c>
      <c r="G19" s="77">
        <f>'BAU Data'!G7</f>
        <v>274.2</v>
      </c>
      <c r="H19" s="77">
        <f>'BAU Data'!H7</f>
        <v>253.9</v>
      </c>
      <c r="I19" s="77">
        <f>'BAU Data'!I7</f>
        <v>122.3</v>
      </c>
      <c r="J19" s="77">
        <f>'BAU Data'!J7</f>
        <v>130.30000000000001</v>
      </c>
      <c r="K19" s="79">
        <f>'BAU Data'!K7</f>
        <v>126.6</v>
      </c>
      <c r="L19" s="77">
        <f t="shared" ref="L19:M19" si="10">L52*$B$79</f>
        <v>126.59999999999998</v>
      </c>
      <c r="M19" s="77">
        <f t="shared" si="10"/>
        <v>127.21726107705717</v>
      </c>
      <c r="N19" s="77">
        <f t="shared" ref="N19:AP19" si="11">N52*$B$79*(0.98)</f>
        <v>124.67291585551602</v>
      </c>
      <c r="O19" s="77">
        <f t="shared" si="11"/>
        <v>124.67291585551602</v>
      </c>
      <c r="P19" s="77">
        <f t="shared" si="11"/>
        <v>130.30871524274056</v>
      </c>
      <c r="Q19" s="77">
        <f t="shared" si="11"/>
        <v>130.30871524274056</v>
      </c>
      <c r="R19" s="77">
        <f t="shared" si="11"/>
        <v>130.30871524274056</v>
      </c>
      <c r="S19" s="77">
        <f t="shared" si="11"/>
        <v>127.22203127066068</v>
      </c>
      <c r="T19" s="77">
        <f t="shared" si="11"/>
        <v>135.70940400078788</v>
      </c>
      <c r="U19" s="77">
        <f t="shared" si="11"/>
        <v>135.70940400078788</v>
      </c>
      <c r="V19" s="77">
        <f t="shared" si="11"/>
        <v>137.01198947633247</v>
      </c>
      <c r="W19" s="77">
        <f t="shared" si="11"/>
        <v>138.78640931917954</v>
      </c>
      <c r="X19" s="77">
        <f t="shared" si="11"/>
        <v>144.74386263064383</v>
      </c>
      <c r="Y19" s="77">
        <f t="shared" si="11"/>
        <v>144.74386263064383</v>
      </c>
      <c r="Z19" s="77">
        <f t="shared" si="11"/>
        <v>139.47980420049572</v>
      </c>
      <c r="AA19" s="77">
        <f t="shared" si="11"/>
        <v>141.58894415006171</v>
      </c>
      <c r="AB19" s="77">
        <f t="shared" si="11"/>
        <v>143.69808409962766</v>
      </c>
      <c r="AC19" s="77">
        <f t="shared" si="11"/>
        <v>144.90388303828968</v>
      </c>
      <c r="AD19" s="77">
        <f t="shared" si="11"/>
        <v>144.90388303828968</v>
      </c>
      <c r="AE19" s="77">
        <f t="shared" si="11"/>
        <v>144.90388303828968</v>
      </c>
      <c r="AF19" s="77">
        <f t="shared" si="11"/>
        <v>146.1305717378288</v>
      </c>
      <c r="AG19" s="77">
        <f t="shared" si="11"/>
        <v>146.1305717378288</v>
      </c>
      <c r="AH19" s="77">
        <f t="shared" si="11"/>
        <v>146.1305717378288</v>
      </c>
      <c r="AI19" s="77">
        <f t="shared" si="11"/>
        <v>146.1305717378288</v>
      </c>
      <c r="AJ19" s="77">
        <f t="shared" si="11"/>
        <v>146.1305717378288</v>
      </c>
      <c r="AK19" s="77">
        <f t="shared" si="11"/>
        <v>150.56662134494653</v>
      </c>
      <c r="AL19" s="77">
        <f t="shared" si="11"/>
        <v>150.56662134494653</v>
      </c>
      <c r="AM19" s="77">
        <f t="shared" si="11"/>
        <v>150.56662134494653</v>
      </c>
      <c r="AN19" s="77">
        <f t="shared" si="11"/>
        <v>150.56662134494653</v>
      </c>
      <c r="AO19" s="77">
        <f t="shared" si="11"/>
        <v>157.58364526893274</v>
      </c>
      <c r="AP19" s="81">
        <f t="shared" si="11"/>
        <v>157.58364526893274</v>
      </c>
    </row>
    <row r="20" spans="1:42">
      <c r="A20" s="80" t="s">
        <v>6</v>
      </c>
      <c r="B20" s="77">
        <f>'BAU Data'!B8</f>
        <v>160</v>
      </c>
      <c r="C20" s="77">
        <f>'BAU Data'!C8</f>
        <v>160</v>
      </c>
      <c r="D20" s="77">
        <f>'BAU Data'!D8</f>
        <v>160</v>
      </c>
      <c r="E20" s="77">
        <f>'BAU Data'!E8</f>
        <v>160</v>
      </c>
      <c r="F20" s="77">
        <f>'BAU Data'!F8</f>
        <v>160</v>
      </c>
      <c r="G20" s="77">
        <f>'BAU Data'!G8</f>
        <v>160</v>
      </c>
      <c r="H20" s="77">
        <f>'BAU Data'!H8</f>
        <v>160</v>
      </c>
      <c r="I20" s="77">
        <f>'BAU Data'!I8</f>
        <v>160</v>
      </c>
      <c r="J20" s="77">
        <f>'BAU Data'!J8</f>
        <v>160</v>
      </c>
      <c r="K20" s="79">
        <f>'BAU Data'!K8</f>
        <v>160</v>
      </c>
      <c r="L20" s="77">
        <f t="shared" ref="L20:AP20" si="12">L52*$B$80</f>
        <v>160</v>
      </c>
      <c r="M20" s="77">
        <f t="shared" si="12"/>
        <v>160.78010878617025</v>
      </c>
      <c r="N20" s="77">
        <f t="shared" si="12"/>
        <v>160.78010878617025</v>
      </c>
      <c r="O20" s="77">
        <f t="shared" si="12"/>
        <v>160.78010878617025</v>
      </c>
      <c r="P20" s="77">
        <f t="shared" si="12"/>
        <v>168.04812231065623</v>
      </c>
      <c r="Q20" s="77">
        <f t="shared" si="12"/>
        <v>168.04812231065623</v>
      </c>
      <c r="R20" s="77">
        <f t="shared" si="12"/>
        <v>168.04812231065623</v>
      </c>
      <c r="S20" s="77">
        <f t="shared" si="12"/>
        <v>164.06748721109159</v>
      </c>
      <c r="T20" s="77">
        <f t="shared" si="12"/>
        <v>175.01293355358405</v>
      </c>
      <c r="U20" s="77">
        <f t="shared" si="12"/>
        <v>175.01293355358405</v>
      </c>
      <c r="V20" s="77">
        <f t="shared" si="12"/>
        <v>176.69276780647061</v>
      </c>
      <c r="W20" s="77">
        <f t="shared" si="12"/>
        <v>178.98108691256996</v>
      </c>
      <c r="X20" s="77">
        <f t="shared" si="12"/>
        <v>186.66391028228887</v>
      </c>
      <c r="Y20" s="77">
        <f t="shared" si="12"/>
        <v>186.66391028228887</v>
      </c>
      <c r="Z20" s="77">
        <f t="shared" si="12"/>
        <v>179.8752996105307</v>
      </c>
      <c r="AA20" s="77">
        <f t="shared" si="12"/>
        <v>182.59527891164424</v>
      </c>
      <c r="AB20" s="77">
        <f t="shared" si="12"/>
        <v>185.31525821275778</v>
      </c>
      <c r="AC20" s="77">
        <f t="shared" si="12"/>
        <v>186.87027505985711</v>
      </c>
      <c r="AD20" s="77">
        <f t="shared" si="12"/>
        <v>186.87027505985711</v>
      </c>
      <c r="AE20" s="77">
        <f t="shared" si="12"/>
        <v>186.87027505985711</v>
      </c>
      <c r="AF20" s="77">
        <f t="shared" si="12"/>
        <v>188.4522316637055</v>
      </c>
      <c r="AG20" s="77">
        <f t="shared" si="12"/>
        <v>188.4522316637055</v>
      </c>
      <c r="AH20" s="77">
        <f t="shared" si="12"/>
        <v>188.4522316637055</v>
      </c>
      <c r="AI20" s="77">
        <f t="shared" si="12"/>
        <v>188.4522316637055</v>
      </c>
      <c r="AJ20" s="77">
        <f t="shared" si="12"/>
        <v>188.4522316637055</v>
      </c>
      <c r="AK20" s="77">
        <f t="shared" si="12"/>
        <v>194.17302942895387</v>
      </c>
      <c r="AL20" s="77">
        <f t="shared" si="12"/>
        <v>194.17302942895387</v>
      </c>
      <c r="AM20" s="77">
        <f t="shared" si="12"/>
        <v>194.17302942895387</v>
      </c>
      <c r="AN20" s="77">
        <f t="shared" si="12"/>
        <v>194.17302942895387</v>
      </c>
      <c r="AO20" s="77">
        <f t="shared" si="12"/>
        <v>203.22229134852856</v>
      </c>
      <c r="AP20" s="81">
        <f t="shared" si="12"/>
        <v>203.22229134852856</v>
      </c>
    </row>
    <row r="21" spans="1:42">
      <c r="A21" s="75" t="s">
        <v>67</v>
      </c>
      <c r="B21" s="18">
        <f>'BAU Data'!B9</f>
        <v>295</v>
      </c>
      <c r="C21" s="18">
        <f>'BAU Data'!C9</f>
        <v>346.1</v>
      </c>
      <c r="D21" s="18">
        <f>'BAU Data'!D9</f>
        <v>404.2</v>
      </c>
      <c r="E21" s="18">
        <f>'BAU Data'!E9</f>
        <v>424.3</v>
      </c>
      <c r="F21" s="18">
        <f>'BAU Data'!F9</f>
        <v>423.5</v>
      </c>
      <c r="G21" s="18">
        <f>'BAU Data'!G9</f>
        <v>441.7</v>
      </c>
      <c r="H21" s="18">
        <f>'BAU Data'!H9</f>
        <v>421.4</v>
      </c>
      <c r="I21" s="18">
        <f>'BAU Data'!I9</f>
        <v>289.8</v>
      </c>
      <c r="J21" s="18">
        <f>'BAU Data'!J9</f>
        <v>297.8</v>
      </c>
      <c r="K21" s="19">
        <f>'BAU Data'!K9</f>
        <v>294.10000000000002</v>
      </c>
      <c r="L21" s="18">
        <v>7.5</v>
      </c>
      <c r="M21" s="18">
        <v>7.5</v>
      </c>
      <c r="N21" s="18">
        <v>7.5</v>
      </c>
      <c r="O21" s="18">
        <v>7.5</v>
      </c>
      <c r="P21" s="18">
        <v>7.5</v>
      </c>
      <c r="Q21" s="18">
        <v>7.5</v>
      </c>
      <c r="R21" s="18">
        <v>7.5</v>
      </c>
      <c r="S21" s="18">
        <v>7.5</v>
      </c>
      <c r="T21" s="18">
        <v>7.5</v>
      </c>
      <c r="U21" s="18">
        <v>7.5</v>
      </c>
      <c r="V21" s="18">
        <v>7.5</v>
      </c>
      <c r="W21" s="18">
        <v>7.5</v>
      </c>
      <c r="X21" s="18">
        <v>7.5</v>
      </c>
      <c r="Y21" s="18">
        <v>7.5</v>
      </c>
      <c r="Z21" s="18">
        <v>7.5</v>
      </c>
      <c r="AA21" s="18">
        <v>7.5</v>
      </c>
      <c r="AB21" s="18">
        <v>7.5</v>
      </c>
      <c r="AC21" s="18">
        <v>7.5</v>
      </c>
      <c r="AD21" s="18">
        <v>7.5</v>
      </c>
      <c r="AE21" s="18">
        <v>7.5</v>
      </c>
      <c r="AF21" s="18">
        <v>7.5</v>
      </c>
      <c r="AG21" s="18">
        <v>7.5</v>
      </c>
      <c r="AH21" s="18">
        <v>7.5</v>
      </c>
      <c r="AI21" s="18">
        <v>7.5</v>
      </c>
      <c r="AJ21" s="18">
        <v>7.5</v>
      </c>
      <c r="AK21" s="18">
        <v>7.5</v>
      </c>
      <c r="AL21" s="18">
        <v>7.5</v>
      </c>
      <c r="AM21" s="18">
        <v>7.5</v>
      </c>
      <c r="AN21" s="18">
        <v>7.5</v>
      </c>
      <c r="AO21" s="18">
        <v>7.5</v>
      </c>
      <c r="AP21" s="78">
        <v>7.5</v>
      </c>
    </row>
    <row r="22" spans="1:42">
      <c r="A22" s="47" t="s">
        <v>8</v>
      </c>
      <c r="B22" s="12">
        <f>'BAU Data'!B10-B25</f>
        <v>8969.9</v>
      </c>
      <c r="C22" s="12">
        <f>'BAU Data'!C10-C25</f>
        <v>8673.7000000000007</v>
      </c>
      <c r="D22" s="12">
        <f>'BAU Data'!D10-D25</f>
        <v>8968.9</v>
      </c>
      <c r="E22" s="12">
        <f>'BAU Data'!E10-E25</f>
        <v>8916.7999999999993</v>
      </c>
      <c r="F22" s="12">
        <f>'BAU Data'!F10-F25</f>
        <v>8625.7999999999993</v>
      </c>
      <c r="G22" s="12">
        <f>'BAU Data'!G10-G25</f>
        <v>8817.2999999999993</v>
      </c>
      <c r="H22" s="12">
        <f>'BAU Data'!H10-H25</f>
        <v>8840.1</v>
      </c>
      <c r="I22" s="12">
        <f>'BAU Data'!I10-I25</f>
        <v>8040.8</v>
      </c>
      <c r="J22" s="12">
        <f>'BAU Data'!J10-J25</f>
        <v>8501.4</v>
      </c>
      <c r="K22" s="11">
        <f>'BAU Data'!K10-K25</f>
        <v>8569</v>
      </c>
      <c r="L22" s="12">
        <f t="shared" ref="L22:AP22" si="13">(L62*$B$75*$B$77)-L33</f>
        <v>7514</v>
      </c>
      <c r="M22" s="12">
        <f t="shared" si="13"/>
        <v>7344.5408153475109</v>
      </c>
      <c r="N22" s="12">
        <f t="shared" si="13"/>
        <v>7204.5408153475109</v>
      </c>
      <c r="O22" s="12">
        <f t="shared" si="13"/>
        <v>7064.5408153475109</v>
      </c>
      <c r="P22" s="12">
        <f t="shared" si="13"/>
        <v>7190.8792992979361</v>
      </c>
      <c r="Q22" s="12">
        <f t="shared" si="13"/>
        <v>7050.8792992979361</v>
      </c>
      <c r="R22" s="12">
        <f t="shared" si="13"/>
        <v>6910.8792992979361</v>
      </c>
      <c r="S22" s="12">
        <f t="shared" si="13"/>
        <v>6513.7167898630396</v>
      </c>
      <c r="T22" s="12">
        <f t="shared" si="13"/>
        <v>6627.6855897657533</v>
      </c>
      <c r="U22" s="12">
        <f t="shared" si="13"/>
        <v>6487.6855897657533</v>
      </c>
      <c r="V22" s="12">
        <f t="shared" si="13"/>
        <v>5584.5226917198397</v>
      </c>
      <c r="W22" s="12">
        <f t="shared" si="13"/>
        <v>5577.1965595730398</v>
      </c>
      <c r="X22" s="12">
        <f t="shared" si="13"/>
        <v>5696.5117363485169</v>
      </c>
      <c r="Y22" s="12">
        <f t="shared" si="13"/>
        <v>5696.5117363485169</v>
      </c>
      <c r="Z22" s="12">
        <f t="shared" si="13"/>
        <v>5160.7152418448677</v>
      </c>
      <c r="AA22" s="12">
        <f t="shared" si="13"/>
        <v>5260.3896798456353</v>
      </c>
      <c r="AB22" s="12">
        <f t="shared" si="13"/>
        <v>5360.064117846403</v>
      </c>
      <c r="AC22" s="12">
        <f t="shared" si="13"/>
        <v>5417.0481655753301</v>
      </c>
      <c r="AD22" s="12">
        <f t="shared" si="13"/>
        <v>5417.0481655753301</v>
      </c>
      <c r="AE22" s="12">
        <f t="shared" si="13"/>
        <v>5417.0481655753301</v>
      </c>
      <c r="AF22" s="12">
        <f t="shared" si="13"/>
        <v>5419.2385014805641</v>
      </c>
      <c r="AG22" s="12">
        <f t="shared" si="13"/>
        <v>5419.2385014805641</v>
      </c>
      <c r="AH22" s="12">
        <f t="shared" si="13"/>
        <v>5419.2385014805641</v>
      </c>
      <c r="AI22" s="12">
        <f t="shared" si="13"/>
        <v>5419.2385014805641</v>
      </c>
      <c r="AJ22" s="12">
        <f t="shared" si="13"/>
        <v>5419.2385014805641</v>
      </c>
      <c r="AK22" s="12">
        <f t="shared" si="13"/>
        <v>5628.8788108512035</v>
      </c>
      <c r="AL22" s="12">
        <f t="shared" si="13"/>
        <v>5628.8788108512035</v>
      </c>
      <c r="AM22" s="12">
        <f t="shared" si="13"/>
        <v>5628.8788108512035</v>
      </c>
      <c r="AN22" s="12">
        <f t="shared" si="13"/>
        <v>5628.8788108512035</v>
      </c>
      <c r="AO22" s="12">
        <f t="shared" si="13"/>
        <v>5960.491663855666</v>
      </c>
      <c r="AP22" s="30">
        <f t="shared" si="13"/>
        <v>5960.491663855666</v>
      </c>
    </row>
    <row r="23" spans="1:42">
      <c r="A23" s="71" t="s">
        <v>9</v>
      </c>
      <c r="B23" s="72">
        <f>'BAU Data'!B11</f>
        <v>1000</v>
      </c>
      <c r="C23" s="72">
        <f>'BAU Data'!C11</f>
        <v>1000</v>
      </c>
      <c r="D23" s="72">
        <f>'BAU Data'!D11</f>
        <v>1000</v>
      </c>
      <c r="E23" s="72">
        <f>'BAU Data'!E11</f>
        <v>1000</v>
      </c>
      <c r="F23" s="72">
        <f>'BAU Data'!F11</f>
        <v>1000</v>
      </c>
      <c r="G23" s="72">
        <f>'BAU Data'!G11</f>
        <v>1000</v>
      </c>
      <c r="H23" s="72">
        <f>'BAU Data'!H11</f>
        <v>1000</v>
      </c>
      <c r="I23" s="72">
        <f>'BAU Data'!I11</f>
        <v>1000</v>
      </c>
      <c r="J23" s="72">
        <f>'BAU Data'!J11</f>
        <v>1000</v>
      </c>
      <c r="K23" s="73">
        <f>'BAU Data'!K11</f>
        <v>1022.5</v>
      </c>
      <c r="L23" s="72">
        <v>1022.5</v>
      </c>
      <c r="M23" s="72">
        <f t="shared" ref="M23:AP23" si="14">L23</f>
        <v>1022.5</v>
      </c>
      <c r="N23" s="72">
        <f t="shared" si="14"/>
        <v>1022.5</v>
      </c>
      <c r="O23" s="72">
        <f t="shared" si="14"/>
        <v>1022.5</v>
      </c>
      <c r="P23" s="72">
        <f t="shared" si="14"/>
        <v>1022.5</v>
      </c>
      <c r="Q23" s="72">
        <f t="shared" si="14"/>
        <v>1022.5</v>
      </c>
      <c r="R23" s="72">
        <f t="shared" si="14"/>
        <v>1022.5</v>
      </c>
      <c r="S23" s="72">
        <f t="shared" si="14"/>
        <v>1022.5</v>
      </c>
      <c r="T23" s="72">
        <f t="shared" si="14"/>
        <v>1022.5</v>
      </c>
      <c r="U23" s="72">
        <f t="shared" si="14"/>
        <v>1022.5</v>
      </c>
      <c r="V23" s="72">
        <f t="shared" si="14"/>
        <v>1022.5</v>
      </c>
      <c r="W23" s="72">
        <f t="shared" si="14"/>
        <v>1022.5</v>
      </c>
      <c r="X23" s="72">
        <f t="shared" si="14"/>
        <v>1022.5</v>
      </c>
      <c r="Y23" s="72">
        <f t="shared" si="14"/>
        <v>1022.5</v>
      </c>
      <c r="Z23" s="72">
        <f t="shared" si="14"/>
        <v>1022.5</v>
      </c>
      <c r="AA23" s="72">
        <f t="shared" si="14"/>
        <v>1022.5</v>
      </c>
      <c r="AB23" s="72">
        <f t="shared" si="14"/>
        <v>1022.5</v>
      </c>
      <c r="AC23" s="72">
        <f t="shared" si="14"/>
        <v>1022.5</v>
      </c>
      <c r="AD23" s="72">
        <f t="shared" si="14"/>
        <v>1022.5</v>
      </c>
      <c r="AE23" s="72">
        <f t="shared" si="14"/>
        <v>1022.5</v>
      </c>
      <c r="AF23" s="72">
        <f t="shared" si="14"/>
        <v>1022.5</v>
      </c>
      <c r="AG23" s="72">
        <f t="shared" si="14"/>
        <v>1022.5</v>
      </c>
      <c r="AH23" s="72">
        <f t="shared" si="14"/>
        <v>1022.5</v>
      </c>
      <c r="AI23" s="72">
        <f t="shared" si="14"/>
        <v>1022.5</v>
      </c>
      <c r="AJ23" s="72">
        <f t="shared" si="14"/>
        <v>1022.5</v>
      </c>
      <c r="AK23" s="72">
        <f t="shared" si="14"/>
        <v>1022.5</v>
      </c>
      <c r="AL23" s="72">
        <f t="shared" si="14"/>
        <v>1022.5</v>
      </c>
      <c r="AM23" s="72">
        <f t="shared" si="14"/>
        <v>1022.5</v>
      </c>
      <c r="AN23" s="72">
        <f t="shared" si="14"/>
        <v>1022.5</v>
      </c>
      <c r="AO23" s="72">
        <f t="shared" si="14"/>
        <v>1022.5</v>
      </c>
      <c r="AP23" s="74">
        <f t="shared" si="14"/>
        <v>1022.5</v>
      </c>
    </row>
    <row r="24" spans="1:42">
      <c r="A24" s="80" t="s">
        <v>68</v>
      </c>
      <c r="B24" s="77">
        <f>'BAU Data'!B12</f>
        <v>727.9</v>
      </c>
      <c r="C24" s="77">
        <f>'BAU Data'!C12</f>
        <v>720.2</v>
      </c>
      <c r="D24" s="77">
        <f>'BAU Data'!D12</f>
        <v>725.5</v>
      </c>
      <c r="E24" s="77">
        <f>'BAU Data'!E12</f>
        <v>715.6</v>
      </c>
      <c r="F24" s="77">
        <f>'BAU Data'!F12</f>
        <v>723</v>
      </c>
      <c r="G24" s="77">
        <f>'BAU Data'!G12</f>
        <v>713.2</v>
      </c>
      <c r="H24" s="77">
        <f>'BAU Data'!H12</f>
        <v>729.6</v>
      </c>
      <c r="I24" s="77">
        <f>'BAU Data'!I12</f>
        <v>754</v>
      </c>
      <c r="J24" s="77">
        <f>'BAU Data'!J12</f>
        <v>725.6</v>
      </c>
      <c r="K24" s="79">
        <f>'BAU Data'!K12</f>
        <v>725.6</v>
      </c>
      <c r="L24" s="77">
        <v>725.6</v>
      </c>
      <c r="M24" s="77">
        <v>725.6</v>
      </c>
      <c r="N24" s="77">
        <v>725.6</v>
      </c>
      <c r="O24" s="77">
        <v>725.6</v>
      </c>
      <c r="P24" s="77">
        <v>725.6</v>
      </c>
      <c r="Q24" s="77">
        <v>725.6</v>
      </c>
      <c r="R24" s="77">
        <v>725.6</v>
      </c>
      <c r="S24" s="77">
        <v>725.6</v>
      </c>
      <c r="T24" s="77">
        <v>725.6</v>
      </c>
      <c r="U24" s="77">
        <v>725.6</v>
      </c>
      <c r="V24" s="77">
        <v>725.6</v>
      </c>
      <c r="W24" s="77">
        <v>725.6</v>
      </c>
      <c r="X24" s="77">
        <v>725.6</v>
      </c>
      <c r="Y24" s="77">
        <v>725.6</v>
      </c>
      <c r="Z24" s="77">
        <v>725.6</v>
      </c>
      <c r="AA24" s="77">
        <v>725.6</v>
      </c>
      <c r="AB24" s="77">
        <v>725.6</v>
      </c>
      <c r="AC24" s="77">
        <v>725.6</v>
      </c>
      <c r="AD24" s="77">
        <v>725.6</v>
      </c>
      <c r="AE24" s="77">
        <v>725.6</v>
      </c>
      <c r="AF24" s="77">
        <v>725.6</v>
      </c>
      <c r="AG24" s="77">
        <v>725.6</v>
      </c>
      <c r="AH24" s="77">
        <v>725.6</v>
      </c>
      <c r="AI24" s="77">
        <v>725.6</v>
      </c>
      <c r="AJ24" s="77">
        <v>725.6</v>
      </c>
      <c r="AK24" s="77">
        <v>725.6</v>
      </c>
      <c r="AL24" s="77">
        <v>725.6</v>
      </c>
      <c r="AM24" s="77">
        <v>725.6</v>
      </c>
      <c r="AN24" s="77">
        <v>725.6</v>
      </c>
      <c r="AO24" s="77">
        <v>725.6</v>
      </c>
      <c r="AP24" s="81">
        <v>725.6</v>
      </c>
    </row>
    <row r="25" spans="1:42">
      <c r="A25" s="47" t="s">
        <v>56</v>
      </c>
      <c r="B25" s="2">
        <v>887.1</v>
      </c>
      <c r="C25" s="2">
        <v>857.8</v>
      </c>
      <c r="D25" s="2">
        <v>887</v>
      </c>
      <c r="E25" s="2">
        <v>881.9</v>
      </c>
      <c r="F25" s="2">
        <v>853.1</v>
      </c>
      <c r="G25" s="2">
        <v>872</v>
      </c>
      <c r="H25" s="2">
        <v>874.3</v>
      </c>
      <c r="I25" s="2">
        <v>795.2</v>
      </c>
      <c r="J25" s="2">
        <v>840.8</v>
      </c>
      <c r="K25" s="20">
        <v>847.6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32"/>
    </row>
    <row r="26" spans="1:42" ht="15.75" customHeight="1">
      <c r="A26" s="84" t="s">
        <v>11</v>
      </c>
      <c r="B26" s="85">
        <f t="shared" ref="B26:AP26" si="15">SUM(B18:B24)</f>
        <v>19542.2</v>
      </c>
      <c r="C26" s="85">
        <f t="shared" si="15"/>
        <v>19171.3</v>
      </c>
      <c r="D26" s="85">
        <f t="shared" si="15"/>
        <v>19390.599999999999</v>
      </c>
      <c r="E26" s="85">
        <f t="shared" si="15"/>
        <v>20898.099999999999</v>
      </c>
      <c r="F26" s="85">
        <f t="shared" si="15"/>
        <v>20536</v>
      </c>
      <c r="G26" s="85">
        <f t="shared" si="15"/>
        <v>19754.900000000001</v>
      </c>
      <c r="H26" s="85">
        <f t="shared" si="15"/>
        <v>18367.599999999999</v>
      </c>
      <c r="I26" s="85">
        <f t="shared" si="15"/>
        <v>17212</v>
      </c>
      <c r="J26" s="85">
        <f t="shared" si="15"/>
        <v>18505.199999999997</v>
      </c>
      <c r="K26" s="86">
        <f t="shared" si="15"/>
        <v>18399.8</v>
      </c>
      <c r="L26" s="85">
        <f t="shared" si="15"/>
        <v>16335.2</v>
      </c>
      <c r="M26" s="85">
        <f t="shared" si="15"/>
        <v>16141.347217389175</v>
      </c>
      <c r="N26" s="85">
        <f t="shared" si="15"/>
        <v>15998.802872167635</v>
      </c>
      <c r="O26" s="85">
        <f t="shared" si="15"/>
        <v>15858.802872167635</v>
      </c>
      <c r="P26" s="85">
        <f t="shared" si="15"/>
        <v>16231.219554208448</v>
      </c>
      <c r="Q26" s="85">
        <f t="shared" si="15"/>
        <v>16091.219554208448</v>
      </c>
      <c r="R26" s="85">
        <f t="shared" si="15"/>
        <v>15951.219554208448</v>
      </c>
      <c r="S26" s="85">
        <f t="shared" si="15"/>
        <v>15321.848735413589</v>
      </c>
      <c r="T26" s="85">
        <f t="shared" si="15"/>
        <v>8916.5953114282693</v>
      </c>
      <c r="U26" s="85">
        <f t="shared" si="15"/>
        <v>8776.5953114282693</v>
      </c>
      <c r="V26" s="85">
        <f t="shared" si="15"/>
        <v>7877.0193305853527</v>
      </c>
      <c r="W26" s="85">
        <f t="shared" si="15"/>
        <v>7873.3420450587219</v>
      </c>
      <c r="X26" s="85">
        <f t="shared" si="15"/>
        <v>8006.7557148964806</v>
      </c>
      <c r="Y26" s="85">
        <f t="shared" si="15"/>
        <v>8006.7557148964806</v>
      </c>
      <c r="Z26" s="85">
        <f t="shared" si="15"/>
        <v>7458.8266934584617</v>
      </c>
      <c r="AA26" s="85">
        <f t="shared" si="15"/>
        <v>7563.5933658787444</v>
      </c>
      <c r="AB26" s="85">
        <f t="shared" si="15"/>
        <v>7667.360038299028</v>
      </c>
      <c r="AC26" s="85">
        <f t="shared" si="15"/>
        <v>7726.9933749217125</v>
      </c>
      <c r="AD26" s="85">
        <f t="shared" si="15"/>
        <v>7726.9933749217125</v>
      </c>
      <c r="AE26" s="85">
        <f t="shared" si="15"/>
        <v>7726.9933749217125</v>
      </c>
      <c r="AF26" s="85">
        <f t="shared" si="15"/>
        <v>7732.9099544453129</v>
      </c>
      <c r="AG26" s="85">
        <f t="shared" si="15"/>
        <v>7732.9099544453129</v>
      </c>
      <c r="AH26" s="85">
        <f t="shared" si="15"/>
        <v>7732.9099544453129</v>
      </c>
      <c r="AI26" s="85">
        <f t="shared" si="15"/>
        <v>7732.9099544453129</v>
      </c>
      <c r="AJ26" s="85">
        <f t="shared" si="15"/>
        <v>7732.9099544453129</v>
      </c>
      <c r="AK26" s="85">
        <f t="shared" si="15"/>
        <v>7952.2432998799441</v>
      </c>
      <c r="AL26" s="85">
        <f t="shared" si="15"/>
        <v>7952.2432998799441</v>
      </c>
      <c r="AM26" s="85">
        <f t="shared" si="15"/>
        <v>7952.2432998799441</v>
      </c>
      <c r="AN26" s="85">
        <f t="shared" si="15"/>
        <v>7952.2432998799441</v>
      </c>
      <c r="AO26" s="85">
        <f t="shared" si="15"/>
        <v>8300.2433190219908</v>
      </c>
      <c r="AP26" s="87">
        <f t="shared" si="15"/>
        <v>8300.2433190219908</v>
      </c>
    </row>
    <row r="27" spans="1:42" ht="15.75" customHeight="1">
      <c r="A27" s="66"/>
      <c r="B27" s="66"/>
      <c r="C27" s="66"/>
      <c r="D27" s="66"/>
      <c r="E27" s="66"/>
      <c r="F27" s="66"/>
      <c r="G27" s="66"/>
      <c r="H27" s="66"/>
      <c r="I27" s="66"/>
      <c r="J27" s="2"/>
      <c r="K27" s="2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</row>
    <row r="28" spans="1:42" ht="15.75" customHeight="1">
      <c r="A28" s="3" t="s">
        <v>69</v>
      </c>
      <c r="B28" s="66"/>
      <c r="C28" s="66"/>
      <c r="D28" s="66"/>
      <c r="E28" s="66"/>
      <c r="F28" s="66"/>
      <c r="G28" s="66"/>
      <c r="H28" s="66"/>
      <c r="I28" s="66"/>
      <c r="J28" s="2"/>
      <c r="K28" s="2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</row>
    <row r="29" spans="1:42" ht="15.75" customHeight="1">
      <c r="A29" s="57" t="s">
        <v>70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5">
        <f>208+140+375</f>
        <v>723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f>6984-223</f>
        <v>6761</v>
      </c>
      <c r="U29" s="25">
        <v>0</v>
      </c>
      <c r="V29" s="25">
        <f>-6</f>
        <v>-6</v>
      </c>
      <c r="W29" s="25">
        <v>-6</v>
      </c>
      <c r="X29" s="25">
        <v>104</v>
      </c>
      <c r="Y29" s="25">
        <v>0</v>
      </c>
      <c r="Z29" s="25">
        <v>-469</v>
      </c>
      <c r="AA29" s="25">
        <v>87</v>
      </c>
      <c r="AB29" s="25">
        <v>88</v>
      </c>
      <c r="AC29" s="25">
        <v>50</v>
      </c>
      <c r="AD29" s="25">
        <v>0</v>
      </c>
      <c r="AE29" s="25">
        <v>0</v>
      </c>
      <c r="AF29" s="25">
        <v>1</v>
      </c>
      <c r="AG29" s="25">
        <v>0</v>
      </c>
      <c r="AH29" s="25"/>
      <c r="AI29" s="25">
        <v>0</v>
      </c>
      <c r="AJ29" s="25">
        <v>0</v>
      </c>
      <c r="AK29" s="25">
        <v>184</v>
      </c>
      <c r="AL29" s="25">
        <v>0</v>
      </c>
      <c r="AM29" s="25">
        <v>0</v>
      </c>
      <c r="AN29" s="25"/>
      <c r="AO29" s="25">
        <v>290</v>
      </c>
      <c r="AP29" s="27">
        <v>0</v>
      </c>
    </row>
    <row r="30" spans="1:42">
      <c r="A30" s="47" t="s">
        <v>71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12">
        <f t="shared" ref="L30:AP30" si="16">L29+K30</f>
        <v>723</v>
      </c>
      <c r="M30" s="12">
        <f t="shared" si="16"/>
        <v>723</v>
      </c>
      <c r="N30" s="12">
        <f t="shared" si="16"/>
        <v>723</v>
      </c>
      <c r="O30" s="12">
        <f t="shared" si="16"/>
        <v>723</v>
      </c>
      <c r="P30" s="12">
        <f t="shared" si="16"/>
        <v>723</v>
      </c>
      <c r="Q30" s="12">
        <f t="shared" si="16"/>
        <v>723</v>
      </c>
      <c r="R30" s="12">
        <f t="shared" si="16"/>
        <v>723</v>
      </c>
      <c r="S30" s="12">
        <f t="shared" si="16"/>
        <v>723</v>
      </c>
      <c r="T30" s="12">
        <f t="shared" si="16"/>
        <v>7484</v>
      </c>
      <c r="U30" s="12">
        <f t="shared" si="16"/>
        <v>7484</v>
      </c>
      <c r="V30" s="12">
        <f t="shared" si="16"/>
        <v>7478</v>
      </c>
      <c r="W30" s="12">
        <f t="shared" si="16"/>
        <v>7472</v>
      </c>
      <c r="X30" s="12">
        <f t="shared" si="16"/>
        <v>7576</v>
      </c>
      <c r="Y30" s="12">
        <f t="shared" si="16"/>
        <v>7576</v>
      </c>
      <c r="Z30" s="12">
        <f t="shared" si="16"/>
        <v>7107</v>
      </c>
      <c r="AA30" s="12">
        <f t="shared" si="16"/>
        <v>7194</v>
      </c>
      <c r="AB30" s="12">
        <f t="shared" si="16"/>
        <v>7282</v>
      </c>
      <c r="AC30" s="12">
        <f t="shared" si="16"/>
        <v>7332</v>
      </c>
      <c r="AD30" s="12">
        <f t="shared" si="16"/>
        <v>7332</v>
      </c>
      <c r="AE30" s="12">
        <f t="shared" si="16"/>
        <v>7332</v>
      </c>
      <c r="AF30" s="12">
        <f t="shared" si="16"/>
        <v>7333</v>
      </c>
      <c r="AG30" s="12">
        <f t="shared" si="16"/>
        <v>7333</v>
      </c>
      <c r="AH30" s="12">
        <f t="shared" si="16"/>
        <v>7333</v>
      </c>
      <c r="AI30" s="12">
        <f t="shared" si="16"/>
        <v>7333</v>
      </c>
      <c r="AJ30" s="12">
        <f t="shared" si="16"/>
        <v>7333</v>
      </c>
      <c r="AK30" s="12">
        <f t="shared" si="16"/>
        <v>7517</v>
      </c>
      <c r="AL30" s="12">
        <f t="shared" si="16"/>
        <v>7517</v>
      </c>
      <c r="AM30" s="12">
        <f t="shared" si="16"/>
        <v>7517</v>
      </c>
      <c r="AN30" s="12">
        <f t="shared" si="16"/>
        <v>7517</v>
      </c>
      <c r="AO30" s="12">
        <f t="shared" si="16"/>
        <v>7807</v>
      </c>
      <c r="AP30" s="30">
        <f t="shared" si="16"/>
        <v>7807</v>
      </c>
    </row>
    <row r="31" spans="1:42" ht="5.25" customHeight="1">
      <c r="A31" s="47"/>
      <c r="B31" s="2"/>
      <c r="C31" s="2"/>
      <c r="D31" s="2"/>
      <c r="E31" s="2"/>
      <c r="F31" s="2"/>
      <c r="G31" s="2"/>
      <c r="H31" s="2"/>
      <c r="I31" s="2"/>
      <c r="J31" s="2"/>
      <c r="K31" s="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0"/>
    </row>
    <row r="32" spans="1:42">
      <c r="A32" s="47" t="s">
        <v>72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12">
        <f>140+430+485</f>
        <v>1055</v>
      </c>
      <c r="M32" s="12">
        <v>140</v>
      </c>
      <c r="N32" s="12">
        <v>140</v>
      </c>
      <c r="O32" s="12">
        <v>140</v>
      </c>
      <c r="P32" s="12">
        <f>140</f>
        <v>140</v>
      </c>
      <c r="Q32" s="12">
        <v>140</v>
      </c>
      <c r="R32" s="12">
        <v>140</v>
      </c>
      <c r="S32" s="12">
        <f>140</f>
        <v>140</v>
      </c>
      <c r="T32" s="12">
        <v>140</v>
      </c>
      <c r="U32" s="12">
        <f>140</f>
        <v>140</v>
      </c>
      <c r="V32" s="12">
        <v>897</v>
      </c>
      <c r="W32" s="12"/>
      <c r="X32" s="12"/>
      <c r="Y32" s="12">
        <v>0</v>
      </c>
      <c r="Z32" s="12"/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/>
      <c r="AM32" s="12">
        <v>0</v>
      </c>
      <c r="AN32" s="12">
        <v>0</v>
      </c>
      <c r="AO32" s="12">
        <v>0</v>
      </c>
      <c r="AP32" s="30">
        <v>0</v>
      </c>
    </row>
    <row r="33" spans="1:42" ht="15.75" customHeight="1">
      <c r="A33" s="52" t="s">
        <v>73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8">
        <f t="shared" ref="L33:AP33" si="17">L32+K33</f>
        <v>1055</v>
      </c>
      <c r="M33" s="38">
        <f t="shared" si="17"/>
        <v>1195</v>
      </c>
      <c r="N33" s="38">
        <f t="shared" si="17"/>
        <v>1335</v>
      </c>
      <c r="O33" s="38">
        <f t="shared" si="17"/>
        <v>1475</v>
      </c>
      <c r="P33" s="38">
        <f t="shared" si="17"/>
        <v>1615</v>
      </c>
      <c r="Q33" s="38">
        <f t="shared" si="17"/>
        <v>1755</v>
      </c>
      <c r="R33" s="38">
        <f t="shared" si="17"/>
        <v>1895</v>
      </c>
      <c r="S33" s="38">
        <f t="shared" si="17"/>
        <v>2035</v>
      </c>
      <c r="T33" s="38">
        <f t="shared" si="17"/>
        <v>2175</v>
      </c>
      <c r="U33" s="38">
        <f t="shared" si="17"/>
        <v>2315</v>
      </c>
      <c r="V33" s="38">
        <f t="shared" si="17"/>
        <v>3212</v>
      </c>
      <c r="W33" s="38">
        <f t="shared" si="17"/>
        <v>3212</v>
      </c>
      <c r="X33" s="38">
        <f t="shared" si="17"/>
        <v>3212</v>
      </c>
      <c r="Y33" s="38">
        <f t="shared" si="17"/>
        <v>3212</v>
      </c>
      <c r="Z33" s="38">
        <f t="shared" si="17"/>
        <v>3212</v>
      </c>
      <c r="AA33" s="38">
        <f t="shared" si="17"/>
        <v>3212</v>
      </c>
      <c r="AB33" s="38">
        <f t="shared" si="17"/>
        <v>3212</v>
      </c>
      <c r="AC33" s="38">
        <f t="shared" si="17"/>
        <v>3212</v>
      </c>
      <c r="AD33" s="38">
        <f t="shared" si="17"/>
        <v>3212</v>
      </c>
      <c r="AE33" s="38">
        <f t="shared" si="17"/>
        <v>3212</v>
      </c>
      <c r="AF33" s="38">
        <f t="shared" si="17"/>
        <v>3212</v>
      </c>
      <c r="AG33" s="38">
        <f t="shared" si="17"/>
        <v>3212</v>
      </c>
      <c r="AH33" s="38">
        <f t="shared" si="17"/>
        <v>3212</v>
      </c>
      <c r="AI33" s="38">
        <f t="shared" si="17"/>
        <v>3212</v>
      </c>
      <c r="AJ33" s="38">
        <f t="shared" si="17"/>
        <v>3212</v>
      </c>
      <c r="AK33" s="38">
        <f t="shared" si="17"/>
        <v>3212</v>
      </c>
      <c r="AL33" s="38">
        <f t="shared" si="17"/>
        <v>3212</v>
      </c>
      <c r="AM33" s="38">
        <f t="shared" si="17"/>
        <v>3212</v>
      </c>
      <c r="AN33" s="38">
        <f t="shared" si="17"/>
        <v>3212</v>
      </c>
      <c r="AO33" s="38">
        <f t="shared" si="17"/>
        <v>3212</v>
      </c>
      <c r="AP33" s="39">
        <f t="shared" si="17"/>
        <v>3212</v>
      </c>
    </row>
    <row r="34" spans="1:42" ht="4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>
      <c r="A35" s="66"/>
      <c r="B35" s="66"/>
      <c r="C35" s="66"/>
      <c r="D35" s="66"/>
      <c r="E35" s="66"/>
      <c r="F35" s="66"/>
      <c r="G35" s="66"/>
      <c r="H35" s="66"/>
      <c r="I35" s="66"/>
      <c r="J35" s="2"/>
      <c r="K35" s="2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</row>
    <row r="36" spans="1:42" ht="15.75" customHeight="1">
      <c r="A36" s="3" t="s">
        <v>12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</row>
    <row r="37" spans="1:42" ht="15.75" customHeight="1">
      <c r="A37" s="57" t="s">
        <v>13</v>
      </c>
      <c r="B37" s="24">
        <v>1538247</v>
      </c>
      <c r="C37" s="25">
        <f>B37</f>
        <v>1538247</v>
      </c>
      <c r="D37" s="25">
        <f>B37</f>
        <v>1538247</v>
      </c>
      <c r="E37" s="25">
        <f t="shared" ref="E37:K37" si="18">D37</f>
        <v>1538247</v>
      </c>
      <c r="F37" s="25">
        <f t="shared" si="18"/>
        <v>1538247</v>
      </c>
      <c r="G37" s="25">
        <f t="shared" si="18"/>
        <v>1538247</v>
      </c>
      <c r="H37" s="25">
        <f t="shared" si="18"/>
        <v>1538247</v>
      </c>
      <c r="I37" s="25">
        <f t="shared" si="18"/>
        <v>1538247</v>
      </c>
      <c r="J37" s="26">
        <f t="shared" si="18"/>
        <v>1538247</v>
      </c>
      <c r="K37" s="88">
        <f t="shared" si="18"/>
        <v>1538247</v>
      </c>
      <c r="L37" s="25">
        <f t="shared" ref="L37:AP37" si="19">L52</f>
        <v>1538247</v>
      </c>
      <c r="M37" s="25">
        <f t="shared" si="19"/>
        <v>1545747</v>
      </c>
      <c r="N37" s="25">
        <f t="shared" si="19"/>
        <v>1545747</v>
      </c>
      <c r="O37" s="25">
        <f t="shared" si="19"/>
        <v>1545747</v>
      </c>
      <c r="P37" s="25">
        <f t="shared" si="19"/>
        <v>1615622</v>
      </c>
      <c r="Q37" s="25">
        <f t="shared" si="19"/>
        <v>1615622</v>
      </c>
      <c r="R37" s="25">
        <f t="shared" si="19"/>
        <v>1615622</v>
      </c>
      <c r="S37" s="25">
        <f t="shared" si="19"/>
        <v>1577352</v>
      </c>
      <c r="T37" s="25">
        <f t="shared" si="19"/>
        <v>1682582</v>
      </c>
      <c r="U37" s="25">
        <f t="shared" si="19"/>
        <v>1682582</v>
      </c>
      <c r="V37" s="25">
        <f t="shared" si="19"/>
        <v>1698732</v>
      </c>
      <c r="W37" s="25">
        <f t="shared" si="19"/>
        <v>1720732</v>
      </c>
      <c r="X37" s="25">
        <f t="shared" si="19"/>
        <v>1794595</v>
      </c>
      <c r="Y37" s="25">
        <f t="shared" si="19"/>
        <v>1794595</v>
      </c>
      <c r="Z37" s="25">
        <f t="shared" si="19"/>
        <v>1729329</v>
      </c>
      <c r="AA37" s="25">
        <f t="shared" si="19"/>
        <v>1755479</v>
      </c>
      <c r="AB37" s="25">
        <f t="shared" si="19"/>
        <v>1781629</v>
      </c>
      <c r="AC37" s="25">
        <f t="shared" si="19"/>
        <v>1796579</v>
      </c>
      <c r="AD37" s="25">
        <f t="shared" si="19"/>
        <v>1796579</v>
      </c>
      <c r="AE37" s="25">
        <f t="shared" si="19"/>
        <v>1796579</v>
      </c>
      <c r="AF37" s="25">
        <f t="shared" si="19"/>
        <v>1811788</v>
      </c>
      <c r="AG37" s="25">
        <f t="shared" si="19"/>
        <v>1811788</v>
      </c>
      <c r="AH37" s="25">
        <f t="shared" si="19"/>
        <v>1811788</v>
      </c>
      <c r="AI37" s="25">
        <f t="shared" si="19"/>
        <v>1811788</v>
      </c>
      <c r="AJ37" s="25">
        <f t="shared" si="19"/>
        <v>1811788</v>
      </c>
      <c r="AK37" s="25">
        <f t="shared" si="19"/>
        <v>1866788</v>
      </c>
      <c r="AL37" s="25">
        <f t="shared" si="19"/>
        <v>1866788</v>
      </c>
      <c r="AM37" s="25">
        <f t="shared" si="19"/>
        <v>1866788</v>
      </c>
      <c r="AN37" s="25">
        <f t="shared" si="19"/>
        <v>1866788</v>
      </c>
      <c r="AO37" s="25">
        <f t="shared" si="19"/>
        <v>1953788</v>
      </c>
      <c r="AP37" s="27">
        <f t="shared" si="19"/>
        <v>1953788</v>
      </c>
    </row>
    <row r="38" spans="1:42">
      <c r="A38" s="47" t="s">
        <v>14</v>
      </c>
      <c r="B38" s="28">
        <f t="shared" ref="B38:J38" si="20">B26/B37</f>
        <v>1.2704201600913248E-2</v>
      </c>
      <c r="C38" s="28">
        <f t="shared" si="20"/>
        <v>1.2463082976921131E-2</v>
      </c>
      <c r="D38" s="28">
        <f t="shared" si="20"/>
        <v>1.260564785759374E-2</v>
      </c>
      <c r="E38" s="28">
        <f t="shared" si="20"/>
        <v>1.3585659520220094E-2</v>
      </c>
      <c r="F38" s="28">
        <f t="shared" si="20"/>
        <v>1.3350261693993228E-2</v>
      </c>
      <c r="G38" s="28">
        <f t="shared" si="20"/>
        <v>1.2842475883261921E-2</v>
      </c>
      <c r="H38" s="28">
        <f t="shared" si="20"/>
        <v>1.1940605117383618E-2</v>
      </c>
      <c r="I38" s="28">
        <f t="shared" si="20"/>
        <v>1.1189360356301687E-2</v>
      </c>
      <c r="J38" s="29">
        <f t="shared" si="20"/>
        <v>1.2030057591531137E-2</v>
      </c>
      <c r="K38" s="89">
        <f t="shared" ref="K38:AP38" si="21">K37*$B$39</f>
        <v>19264.211111111112</v>
      </c>
      <c r="L38" s="12">
        <f t="shared" si="21"/>
        <v>19264.211111111112</v>
      </c>
      <c r="M38" s="12">
        <f t="shared" si="21"/>
        <v>19358.137238276213</v>
      </c>
      <c r="N38" s="12">
        <f t="shared" si="21"/>
        <v>19358.137238276213</v>
      </c>
      <c r="O38" s="12">
        <f t="shared" si="21"/>
        <v>19358.137238276213</v>
      </c>
      <c r="P38" s="12">
        <f t="shared" si="21"/>
        <v>20233.215656364391</v>
      </c>
      <c r="Q38" s="12">
        <f t="shared" si="21"/>
        <v>20233.215656364391</v>
      </c>
      <c r="R38" s="12">
        <f t="shared" si="21"/>
        <v>20233.215656364391</v>
      </c>
      <c r="S38" s="12">
        <f t="shared" si="21"/>
        <v>19753.941938149943</v>
      </c>
      <c r="T38" s="12">
        <f t="shared" si="21"/>
        <v>21071.788119694404</v>
      </c>
      <c r="U38" s="12">
        <f t="shared" si="21"/>
        <v>21071.788119694404</v>
      </c>
      <c r="V38" s="12">
        <f t="shared" si="21"/>
        <v>21274.04238018992</v>
      </c>
      <c r="W38" s="12">
        <f t="shared" si="21"/>
        <v>21549.55901987421</v>
      </c>
      <c r="X38" s="12">
        <f t="shared" si="21"/>
        <v>22474.581090646981</v>
      </c>
      <c r="Y38" s="12">
        <f t="shared" si="21"/>
        <v>22474.581090646981</v>
      </c>
      <c r="Z38" s="12">
        <f t="shared" si="21"/>
        <v>21657.22340857266</v>
      </c>
      <c r="AA38" s="12">
        <f t="shared" si="21"/>
        <v>21984.712505288309</v>
      </c>
      <c r="AB38" s="12">
        <f t="shared" si="21"/>
        <v>22312.201602003955</v>
      </c>
      <c r="AC38" s="12">
        <f t="shared" si="21"/>
        <v>22499.427682153055</v>
      </c>
      <c r="AD38" s="12">
        <f t="shared" si="21"/>
        <v>22499.427682153055</v>
      </c>
      <c r="AE38" s="12">
        <f t="shared" si="21"/>
        <v>22499.427682153055</v>
      </c>
      <c r="AF38" s="12">
        <f t="shared" si="21"/>
        <v>22689.897344560257</v>
      </c>
      <c r="AG38" s="12">
        <f t="shared" si="21"/>
        <v>22689.897344560257</v>
      </c>
      <c r="AH38" s="12">
        <f t="shared" si="21"/>
        <v>22689.897344560257</v>
      </c>
      <c r="AI38" s="12">
        <f t="shared" si="21"/>
        <v>22689.897344560257</v>
      </c>
      <c r="AJ38" s="12">
        <f t="shared" si="21"/>
        <v>22689.897344560257</v>
      </c>
      <c r="AK38" s="12">
        <f t="shared" si="21"/>
        <v>23378.688943770987</v>
      </c>
      <c r="AL38" s="12">
        <f t="shared" si="21"/>
        <v>23378.688943770987</v>
      </c>
      <c r="AM38" s="12">
        <f t="shared" si="21"/>
        <v>23378.688943770987</v>
      </c>
      <c r="AN38" s="12">
        <f t="shared" si="21"/>
        <v>23378.688943770987</v>
      </c>
      <c r="AO38" s="12">
        <f t="shared" si="21"/>
        <v>24468.232018886145</v>
      </c>
      <c r="AP38" s="30">
        <f t="shared" si="21"/>
        <v>24468.232018886145</v>
      </c>
    </row>
    <row r="39" spans="1:42">
      <c r="A39" s="47" t="s">
        <v>15</v>
      </c>
      <c r="B39" s="31">
        <f>AVERAGE(B38:J38)</f>
        <v>1.2523483622013313E-2</v>
      </c>
      <c r="C39" s="2"/>
      <c r="D39" s="2"/>
      <c r="E39" s="2"/>
      <c r="F39" s="2"/>
      <c r="G39" s="2"/>
      <c r="H39" s="2"/>
      <c r="I39" s="2"/>
      <c r="J39" s="20"/>
      <c r="K39" s="9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32"/>
    </row>
    <row r="40" spans="1:42">
      <c r="A40" s="47" t="s">
        <v>16</v>
      </c>
      <c r="B40" s="12">
        <v>179849</v>
      </c>
      <c r="C40" s="2"/>
      <c r="D40" s="2"/>
      <c r="E40" s="2"/>
      <c r="F40" s="2"/>
      <c r="G40" s="2"/>
      <c r="H40" s="2"/>
      <c r="I40" s="2"/>
      <c r="J40" s="20"/>
      <c r="K40" s="9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32"/>
    </row>
    <row r="41" spans="1:42" ht="15.75" customHeight="1">
      <c r="A41" s="52" t="s">
        <v>17</v>
      </c>
      <c r="B41" s="34">
        <f>(B40*1000)/B37</f>
        <v>116.91815423660829</v>
      </c>
      <c r="C41" s="33"/>
      <c r="D41" s="33"/>
      <c r="E41" s="33"/>
      <c r="F41" s="33"/>
      <c r="G41" s="33"/>
      <c r="H41" s="33"/>
      <c r="I41" s="33"/>
      <c r="J41" s="35"/>
      <c r="K41" s="91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6"/>
    </row>
    <row r="42" spans="1:42" ht="15.75" customHeight="1">
      <c r="A42" s="2"/>
      <c r="B42" s="3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5.75" customHeight="1">
      <c r="A43" s="3" t="s">
        <v>18</v>
      </c>
      <c r="B43" s="3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5.75" customHeight="1">
      <c r="A44" s="92" t="s">
        <v>19</v>
      </c>
      <c r="B44" s="25">
        <f>B37</f>
        <v>1538247</v>
      </c>
      <c r="C44" s="25">
        <f t="shared" ref="C44:L44" si="22">B44</f>
        <v>1538247</v>
      </c>
      <c r="D44" s="25">
        <f t="shared" si="22"/>
        <v>1538247</v>
      </c>
      <c r="E44" s="25">
        <f t="shared" si="22"/>
        <v>1538247</v>
      </c>
      <c r="F44" s="25">
        <f t="shared" si="22"/>
        <v>1538247</v>
      </c>
      <c r="G44" s="25">
        <f t="shared" si="22"/>
        <v>1538247</v>
      </c>
      <c r="H44" s="25">
        <f t="shared" si="22"/>
        <v>1538247</v>
      </c>
      <c r="I44" s="25">
        <f t="shared" si="22"/>
        <v>1538247</v>
      </c>
      <c r="J44" s="25">
        <f t="shared" si="22"/>
        <v>1538247</v>
      </c>
      <c r="K44" s="25">
        <f t="shared" si="22"/>
        <v>1538247</v>
      </c>
      <c r="L44" s="25">
        <f t="shared" si="22"/>
        <v>1538247</v>
      </c>
      <c r="M44" s="25">
        <f t="shared" ref="M44:AP44" si="23">$B$44+M45-M46-M47-M48</f>
        <v>1505247</v>
      </c>
      <c r="N44" s="25">
        <f t="shared" si="23"/>
        <v>1505247</v>
      </c>
      <c r="O44" s="25">
        <f t="shared" si="23"/>
        <v>1505247</v>
      </c>
      <c r="P44" s="25">
        <f t="shared" si="23"/>
        <v>1505247</v>
      </c>
      <c r="Q44" s="25">
        <f t="shared" si="23"/>
        <v>1505247</v>
      </c>
      <c r="R44" s="25">
        <f t="shared" si="23"/>
        <v>1505247</v>
      </c>
      <c r="S44" s="25">
        <f t="shared" si="23"/>
        <v>1441977</v>
      </c>
      <c r="T44" s="25">
        <f t="shared" si="23"/>
        <v>1358332</v>
      </c>
      <c r="U44" s="25">
        <f t="shared" si="23"/>
        <v>1358332</v>
      </c>
      <c r="V44" s="25">
        <f t="shared" si="23"/>
        <v>1319832</v>
      </c>
      <c r="W44" s="25">
        <f t="shared" si="23"/>
        <v>1267994</v>
      </c>
      <c r="X44" s="25">
        <f t="shared" si="23"/>
        <v>1175768</v>
      </c>
      <c r="Y44" s="25">
        <f t="shared" si="23"/>
        <v>1175768</v>
      </c>
      <c r="Z44" s="25">
        <f t="shared" si="23"/>
        <v>1012591</v>
      </c>
      <c r="AA44" s="25">
        <f t="shared" si="23"/>
        <v>1012591</v>
      </c>
      <c r="AB44" s="25">
        <f t="shared" si="23"/>
        <v>1012591</v>
      </c>
      <c r="AC44" s="25">
        <f t="shared" si="23"/>
        <v>1012591</v>
      </c>
      <c r="AD44" s="25">
        <f t="shared" si="23"/>
        <v>1012591</v>
      </c>
      <c r="AE44" s="25">
        <f t="shared" si="23"/>
        <v>1012591</v>
      </c>
      <c r="AF44" s="25">
        <f t="shared" si="23"/>
        <v>980879</v>
      </c>
      <c r="AG44" s="25">
        <f t="shared" si="23"/>
        <v>980879</v>
      </c>
      <c r="AH44" s="25">
        <f t="shared" si="23"/>
        <v>980879</v>
      </c>
      <c r="AI44" s="25">
        <f t="shared" si="23"/>
        <v>980879</v>
      </c>
      <c r="AJ44" s="25">
        <f t="shared" si="23"/>
        <v>980879</v>
      </c>
      <c r="AK44" s="25">
        <f t="shared" si="23"/>
        <v>980879</v>
      </c>
      <c r="AL44" s="25">
        <f t="shared" si="23"/>
        <v>980879</v>
      </c>
      <c r="AM44" s="25">
        <f t="shared" si="23"/>
        <v>980879</v>
      </c>
      <c r="AN44" s="25">
        <f t="shared" si="23"/>
        <v>980879</v>
      </c>
      <c r="AO44" s="25">
        <f t="shared" si="23"/>
        <v>980879</v>
      </c>
      <c r="AP44" s="27">
        <f t="shared" si="23"/>
        <v>980879</v>
      </c>
    </row>
    <row r="45" spans="1:42">
      <c r="A45" s="93" t="s">
        <v>20</v>
      </c>
      <c r="B45" s="12"/>
      <c r="C45" s="12"/>
      <c r="D45" s="12"/>
      <c r="E45" s="12"/>
      <c r="F45" s="12"/>
      <c r="G45" s="12"/>
      <c r="H45" s="12"/>
      <c r="I45" s="12"/>
      <c r="J45" s="12"/>
      <c r="K45" s="12">
        <f>'BAU Data'!K25</f>
        <v>0</v>
      </c>
      <c r="L45" s="12">
        <f>'BAU Data'!L25</f>
        <v>0</v>
      </c>
      <c r="M45" s="12">
        <f>'BAU Data'!M25</f>
        <v>0</v>
      </c>
      <c r="N45" s="12">
        <f>'BAU Data'!N25</f>
        <v>0</v>
      </c>
      <c r="O45" s="12">
        <f>'BAU Data'!O25</f>
        <v>0</v>
      </c>
      <c r="P45" s="12">
        <f>'BAU Data'!P25</f>
        <v>0</v>
      </c>
      <c r="Q45" s="12">
        <f>'BAU Data'!Q25</f>
        <v>0</v>
      </c>
      <c r="R45" s="12">
        <f>'BAU Data'!R25</f>
        <v>0</v>
      </c>
      <c r="S45" s="12">
        <f>'BAU Data'!S25</f>
        <v>-38270</v>
      </c>
      <c r="T45" s="12">
        <f>'BAU Data'!T25</f>
        <v>-121915</v>
      </c>
      <c r="U45" s="12">
        <f>'BAU Data'!U25</f>
        <v>-121915</v>
      </c>
      <c r="V45" s="12">
        <f>'BAU Data'!V25</f>
        <v>-121915</v>
      </c>
      <c r="W45" s="12">
        <f>'BAU Data'!W25</f>
        <v>-121915</v>
      </c>
      <c r="X45" s="12">
        <f>'BAU Data'!X25</f>
        <v>-183052</v>
      </c>
      <c r="Y45" s="12">
        <f>'BAU Data'!Y25</f>
        <v>-183052</v>
      </c>
      <c r="Z45" s="12">
        <f>'BAU Data'!Z25</f>
        <v>-248318</v>
      </c>
      <c r="AA45" s="12">
        <f>'BAU Data'!AA25</f>
        <v>-248318</v>
      </c>
      <c r="AB45" s="12">
        <f>'BAU Data'!AB25</f>
        <v>-248318</v>
      </c>
      <c r="AC45" s="12">
        <f>'BAU Data'!AC25</f>
        <v>-248318</v>
      </c>
      <c r="AD45" s="12">
        <f>'BAU Data'!AD25</f>
        <v>-248318</v>
      </c>
      <c r="AE45" s="12">
        <f>'BAU Data'!AE25</f>
        <v>-248318</v>
      </c>
      <c r="AF45" s="12">
        <f>'BAU Data'!AF25</f>
        <v>-248318</v>
      </c>
      <c r="AG45" s="12">
        <f>'BAU Data'!AG25</f>
        <v>-248318</v>
      </c>
      <c r="AH45" s="12">
        <f>'BAU Data'!AH25</f>
        <v>-248318</v>
      </c>
      <c r="AI45" s="12">
        <f>'BAU Data'!AI25</f>
        <v>-248318</v>
      </c>
      <c r="AJ45" s="12">
        <f>'BAU Data'!AJ25</f>
        <v>-248318</v>
      </c>
      <c r="AK45" s="12">
        <f>'BAU Data'!AK25</f>
        <v>-248318</v>
      </c>
      <c r="AL45" s="12">
        <f>'BAU Data'!AL25</f>
        <v>-248318</v>
      </c>
      <c r="AM45" s="12">
        <f>'BAU Data'!AM25</f>
        <v>-248318</v>
      </c>
      <c r="AN45" s="12">
        <f>'BAU Data'!AN25</f>
        <v>-248318</v>
      </c>
      <c r="AO45" s="12">
        <f>'BAU Data'!AO25</f>
        <v>-248318</v>
      </c>
      <c r="AP45" s="30">
        <f>'BAU Data'!AP25</f>
        <v>-248318</v>
      </c>
    </row>
    <row r="46" spans="1:42">
      <c r="A46" s="93" t="s">
        <v>74</v>
      </c>
      <c r="B46" s="12"/>
      <c r="C46" s="12"/>
      <c r="D46" s="12"/>
      <c r="E46" s="12"/>
      <c r="F46" s="12"/>
      <c r="G46" s="12"/>
      <c r="H46" s="12"/>
      <c r="I46" s="12"/>
      <c r="J46" s="12"/>
      <c r="K46" s="12">
        <f>'BAU Data'!K26</f>
        <v>0</v>
      </c>
      <c r="L46" s="12">
        <f>'BAU Data'!L26</f>
        <v>0</v>
      </c>
      <c r="M46" s="12">
        <f>'BAU Data'!M26</f>
        <v>33000</v>
      </c>
      <c r="N46" s="12">
        <f>'BAU Data'!N26</f>
        <v>33000</v>
      </c>
      <c r="O46" s="12">
        <f>'BAU Data'!O26</f>
        <v>33000</v>
      </c>
      <c r="P46" s="12">
        <f>'BAU Data'!P26</f>
        <v>33000</v>
      </c>
      <c r="Q46" s="12">
        <f>'BAU Data'!Q26</f>
        <v>33000</v>
      </c>
      <c r="R46" s="12">
        <f>'BAU Data'!R26</f>
        <v>33000</v>
      </c>
      <c r="S46" s="12">
        <f>'BAU Data'!S26</f>
        <v>58000</v>
      </c>
      <c r="T46" s="12">
        <f>'BAU Data'!T26</f>
        <v>58000</v>
      </c>
      <c r="U46" s="12">
        <f>'BAU Data'!U26</f>
        <v>58000</v>
      </c>
      <c r="V46" s="12">
        <f>'BAU Data'!V26</f>
        <v>96500</v>
      </c>
      <c r="W46" s="12">
        <f>'BAU Data'!W26</f>
        <v>148338</v>
      </c>
      <c r="X46" s="12">
        <f>'BAU Data'!X26</f>
        <v>179427</v>
      </c>
      <c r="Y46" s="12">
        <f>'BAU Data'!Y26</f>
        <v>179427</v>
      </c>
      <c r="Z46" s="12">
        <f>'BAU Data'!Z26</f>
        <v>249827</v>
      </c>
      <c r="AA46" s="12">
        <f>'BAU Data'!AA26</f>
        <v>249827</v>
      </c>
      <c r="AB46" s="12">
        <f>'BAU Data'!AB26</f>
        <v>249827</v>
      </c>
      <c r="AC46" s="12">
        <f>'BAU Data'!AC26</f>
        <v>249827</v>
      </c>
      <c r="AD46" s="12">
        <f>'BAU Data'!AD26</f>
        <v>249827</v>
      </c>
      <c r="AE46" s="12">
        <f>'BAU Data'!AE26</f>
        <v>249827</v>
      </c>
      <c r="AF46" s="12">
        <f>'BAU Data'!AF26</f>
        <v>281539</v>
      </c>
      <c r="AG46" s="12">
        <f>'BAU Data'!AG26</f>
        <v>281539</v>
      </c>
      <c r="AH46" s="12">
        <f>'BAU Data'!AH26</f>
        <v>281539</v>
      </c>
      <c r="AI46" s="12">
        <f>'BAU Data'!AI26</f>
        <v>281539</v>
      </c>
      <c r="AJ46" s="12">
        <f>'BAU Data'!AJ26</f>
        <v>281539</v>
      </c>
      <c r="AK46" s="12">
        <f>'BAU Data'!AK26</f>
        <v>281539</v>
      </c>
      <c r="AL46" s="12">
        <f>'BAU Data'!AL26</f>
        <v>281539</v>
      </c>
      <c r="AM46" s="12">
        <f>'BAU Data'!AM26</f>
        <v>281539</v>
      </c>
      <c r="AN46" s="12">
        <f>'BAU Data'!AN26</f>
        <v>281539</v>
      </c>
      <c r="AO46" s="12">
        <f>'BAU Data'!AO26</f>
        <v>281539</v>
      </c>
      <c r="AP46" s="30">
        <f>'BAU Data'!AP26</f>
        <v>281539</v>
      </c>
    </row>
    <row r="47" spans="1:42">
      <c r="A47" s="93" t="s">
        <v>75</v>
      </c>
      <c r="B47" s="12"/>
      <c r="C47" s="12"/>
      <c r="D47" s="12"/>
      <c r="E47" s="12"/>
      <c r="F47" s="12"/>
      <c r="G47" s="12"/>
      <c r="H47" s="12"/>
      <c r="I47" s="12"/>
      <c r="J47" s="12"/>
      <c r="K47" s="12">
        <f t="shared" ref="K47:Y47" si="24">J47</f>
        <v>0</v>
      </c>
      <c r="L47" s="12">
        <f t="shared" si="24"/>
        <v>0</v>
      </c>
      <c r="M47" s="12">
        <f t="shared" si="24"/>
        <v>0</v>
      </c>
      <c r="N47" s="12">
        <f t="shared" si="24"/>
        <v>0</v>
      </c>
      <c r="O47" s="12">
        <f t="shared" si="24"/>
        <v>0</v>
      </c>
      <c r="P47" s="12">
        <f t="shared" si="24"/>
        <v>0</v>
      </c>
      <c r="Q47" s="12">
        <f t="shared" si="24"/>
        <v>0</v>
      </c>
      <c r="R47" s="12">
        <f t="shared" si="24"/>
        <v>0</v>
      </c>
      <c r="S47" s="12">
        <f t="shared" si="24"/>
        <v>0</v>
      </c>
      <c r="T47" s="12">
        <f t="shared" si="24"/>
        <v>0</v>
      </c>
      <c r="U47" s="12">
        <f t="shared" si="24"/>
        <v>0</v>
      </c>
      <c r="V47" s="12">
        <f t="shared" si="24"/>
        <v>0</v>
      </c>
      <c r="W47" s="12">
        <f t="shared" si="24"/>
        <v>0</v>
      </c>
      <c r="X47" s="12">
        <f t="shared" si="24"/>
        <v>0</v>
      </c>
      <c r="Y47" s="12">
        <f t="shared" si="24"/>
        <v>0</v>
      </c>
      <c r="Z47" s="12">
        <v>27511</v>
      </c>
      <c r="AA47" s="12">
        <f t="shared" ref="AA47:AP47" si="25">Z47</f>
        <v>27511</v>
      </c>
      <c r="AB47" s="12">
        <f t="shared" si="25"/>
        <v>27511</v>
      </c>
      <c r="AC47" s="12">
        <f t="shared" si="25"/>
        <v>27511</v>
      </c>
      <c r="AD47" s="12">
        <f t="shared" si="25"/>
        <v>27511</v>
      </c>
      <c r="AE47" s="12">
        <f t="shared" si="25"/>
        <v>27511</v>
      </c>
      <c r="AF47" s="12">
        <f t="shared" si="25"/>
        <v>27511</v>
      </c>
      <c r="AG47" s="12">
        <f t="shared" si="25"/>
        <v>27511</v>
      </c>
      <c r="AH47" s="12">
        <f t="shared" si="25"/>
        <v>27511</v>
      </c>
      <c r="AI47" s="12">
        <f t="shared" si="25"/>
        <v>27511</v>
      </c>
      <c r="AJ47" s="12">
        <f t="shared" si="25"/>
        <v>27511</v>
      </c>
      <c r="AK47" s="12">
        <f t="shared" si="25"/>
        <v>27511</v>
      </c>
      <c r="AL47" s="12">
        <f t="shared" si="25"/>
        <v>27511</v>
      </c>
      <c r="AM47" s="12">
        <f t="shared" si="25"/>
        <v>27511</v>
      </c>
      <c r="AN47" s="12">
        <f t="shared" si="25"/>
        <v>27511</v>
      </c>
      <c r="AO47" s="12">
        <f t="shared" si="25"/>
        <v>27511</v>
      </c>
      <c r="AP47" s="30">
        <f t="shared" si="25"/>
        <v>27511</v>
      </c>
    </row>
    <row r="48" spans="1:42">
      <c r="A48" s="93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>
        <f t="shared" ref="K48:AP48" si="26">J48</f>
        <v>0</v>
      </c>
      <c r="L48" s="12">
        <f t="shared" si="26"/>
        <v>0</v>
      </c>
      <c r="M48" s="12">
        <f t="shared" si="26"/>
        <v>0</v>
      </c>
      <c r="N48" s="12">
        <f t="shared" si="26"/>
        <v>0</v>
      </c>
      <c r="O48" s="12">
        <f t="shared" si="26"/>
        <v>0</v>
      </c>
      <c r="P48" s="12">
        <f t="shared" si="26"/>
        <v>0</v>
      </c>
      <c r="Q48" s="12">
        <f t="shared" si="26"/>
        <v>0</v>
      </c>
      <c r="R48" s="12">
        <f t="shared" si="26"/>
        <v>0</v>
      </c>
      <c r="S48" s="12">
        <f t="shared" si="26"/>
        <v>0</v>
      </c>
      <c r="T48" s="12">
        <f t="shared" si="26"/>
        <v>0</v>
      </c>
      <c r="U48" s="12">
        <f t="shared" si="26"/>
        <v>0</v>
      </c>
      <c r="V48" s="12">
        <f t="shared" si="26"/>
        <v>0</v>
      </c>
      <c r="W48" s="12">
        <f t="shared" si="26"/>
        <v>0</v>
      </c>
      <c r="X48" s="12">
        <f t="shared" si="26"/>
        <v>0</v>
      </c>
      <c r="Y48" s="12">
        <f t="shared" si="26"/>
        <v>0</v>
      </c>
      <c r="Z48" s="12">
        <f t="shared" si="26"/>
        <v>0</v>
      </c>
      <c r="AA48" s="12">
        <f t="shared" si="26"/>
        <v>0</v>
      </c>
      <c r="AB48" s="12">
        <f t="shared" si="26"/>
        <v>0</v>
      </c>
      <c r="AC48" s="12">
        <f t="shared" si="26"/>
        <v>0</v>
      </c>
      <c r="AD48" s="12">
        <f t="shared" si="26"/>
        <v>0</v>
      </c>
      <c r="AE48" s="12">
        <f t="shared" si="26"/>
        <v>0</v>
      </c>
      <c r="AF48" s="12">
        <f t="shared" si="26"/>
        <v>0</v>
      </c>
      <c r="AG48" s="12">
        <f t="shared" si="26"/>
        <v>0</v>
      </c>
      <c r="AH48" s="12">
        <f t="shared" si="26"/>
        <v>0</v>
      </c>
      <c r="AI48" s="12">
        <f t="shared" si="26"/>
        <v>0</v>
      </c>
      <c r="AJ48" s="12">
        <f t="shared" si="26"/>
        <v>0</v>
      </c>
      <c r="AK48" s="12">
        <f t="shared" si="26"/>
        <v>0</v>
      </c>
      <c r="AL48" s="12">
        <f t="shared" si="26"/>
        <v>0</v>
      </c>
      <c r="AM48" s="12">
        <f t="shared" si="26"/>
        <v>0</v>
      </c>
      <c r="AN48" s="12">
        <f t="shared" si="26"/>
        <v>0</v>
      </c>
      <c r="AO48" s="12">
        <f t="shared" si="26"/>
        <v>0</v>
      </c>
      <c r="AP48" s="30">
        <f t="shared" si="26"/>
        <v>0</v>
      </c>
    </row>
    <row r="49" spans="1:42">
      <c r="A49" s="93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>
        <f>'BAU Data'!K27</f>
        <v>0</v>
      </c>
      <c r="L49" s="12">
        <f>'BAU Data'!L27</f>
        <v>0</v>
      </c>
      <c r="M49" s="12">
        <f>'BAU Data'!M27</f>
        <v>7500</v>
      </c>
      <c r="N49" s="12">
        <f>'BAU Data'!N27</f>
        <v>7500</v>
      </c>
      <c r="O49" s="12">
        <f>'BAU Data'!O27</f>
        <v>7500</v>
      </c>
      <c r="P49" s="12">
        <f>'BAU Data'!P27</f>
        <v>77375</v>
      </c>
      <c r="Q49" s="12">
        <f>'BAU Data'!Q27</f>
        <v>77375</v>
      </c>
      <c r="R49" s="12">
        <f>'BAU Data'!R27</f>
        <v>77375</v>
      </c>
      <c r="S49" s="12">
        <f>'BAU Data'!S27</f>
        <v>77375</v>
      </c>
      <c r="T49" s="12">
        <f>'BAU Data'!T27</f>
        <v>266250</v>
      </c>
      <c r="U49" s="12">
        <f>'BAU Data'!U27</f>
        <v>266250</v>
      </c>
      <c r="V49" s="12">
        <f>'BAU Data'!V27</f>
        <v>282400</v>
      </c>
      <c r="W49" s="12">
        <f>'BAU Data'!W27</f>
        <v>304400</v>
      </c>
      <c r="X49" s="12">
        <f>'BAU Data'!X27</f>
        <v>304400</v>
      </c>
      <c r="Y49" s="12">
        <f>'BAU Data'!Y27</f>
        <v>304400</v>
      </c>
      <c r="Z49" s="12">
        <f>'BAU Data'!Z27</f>
        <v>304400</v>
      </c>
      <c r="AA49" s="12">
        <f>'BAU Data'!AA27</f>
        <v>330550</v>
      </c>
      <c r="AB49" s="12">
        <f>'BAU Data'!AB27</f>
        <v>356700</v>
      </c>
      <c r="AC49" s="12">
        <f>'BAU Data'!AC27</f>
        <v>371650</v>
      </c>
      <c r="AD49" s="12">
        <f>'BAU Data'!AD27</f>
        <v>371650</v>
      </c>
      <c r="AE49" s="12">
        <f>'BAU Data'!AE27</f>
        <v>371650</v>
      </c>
      <c r="AF49" s="12">
        <f>'BAU Data'!AF27</f>
        <v>386859</v>
      </c>
      <c r="AG49" s="12">
        <f>'BAU Data'!AG27</f>
        <v>386859</v>
      </c>
      <c r="AH49" s="12">
        <f>'BAU Data'!AH27</f>
        <v>386859</v>
      </c>
      <c r="AI49" s="12">
        <f>'BAU Data'!AI27</f>
        <v>386859</v>
      </c>
      <c r="AJ49" s="12">
        <f>'BAU Data'!AJ27</f>
        <v>386859</v>
      </c>
      <c r="AK49" s="12">
        <f>'BAU Data'!AK27</f>
        <v>441859</v>
      </c>
      <c r="AL49" s="12">
        <f>'BAU Data'!AL27</f>
        <v>441859</v>
      </c>
      <c r="AM49" s="12">
        <f>'BAU Data'!AM27</f>
        <v>441859</v>
      </c>
      <c r="AN49" s="12">
        <f>'BAU Data'!AN27</f>
        <v>441859</v>
      </c>
      <c r="AO49" s="12">
        <f>'BAU Data'!AO27</f>
        <v>528859</v>
      </c>
      <c r="AP49" s="30">
        <f>'BAU Data'!AP27</f>
        <v>528859</v>
      </c>
    </row>
    <row r="50" spans="1:42">
      <c r="A50" s="93" t="s">
        <v>78</v>
      </c>
      <c r="B50" s="12"/>
      <c r="C50" s="12"/>
      <c r="D50" s="12"/>
      <c r="E50" s="12"/>
      <c r="F50" s="12"/>
      <c r="G50" s="12"/>
      <c r="H50" s="12"/>
      <c r="I50" s="12"/>
      <c r="J50" s="12"/>
      <c r="K50" s="12">
        <f t="shared" ref="K50:AC50" si="27">J50</f>
        <v>0</v>
      </c>
      <c r="L50" s="12">
        <f t="shared" si="27"/>
        <v>0</v>
      </c>
      <c r="M50" s="12">
        <f t="shared" si="27"/>
        <v>0</v>
      </c>
      <c r="N50" s="12">
        <f t="shared" si="27"/>
        <v>0</v>
      </c>
      <c r="O50" s="12">
        <f t="shared" si="27"/>
        <v>0</v>
      </c>
      <c r="P50" s="12">
        <f t="shared" si="27"/>
        <v>0</v>
      </c>
      <c r="Q50" s="12">
        <f t="shared" si="27"/>
        <v>0</v>
      </c>
      <c r="R50" s="12">
        <f t="shared" si="27"/>
        <v>0</v>
      </c>
      <c r="S50" s="12">
        <f t="shared" si="27"/>
        <v>0</v>
      </c>
      <c r="T50" s="12">
        <f t="shared" si="27"/>
        <v>0</v>
      </c>
      <c r="U50" s="12">
        <f t="shared" si="27"/>
        <v>0</v>
      </c>
      <c r="V50" s="12">
        <f t="shared" si="27"/>
        <v>0</v>
      </c>
      <c r="W50" s="12">
        <f t="shared" si="27"/>
        <v>0</v>
      </c>
      <c r="X50" s="12">
        <f t="shared" si="27"/>
        <v>0</v>
      </c>
      <c r="Y50" s="12">
        <f t="shared" si="27"/>
        <v>0</v>
      </c>
      <c r="Z50" s="12">
        <f t="shared" si="27"/>
        <v>0</v>
      </c>
      <c r="AA50" s="12">
        <f t="shared" si="27"/>
        <v>0</v>
      </c>
      <c r="AB50" s="12">
        <f t="shared" si="27"/>
        <v>0</v>
      </c>
      <c r="AC50" s="12">
        <f t="shared" si="27"/>
        <v>0</v>
      </c>
      <c r="AD50" s="12">
        <v>0</v>
      </c>
      <c r="AE50" s="12">
        <f t="shared" ref="AE50:AP50" si="28">AD50</f>
        <v>0</v>
      </c>
      <c r="AF50" s="12">
        <f t="shared" si="28"/>
        <v>0</v>
      </c>
      <c r="AG50" s="12">
        <f t="shared" si="28"/>
        <v>0</v>
      </c>
      <c r="AH50" s="12">
        <f t="shared" si="28"/>
        <v>0</v>
      </c>
      <c r="AI50" s="12">
        <f t="shared" si="28"/>
        <v>0</v>
      </c>
      <c r="AJ50" s="12">
        <f t="shared" si="28"/>
        <v>0</v>
      </c>
      <c r="AK50" s="12">
        <f t="shared" si="28"/>
        <v>0</v>
      </c>
      <c r="AL50" s="12">
        <f t="shared" si="28"/>
        <v>0</v>
      </c>
      <c r="AM50" s="12">
        <f t="shared" si="28"/>
        <v>0</v>
      </c>
      <c r="AN50" s="12">
        <f t="shared" si="28"/>
        <v>0</v>
      </c>
      <c r="AO50" s="12">
        <f t="shared" si="28"/>
        <v>0</v>
      </c>
      <c r="AP50" s="30">
        <f t="shared" si="28"/>
        <v>0</v>
      </c>
    </row>
    <row r="51" spans="1:42">
      <c r="A51" s="93" t="s">
        <v>79</v>
      </c>
      <c r="B51" s="12"/>
      <c r="C51" s="12"/>
      <c r="D51" s="12"/>
      <c r="E51" s="12"/>
      <c r="F51" s="12"/>
      <c r="G51" s="12"/>
      <c r="H51" s="12"/>
      <c r="I51" s="12"/>
      <c r="J51" s="12"/>
      <c r="K51" s="12">
        <f>'BAU Data'!K28</f>
        <v>0</v>
      </c>
      <c r="L51" s="12">
        <f>'BAU Data'!L28</f>
        <v>0</v>
      </c>
      <c r="M51" s="12">
        <f>'BAU Data'!M28</f>
        <v>0</v>
      </c>
      <c r="N51" s="12">
        <f>'BAU Data'!N28</f>
        <v>0</v>
      </c>
      <c r="O51" s="12">
        <f>'BAU Data'!O28</f>
        <v>0</v>
      </c>
      <c r="P51" s="12">
        <f>'BAU Data'!P28</f>
        <v>0</v>
      </c>
      <c r="Q51" s="12">
        <f>'BAU Data'!Q28</f>
        <v>0</v>
      </c>
      <c r="R51" s="12">
        <f>'BAU Data'!R28</f>
        <v>0</v>
      </c>
      <c r="S51" s="12">
        <f>'BAU Data'!S28</f>
        <v>0</v>
      </c>
      <c r="T51" s="12">
        <f>'BAU Data'!T28</f>
        <v>0</v>
      </c>
      <c r="U51" s="12">
        <f>'BAU Data'!U28</f>
        <v>0</v>
      </c>
      <c r="V51" s="12">
        <f>'BAU Data'!V28</f>
        <v>0</v>
      </c>
      <c r="W51" s="12">
        <f>'BAU Data'!W28</f>
        <v>0</v>
      </c>
      <c r="X51" s="12">
        <f>'BAU Data'!X28</f>
        <v>135000</v>
      </c>
      <c r="Y51" s="12">
        <f>'BAU Data'!Y28</f>
        <v>135000</v>
      </c>
      <c r="Z51" s="12">
        <f>'BAU Data'!Z28</f>
        <v>135000</v>
      </c>
      <c r="AA51" s="12">
        <f>'BAU Data'!AA28</f>
        <v>135000</v>
      </c>
      <c r="AB51" s="12">
        <f>'BAU Data'!AB28</f>
        <v>135000</v>
      </c>
      <c r="AC51" s="12">
        <f>'BAU Data'!AC28</f>
        <v>135000</v>
      </c>
      <c r="AD51" s="12">
        <f>'BAU Data'!AD28</f>
        <v>135000</v>
      </c>
      <c r="AE51" s="12">
        <f>'BAU Data'!AE28</f>
        <v>135000</v>
      </c>
      <c r="AF51" s="12">
        <f>'BAU Data'!AF28</f>
        <v>135000</v>
      </c>
      <c r="AG51" s="12">
        <f>'BAU Data'!AG28</f>
        <v>135000</v>
      </c>
      <c r="AH51" s="12">
        <f>'BAU Data'!AH28</f>
        <v>135000</v>
      </c>
      <c r="AI51" s="12">
        <f>'BAU Data'!AI28</f>
        <v>135000</v>
      </c>
      <c r="AJ51" s="12">
        <f>'BAU Data'!AJ28</f>
        <v>135000</v>
      </c>
      <c r="AK51" s="12">
        <f>'BAU Data'!AK28</f>
        <v>135000</v>
      </c>
      <c r="AL51" s="12">
        <f>'BAU Data'!AL28</f>
        <v>135000</v>
      </c>
      <c r="AM51" s="12">
        <f>'BAU Data'!AM28</f>
        <v>135000</v>
      </c>
      <c r="AN51" s="12">
        <f>'BAU Data'!AN28</f>
        <v>135000</v>
      </c>
      <c r="AO51" s="12">
        <f>'BAU Data'!AO28</f>
        <v>135000</v>
      </c>
      <c r="AP51" s="30">
        <f>'BAU Data'!AP28</f>
        <v>135000</v>
      </c>
    </row>
    <row r="52" spans="1:42" ht="15.75" customHeight="1">
      <c r="A52" s="96" t="s">
        <v>24</v>
      </c>
      <c r="B52" s="38">
        <f t="shared" ref="B52:J52" si="29">SUM(B44:B51)</f>
        <v>1538247</v>
      </c>
      <c r="C52" s="38">
        <f t="shared" si="29"/>
        <v>1538247</v>
      </c>
      <c r="D52" s="38">
        <f t="shared" si="29"/>
        <v>1538247</v>
      </c>
      <c r="E52" s="38">
        <f t="shared" si="29"/>
        <v>1538247</v>
      </c>
      <c r="F52" s="38">
        <f t="shared" si="29"/>
        <v>1538247</v>
      </c>
      <c r="G52" s="38">
        <f t="shared" si="29"/>
        <v>1538247</v>
      </c>
      <c r="H52" s="38">
        <f t="shared" si="29"/>
        <v>1538247</v>
      </c>
      <c r="I52" s="38">
        <f t="shared" si="29"/>
        <v>1538247</v>
      </c>
      <c r="J52" s="38">
        <f t="shared" si="29"/>
        <v>1538247</v>
      </c>
      <c r="K52" s="38">
        <f t="shared" ref="K52:AP52" si="30">SUM(K46:K51)+K44</f>
        <v>1538247</v>
      </c>
      <c r="L52" s="38">
        <f t="shared" si="30"/>
        <v>1538247</v>
      </c>
      <c r="M52" s="38">
        <f t="shared" si="30"/>
        <v>1545747</v>
      </c>
      <c r="N52" s="38">
        <f t="shared" si="30"/>
        <v>1545747</v>
      </c>
      <c r="O52" s="38">
        <f t="shared" si="30"/>
        <v>1545747</v>
      </c>
      <c r="P52" s="38">
        <f t="shared" si="30"/>
        <v>1615622</v>
      </c>
      <c r="Q52" s="38">
        <f t="shared" si="30"/>
        <v>1615622</v>
      </c>
      <c r="R52" s="38">
        <f t="shared" si="30"/>
        <v>1615622</v>
      </c>
      <c r="S52" s="38">
        <f t="shared" si="30"/>
        <v>1577352</v>
      </c>
      <c r="T52" s="38">
        <f t="shared" si="30"/>
        <v>1682582</v>
      </c>
      <c r="U52" s="38">
        <f t="shared" si="30"/>
        <v>1682582</v>
      </c>
      <c r="V52" s="38">
        <f t="shared" si="30"/>
        <v>1698732</v>
      </c>
      <c r="W52" s="38">
        <f t="shared" si="30"/>
        <v>1720732</v>
      </c>
      <c r="X52" s="38">
        <f t="shared" si="30"/>
        <v>1794595</v>
      </c>
      <c r="Y52" s="38">
        <f t="shared" si="30"/>
        <v>1794595</v>
      </c>
      <c r="Z52" s="38">
        <f t="shared" si="30"/>
        <v>1729329</v>
      </c>
      <c r="AA52" s="38">
        <f t="shared" si="30"/>
        <v>1755479</v>
      </c>
      <c r="AB52" s="38">
        <f t="shared" si="30"/>
        <v>1781629</v>
      </c>
      <c r="AC52" s="38">
        <f t="shared" si="30"/>
        <v>1796579</v>
      </c>
      <c r="AD52" s="38">
        <f t="shared" si="30"/>
        <v>1796579</v>
      </c>
      <c r="AE52" s="38">
        <f t="shared" si="30"/>
        <v>1796579</v>
      </c>
      <c r="AF52" s="38">
        <f t="shared" si="30"/>
        <v>1811788</v>
      </c>
      <c r="AG52" s="38">
        <f t="shared" si="30"/>
        <v>1811788</v>
      </c>
      <c r="AH52" s="38">
        <f t="shared" si="30"/>
        <v>1811788</v>
      </c>
      <c r="AI52" s="38">
        <f t="shared" si="30"/>
        <v>1811788</v>
      </c>
      <c r="AJ52" s="38">
        <f t="shared" si="30"/>
        <v>1811788</v>
      </c>
      <c r="AK52" s="38">
        <f t="shared" si="30"/>
        <v>1866788</v>
      </c>
      <c r="AL52" s="38">
        <f t="shared" si="30"/>
        <v>1866788</v>
      </c>
      <c r="AM52" s="38">
        <f t="shared" si="30"/>
        <v>1866788</v>
      </c>
      <c r="AN52" s="38">
        <f t="shared" si="30"/>
        <v>1866788</v>
      </c>
      <c r="AO52" s="38">
        <f t="shared" si="30"/>
        <v>1953788</v>
      </c>
      <c r="AP52" s="39">
        <f t="shared" si="30"/>
        <v>1953788</v>
      </c>
    </row>
    <row r="53" spans="1:42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</row>
    <row r="54" spans="1:42" ht="15.75" customHeight="1">
      <c r="A54" s="21" t="s">
        <v>80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</row>
    <row r="55" spans="1:42" ht="15.75" customHeight="1">
      <c r="A55" s="92" t="s">
        <v>26</v>
      </c>
      <c r="B55" s="25">
        <f t="shared" ref="B55:AP55" si="31">B44*$B$67</f>
        <v>179849000</v>
      </c>
      <c r="C55" s="25">
        <f t="shared" si="31"/>
        <v>179849000</v>
      </c>
      <c r="D55" s="25">
        <f t="shared" si="31"/>
        <v>179849000</v>
      </c>
      <c r="E55" s="25">
        <f t="shared" si="31"/>
        <v>179849000</v>
      </c>
      <c r="F55" s="25">
        <f t="shared" si="31"/>
        <v>179849000</v>
      </c>
      <c r="G55" s="25">
        <f t="shared" si="31"/>
        <v>179849000</v>
      </c>
      <c r="H55" s="25">
        <f t="shared" si="31"/>
        <v>179849000</v>
      </c>
      <c r="I55" s="25">
        <f t="shared" si="31"/>
        <v>179849000</v>
      </c>
      <c r="J55" s="25">
        <f t="shared" si="31"/>
        <v>179849000</v>
      </c>
      <c r="K55" s="25">
        <f t="shared" si="31"/>
        <v>179849000</v>
      </c>
      <c r="L55" s="25">
        <f t="shared" si="31"/>
        <v>179849000</v>
      </c>
      <c r="M55" s="25">
        <f t="shared" si="31"/>
        <v>175990700.91019192</v>
      </c>
      <c r="N55" s="25">
        <f t="shared" si="31"/>
        <v>175990700.91019192</v>
      </c>
      <c r="O55" s="25">
        <f t="shared" si="31"/>
        <v>175990700.91019192</v>
      </c>
      <c r="P55" s="25">
        <f t="shared" si="31"/>
        <v>175990700.91019192</v>
      </c>
      <c r="Q55" s="25">
        <f t="shared" si="31"/>
        <v>175990700.91019192</v>
      </c>
      <c r="R55" s="25">
        <f t="shared" si="31"/>
        <v>175990700.91019192</v>
      </c>
      <c r="S55" s="25">
        <f t="shared" si="31"/>
        <v>168593289.29164171</v>
      </c>
      <c r="T55" s="25">
        <f t="shared" si="31"/>
        <v>158813670.28052062</v>
      </c>
      <c r="U55" s="25">
        <f t="shared" si="31"/>
        <v>158813670.28052062</v>
      </c>
      <c r="V55" s="25">
        <f t="shared" si="31"/>
        <v>154312321.34241119</v>
      </c>
      <c r="W55" s="25">
        <f t="shared" si="31"/>
        <v>148251518.0630939</v>
      </c>
      <c r="X55" s="25">
        <f t="shared" si="31"/>
        <v>137468624.37046847</v>
      </c>
      <c r="Y55" s="25">
        <f t="shared" si="31"/>
        <v>137468624.37046847</v>
      </c>
      <c r="Z55" s="25">
        <f t="shared" si="31"/>
        <v>118390270.71660142</v>
      </c>
      <c r="AA55" s="25">
        <f t="shared" si="31"/>
        <v>118390270.71660142</v>
      </c>
      <c r="AB55" s="25">
        <f t="shared" si="31"/>
        <v>118390270.71660142</v>
      </c>
      <c r="AC55" s="25">
        <f t="shared" si="31"/>
        <v>118390270.71660142</v>
      </c>
      <c r="AD55" s="25">
        <f t="shared" si="31"/>
        <v>118390270.71660142</v>
      </c>
      <c r="AE55" s="25">
        <f t="shared" si="31"/>
        <v>118390270.71660142</v>
      </c>
      <c r="AF55" s="25">
        <f t="shared" si="31"/>
        <v>114682562.2094501</v>
      </c>
      <c r="AG55" s="25">
        <f t="shared" si="31"/>
        <v>114682562.2094501</v>
      </c>
      <c r="AH55" s="25">
        <f t="shared" si="31"/>
        <v>114682562.2094501</v>
      </c>
      <c r="AI55" s="25">
        <f t="shared" si="31"/>
        <v>114682562.2094501</v>
      </c>
      <c r="AJ55" s="25">
        <f t="shared" si="31"/>
        <v>114682562.2094501</v>
      </c>
      <c r="AK55" s="25">
        <f t="shared" si="31"/>
        <v>114682562.2094501</v>
      </c>
      <c r="AL55" s="25">
        <f t="shared" si="31"/>
        <v>114682562.2094501</v>
      </c>
      <c r="AM55" s="25">
        <f t="shared" si="31"/>
        <v>114682562.2094501</v>
      </c>
      <c r="AN55" s="25">
        <f t="shared" si="31"/>
        <v>114682562.2094501</v>
      </c>
      <c r="AO55" s="25">
        <f t="shared" si="31"/>
        <v>114682562.2094501</v>
      </c>
      <c r="AP55" s="27">
        <f t="shared" si="31"/>
        <v>114682562.2094501</v>
      </c>
    </row>
    <row r="56" spans="1:42">
      <c r="A56" s="93" t="s">
        <v>81</v>
      </c>
      <c r="B56" s="12"/>
      <c r="C56" s="12"/>
      <c r="D56" s="12"/>
      <c r="E56" s="12"/>
      <c r="F56" s="12"/>
      <c r="G56" s="12"/>
      <c r="H56" s="12"/>
      <c r="I56" s="12"/>
      <c r="J56" s="12"/>
      <c r="K56" s="12">
        <f t="shared" ref="K56:AP56" si="32">K46*$B$68</f>
        <v>0</v>
      </c>
      <c r="L56" s="12">
        <f t="shared" si="32"/>
        <v>0</v>
      </c>
      <c r="M56" s="12">
        <f t="shared" si="32"/>
        <v>2640000</v>
      </c>
      <c r="N56" s="12">
        <f t="shared" si="32"/>
        <v>2640000</v>
      </c>
      <c r="O56" s="12">
        <f t="shared" si="32"/>
        <v>2640000</v>
      </c>
      <c r="P56" s="12">
        <f t="shared" si="32"/>
        <v>2640000</v>
      </c>
      <c r="Q56" s="12">
        <f t="shared" si="32"/>
        <v>2640000</v>
      </c>
      <c r="R56" s="12">
        <f t="shared" si="32"/>
        <v>2640000</v>
      </c>
      <c r="S56" s="12">
        <f t="shared" si="32"/>
        <v>4640000</v>
      </c>
      <c r="T56" s="12">
        <f t="shared" si="32"/>
        <v>4640000</v>
      </c>
      <c r="U56" s="12">
        <f t="shared" si="32"/>
        <v>4640000</v>
      </c>
      <c r="V56" s="12">
        <f t="shared" si="32"/>
        <v>7720000</v>
      </c>
      <c r="W56" s="12">
        <f t="shared" si="32"/>
        <v>11867040</v>
      </c>
      <c r="X56" s="12">
        <f t="shared" si="32"/>
        <v>14354160</v>
      </c>
      <c r="Y56" s="12">
        <f t="shared" si="32"/>
        <v>14354160</v>
      </c>
      <c r="Z56" s="12">
        <f t="shared" si="32"/>
        <v>19986160</v>
      </c>
      <c r="AA56" s="12">
        <f t="shared" si="32"/>
        <v>19986160</v>
      </c>
      <c r="AB56" s="12">
        <f t="shared" si="32"/>
        <v>19986160</v>
      </c>
      <c r="AC56" s="12">
        <f t="shared" si="32"/>
        <v>19986160</v>
      </c>
      <c r="AD56" s="12">
        <f t="shared" si="32"/>
        <v>19986160</v>
      </c>
      <c r="AE56" s="12">
        <f t="shared" si="32"/>
        <v>19986160</v>
      </c>
      <c r="AF56" s="12">
        <f t="shared" si="32"/>
        <v>22523120</v>
      </c>
      <c r="AG56" s="12">
        <f t="shared" si="32"/>
        <v>22523120</v>
      </c>
      <c r="AH56" s="12">
        <f t="shared" si="32"/>
        <v>22523120</v>
      </c>
      <c r="AI56" s="12">
        <f t="shared" si="32"/>
        <v>22523120</v>
      </c>
      <c r="AJ56" s="12">
        <f t="shared" si="32"/>
        <v>22523120</v>
      </c>
      <c r="AK56" s="12">
        <f t="shared" si="32"/>
        <v>22523120</v>
      </c>
      <c r="AL56" s="12">
        <f t="shared" si="32"/>
        <v>22523120</v>
      </c>
      <c r="AM56" s="12">
        <f t="shared" si="32"/>
        <v>22523120</v>
      </c>
      <c r="AN56" s="12">
        <f t="shared" si="32"/>
        <v>22523120</v>
      </c>
      <c r="AO56" s="12">
        <f t="shared" si="32"/>
        <v>22523120</v>
      </c>
      <c r="AP56" s="30">
        <f t="shared" si="32"/>
        <v>22523120</v>
      </c>
    </row>
    <row r="57" spans="1:42">
      <c r="A57" s="93" t="s">
        <v>82</v>
      </c>
      <c r="B57" s="12"/>
      <c r="C57" s="12"/>
      <c r="D57" s="12"/>
      <c r="E57" s="12"/>
      <c r="F57" s="12"/>
      <c r="G57" s="12"/>
      <c r="H57" s="12"/>
      <c r="I57" s="12"/>
      <c r="J57" s="12"/>
      <c r="K57" s="12">
        <f t="shared" ref="K57:AP57" si="33">K47*$B$69</f>
        <v>0</v>
      </c>
      <c r="L57" s="12">
        <f t="shared" si="33"/>
        <v>0</v>
      </c>
      <c r="M57" s="12">
        <f t="shared" si="33"/>
        <v>0</v>
      </c>
      <c r="N57" s="12">
        <f t="shared" si="33"/>
        <v>0</v>
      </c>
      <c r="O57" s="12">
        <f t="shared" si="33"/>
        <v>0</v>
      </c>
      <c r="P57" s="12">
        <f t="shared" si="33"/>
        <v>0</v>
      </c>
      <c r="Q57" s="12">
        <f t="shared" si="33"/>
        <v>0</v>
      </c>
      <c r="R57" s="12">
        <f t="shared" si="33"/>
        <v>0</v>
      </c>
      <c r="S57" s="12">
        <f t="shared" si="33"/>
        <v>0</v>
      </c>
      <c r="T57" s="12">
        <f t="shared" si="33"/>
        <v>0</v>
      </c>
      <c r="U57" s="12">
        <f t="shared" si="33"/>
        <v>0</v>
      </c>
      <c r="V57" s="12">
        <f t="shared" si="33"/>
        <v>0</v>
      </c>
      <c r="W57" s="12">
        <f t="shared" si="33"/>
        <v>0</v>
      </c>
      <c r="X57" s="12">
        <f t="shared" si="33"/>
        <v>0</v>
      </c>
      <c r="Y57" s="12">
        <f t="shared" si="33"/>
        <v>0</v>
      </c>
      <c r="Z57" s="12">
        <f t="shared" si="33"/>
        <v>2200880</v>
      </c>
      <c r="AA57" s="12">
        <f t="shared" si="33"/>
        <v>2200880</v>
      </c>
      <c r="AB57" s="12">
        <f t="shared" si="33"/>
        <v>2200880</v>
      </c>
      <c r="AC57" s="12">
        <f t="shared" si="33"/>
        <v>2200880</v>
      </c>
      <c r="AD57" s="12">
        <f t="shared" si="33"/>
        <v>2200880</v>
      </c>
      <c r="AE57" s="12">
        <f t="shared" si="33"/>
        <v>2200880</v>
      </c>
      <c r="AF57" s="12">
        <f t="shared" si="33"/>
        <v>2200880</v>
      </c>
      <c r="AG57" s="12">
        <f t="shared" si="33"/>
        <v>2200880</v>
      </c>
      <c r="AH57" s="12">
        <f t="shared" si="33"/>
        <v>2200880</v>
      </c>
      <c r="AI57" s="12">
        <f t="shared" si="33"/>
        <v>2200880</v>
      </c>
      <c r="AJ57" s="12">
        <f t="shared" si="33"/>
        <v>2200880</v>
      </c>
      <c r="AK57" s="12">
        <f t="shared" si="33"/>
        <v>2200880</v>
      </c>
      <c r="AL57" s="12">
        <f t="shared" si="33"/>
        <v>2200880</v>
      </c>
      <c r="AM57" s="12">
        <f t="shared" si="33"/>
        <v>2200880</v>
      </c>
      <c r="AN57" s="12">
        <f t="shared" si="33"/>
        <v>2200880</v>
      </c>
      <c r="AO57" s="12">
        <f t="shared" si="33"/>
        <v>2200880</v>
      </c>
      <c r="AP57" s="30">
        <f t="shared" si="33"/>
        <v>2200880</v>
      </c>
    </row>
    <row r="58" spans="1:42">
      <c r="A58" s="93" t="s">
        <v>83</v>
      </c>
      <c r="B58" s="12"/>
      <c r="C58" s="12"/>
      <c r="D58" s="12"/>
      <c r="E58" s="12"/>
      <c r="F58" s="12"/>
      <c r="G58" s="12"/>
      <c r="H58" s="12"/>
      <c r="I58" s="12"/>
      <c r="J58" s="12"/>
      <c r="K58" s="12">
        <f t="shared" ref="K58:AP58" si="34">K48*$B$70</f>
        <v>0</v>
      </c>
      <c r="L58" s="12">
        <f t="shared" si="34"/>
        <v>0</v>
      </c>
      <c r="M58" s="12">
        <f t="shared" si="34"/>
        <v>0</v>
      </c>
      <c r="N58" s="12">
        <f t="shared" si="34"/>
        <v>0</v>
      </c>
      <c r="O58" s="12">
        <f t="shared" si="34"/>
        <v>0</v>
      </c>
      <c r="P58" s="12">
        <f t="shared" si="34"/>
        <v>0</v>
      </c>
      <c r="Q58" s="12">
        <f t="shared" si="34"/>
        <v>0</v>
      </c>
      <c r="R58" s="12">
        <f t="shared" si="34"/>
        <v>0</v>
      </c>
      <c r="S58" s="12">
        <f t="shared" si="34"/>
        <v>0</v>
      </c>
      <c r="T58" s="12">
        <f t="shared" si="34"/>
        <v>0</v>
      </c>
      <c r="U58" s="12">
        <f t="shared" si="34"/>
        <v>0</v>
      </c>
      <c r="V58" s="12">
        <f t="shared" si="34"/>
        <v>0</v>
      </c>
      <c r="W58" s="12">
        <f t="shared" si="34"/>
        <v>0</v>
      </c>
      <c r="X58" s="12">
        <f t="shared" si="34"/>
        <v>0</v>
      </c>
      <c r="Y58" s="12">
        <f t="shared" si="34"/>
        <v>0</v>
      </c>
      <c r="Z58" s="12">
        <f t="shared" si="34"/>
        <v>0</v>
      </c>
      <c r="AA58" s="12">
        <f t="shared" si="34"/>
        <v>0</v>
      </c>
      <c r="AB58" s="12">
        <f t="shared" si="34"/>
        <v>0</v>
      </c>
      <c r="AC58" s="12">
        <f t="shared" si="34"/>
        <v>0</v>
      </c>
      <c r="AD58" s="12">
        <f t="shared" si="34"/>
        <v>0</v>
      </c>
      <c r="AE58" s="12">
        <f t="shared" si="34"/>
        <v>0</v>
      </c>
      <c r="AF58" s="12">
        <f t="shared" si="34"/>
        <v>0</v>
      </c>
      <c r="AG58" s="12">
        <f t="shared" si="34"/>
        <v>0</v>
      </c>
      <c r="AH58" s="12">
        <f t="shared" si="34"/>
        <v>0</v>
      </c>
      <c r="AI58" s="12">
        <f t="shared" si="34"/>
        <v>0</v>
      </c>
      <c r="AJ58" s="12">
        <f t="shared" si="34"/>
        <v>0</v>
      </c>
      <c r="AK58" s="12">
        <f t="shared" si="34"/>
        <v>0</v>
      </c>
      <c r="AL58" s="12">
        <f t="shared" si="34"/>
        <v>0</v>
      </c>
      <c r="AM58" s="12">
        <f t="shared" si="34"/>
        <v>0</v>
      </c>
      <c r="AN58" s="12">
        <f t="shared" si="34"/>
        <v>0</v>
      </c>
      <c r="AO58" s="12">
        <f t="shared" si="34"/>
        <v>0</v>
      </c>
      <c r="AP58" s="30">
        <f t="shared" si="34"/>
        <v>0</v>
      </c>
    </row>
    <row r="59" spans="1:42">
      <c r="A59" s="93" t="s">
        <v>84</v>
      </c>
      <c r="B59" s="12"/>
      <c r="C59" s="12"/>
      <c r="D59" s="12"/>
      <c r="E59" s="12"/>
      <c r="F59" s="12"/>
      <c r="G59" s="12"/>
      <c r="H59" s="12"/>
      <c r="I59" s="12"/>
      <c r="J59" s="12"/>
      <c r="K59" s="12">
        <f t="shared" ref="K59:AP59" si="35">K49*$B$71</f>
        <v>0</v>
      </c>
      <c r="L59" s="12">
        <f t="shared" si="35"/>
        <v>0</v>
      </c>
      <c r="M59" s="12">
        <f t="shared" si="35"/>
        <v>600000</v>
      </c>
      <c r="N59" s="12">
        <f t="shared" si="35"/>
        <v>600000</v>
      </c>
      <c r="O59" s="12">
        <f t="shared" si="35"/>
        <v>600000</v>
      </c>
      <c r="P59" s="12">
        <f t="shared" si="35"/>
        <v>6190000</v>
      </c>
      <c r="Q59" s="12">
        <f t="shared" si="35"/>
        <v>6190000</v>
      </c>
      <c r="R59" s="12">
        <f t="shared" si="35"/>
        <v>6190000</v>
      </c>
      <c r="S59" s="12">
        <f t="shared" si="35"/>
        <v>6190000</v>
      </c>
      <c r="T59" s="12">
        <f t="shared" si="35"/>
        <v>21300000</v>
      </c>
      <c r="U59" s="12">
        <f t="shared" si="35"/>
        <v>21300000</v>
      </c>
      <c r="V59" s="12">
        <f t="shared" si="35"/>
        <v>22592000</v>
      </c>
      <c r="W59" s="12">
        <f t="shared" si="35"/>
        <v>24352000</v>
      </c>
      <c r="X59" s="12">
        <f t="shared" si="35"/>
        <v>24352000</v>
      </c>
      <c r="Y59" s="12">
        <f t="shared" si="35"/>
        <v>24352000</v>
      </c>
      <c r="Z59" s="12">
        <f t="shared" si="35"/>
        <v>24352000</v>
      </c>
      <c r="AA59" s="12">
        <f t="shared" si="35"/>
        <v>26444000</v>
      </c>
      <c r="AB59" s="12">
        <f t="shared" si="35"/>
        <v>28536000</v>
      </c>
      <c r="AC59" s="12">
        <f t="shared" si="35"/>
        <v>29732000</v>
      </c>
      <c r="AD59" s="12">
        <f t="shared" si="35"/>
        <v>29732000</v>
      </c>
      <c r="AE59" s="12">
        <f t="shared" si="35"/>
        <v>29732000</v>
      </c>
      <c r="AF59" s="12">
        <f t="shared" si="35"/>
        <v>30948720</v>
      </c>
      <c r="AG59" s="12">
        <f t="shared" si="35"/>
        <v>30948720</v>
      </c>
      <c r="AH59" s="12">
        <f t="shared" si="35"/>
        <v>30948720</v>
      </c>
      <c r="AI59" s="12">
        <f t="shared" si="35"/>
        <v>30948720</v>
      </c>
      <c r="AJ59" s="12">
        <f t="shared" si="35"/>
        <v>30948720</v>
      </c>
      <c r="AK59" s="12">
        <f t="shared" si="35"/>
        <v>35348720</v>
      </c>
      <c r="AL59" s="12">
        <f t="shared" si="35"/>
        <v>35348720</v>
      </c>
      <c r="AM59" s="12">
        <f t="shared" si="35"/>
        <v>35348720</v>
      </c>
      <c r="AN59" s="12">
        <f t="shared" si="35"/>
        <v>35348720</v>
      </c>
      <c r="AO59" s="12">
        <f t="shared" si="35"/>
        <v>42308720</v>
      </c>
      <c r="AP59" s="30">
        <f t="shared" si="35"/>
        <v>42308720</v>
      </c>
    </row>
    <row r="60" spans="1:42">
      <c r="A60" s="93" t="s">
        <v>85</v>
      </c>
      <c r="B60" s="12"/>
      <c r="C60" s="12"/>
      <c r="D60" s="12"/>
      <c r="E60" s="12"/>
      <c r="F60" s="12"/>
      <c r="G60" s="12"/>
      <c r="H60" s="12"/>
      <c r="I60" s="12"/>
      <c r="J60" s="12"/>
      <c r="K60" s="12">
        <f t="shared" ref="K60:AP60" si="36">K50*$B$72</f>
        <v>0</v>
      </c>
      <c r="L60" s="12">
        <f t="shared" si="36"/>
        <v>0</v>
      </c>
      <c r="M60" s="12">
        <f t="shared" si="36"/>
        <v>0</v>
      </c>
      <c r="N60" s="12">
        <f t="shared" si="36"/>
        <v>0</v>
      </c>
      <c r="O60" s="12">
        <f t="shared" si="36"/>
        <v>0</v>
      </c>
      <c r="P60" s="12">
        <f t="shared" si="36"/>
        <v>0</v>
      </c>
      <c r="Q60" s="12">
        <f t="shared" si="36"/>
        <v>0</v>
      </c>
      <c r="R60" s="12">
        <f t="shared" si="36"/>
        <v>0</v>
      </c>
      <c r="S60" s="12">
        <f t="shared" si="36"/>
        <v>0</v>
      </c>
      <c r="T60" s="12">
        <f t="shared" si="36"/>
        <v>0</v>
      </c>
      <c r="U60" s="12">
        <f t="shared" si="36"/>
        <v>0</v>
      </c>
      <c r="V60" s="12">
        <f t="shared" si="36"/>
        <v>0</v>
      </c>
      <c r="W60" s="12">
        <f t="shared" si="36"/>
        <v>0</v>
      </c>
      <c r="X60" s="12">
        <f t="shared" si="36"/>
        <v>0</v>
      </c>
      <c r="Y60" s="12">
        <f t="shared" si="36"/>
        <v>0</v>
      </c>
      <c r="Z60" s="12">
        <f t="shared" si="36"/>
        <v>0</v>
      </c>
      <c r="AA60" s="12">
        <f t="shared" si="36"/>
        <v>0</v>
      </c>
      <c r="AB60" s="12">
        <f t="shared" si="36"/>
        <v>0</v>
      </c>
      <c r="AC60" s="12">
        <f t="shared" si="36"/>
        <v>0</v>
      </c>
      <c r="AD60" s="12">
        <f t="shared" si="36"/>
        <v>0</v>
      </c>
      <c r="AE60" s="12">
        <f t="shared" si="36"/>
        <v>0</v>
      </c>
      <c r="AF60" s="12">
        <f t="shared" si="36"/>
        <v>0</v>
      </c>
      <c r="AG60" s="12">
        <f t="shared" si="36"/>
        <v>0</v>
      </c>
      <c r="AH60" s="12">
        <f t="shared" si="36"/>
        <v>0</v>
      </c>
      <c r="AI60" s="12">
        <f t="shared" si="36"/>
        <v>0</v>
      </c>
      <c r="AJ60" s="12">
        <f t="shared" si="36"/>
        <v>0</v>
      </c>
      <c r="AK60" s="12">
        <f t="shared" si="36"/>
        <v>0</v>
      </c>
      <c r="AL60" s="12">
        <f t="shared" si="36"/>
        <v>0</v>
      </c>
      <c r="AM60" s="12">
        <f t="shared" si="36"/>
        <v>0</v>
      </c>
      <c r="AN60" s="12">
        <f t="shared" si="36"/>
        <v>0</v>
      </c>
      <c r="AO60" s="12">
        <f t="shared" si="36"/>
        <v>0</v>
      </c>
      <c r="AP60" s="30">
        <f t="shared" si="36"/>
        <v>0</v>
      </c>
    </row>
    <row r="61" spans="1:42">
      <c r="A61" s="93" t="s">
        <v>86</v>
      </c>
      <c r="B61" s="12"/>
      <c r="C61" s="12"/>
      <c r="D61" s="12"/>
      <c r="E61" s="12"/>
      <c r="F61" s="12"/>
      <c r="G61" s="12"/>
      <c r="H61" s="12"/>
      <c r="I61" s="12"/>
      <c r="J61" s="12"/>
      <c r="K61" s="12">
        <f t="shared" ref="K61:AP61" si="37">K51*$B$73</f>
        <v>0</v>
      </c>
      <c r="L61" s="12">
        <f t="shared" si="37"/>
        <v>0</v>
      </c>
      <c r="M61" s="12">
        <f t="shared" si="37"/>
        <v>0</v>
      </c>
      <c r="N61" s="12">
        <f t="shared" si="37"/>
        <v>0</v>
      </c>
      <c r="O61" s="12">
        <f t="shared" si="37"/>
        <v>0</v>
      </c>
      <c r="P61" s="12">
        <f t="shared" si="37"/>
        <v>0</v>
      </c>
      <c r="Q61" s="12">
        <f t="shared" si="37"/>
        <v>0</v>
      </c>
      <c r="R61" s="12">
        <f t="shared" si="37"/>
        <v>0</v>
      </c>
      <c r="S61" s="12">
        <f t="shared" si="37"/>
        <v>0</v>
      </c>
      <c r="T61" s="12">
        <f t="shared" si="37"/>
        <v>0</v>
      </c>
      <c r="U61" s="12">
        <f t="shared" si="37"/>
        <v>0</v>
      </c>
      <c r="V61" s="12">
        <f t="shared" si="37"/>
        <v>0</v>
      </c>
      <c r="W61" s="12">
        <f t="shared" si="37"/>
        <v>0</v>
      </c>
      <c r="X61" s="12">
        <f t="shared" si="37"/>
        <v>10800000</v>
      </c>
      <c r="Y61" s="12">
        <f t="shared" si="37"/>
        <v>10800000</v>
      </c>
      <c r="Z61" s="12">
        <f t="shared" si="37"/>
        <v>10800000</v>
      </c>
      <c r="AA61" s="12">
        <f t="shared" si="37"/>
        <v>10800000</v>
      </c>
      <c r="AB61" s="12">
        <f t="shared" si="37"/>
        <v>10800000</v>
      </c>
      <c r="AC61" s="12">
        <f t="shared" si="37"/>
        <v>10800000</v>
      </c>
      <c r="AD61" s="12">
        <f t="shared" si="37"/>
        <v>10800000</v>
      </c>
      <c r="AE61" s="12">
        <f t="shared" si="37"/>
        <v>10800000</v>
      </c>
      <c r="AF61" s="12">
        <f t="shared" si="37"/>
        <v>10800000</v>
      </c>
      <c r="AG61" s="12">
        <f t="shared" si="37"/>
        <v>10800000</v>
      </c>
      <c r="AH61" s="12">
        <f t="shared" si="37"/>
        <v>10800000</v>
      </c>
      <c r="AI61" s="12">
        <f t="shared" si="37"/>
        <v>10800000</v>
      </c>
      <c r="AJ61" s="12">
        <f t="shared" si="37"/>
        <v>10800000</v>
      </c>
      <c r="AK61" s="12">
        <f t="shared" si="37"/>
        <v>10800000</v>
      </c>
      <c r="AL61" s="12">
        <f t="shared" si="37"/>
        <v>10800000</v>
      </c>
      <c r="AM61" s="12">
        <f t="shared" si="37"/>
        <v>10800000</v>
      </c>
      <c r="AN61" s="12">
        <f t="shared" si="37"/>
        <v>10800000</v>
      </c>
      <c r="AO61" s="12">
        <f t="shared" si="37"/>
        <v>10800000</v>
      </c>
      <c r="AP61" s="30">
        <f t="shared" si="37"/>
        <v>10800000</v>
      </c>
    </row>
    <row r="62" spans="1:42" ht="15.75" customHeight="1">
      <c r="A62" s="96" t="s">
        <v>30</v>
      </c>
      <c r="B62" s="38">
        <f t="shared" ref="B62:AP62" si="38">SUM(B55:B61)</f>
        <v>179849000</v>
      </c>
      <c r="C62" s="38">
        <f t="shared" si="38"/>
        <v>179849000</v>
      </c>
      <c r="D62" s="38">
        <f t="shared" si="38"/>
        <v>179849000</v>
      </c>
      <c r="E62" s="38">
        <f t="shared" si="38"/>
        <v>179849000</v>
      </c>
      <c r="F62" s="38">
        <f t="shared" si="38"/>
        <v>179849000</v>
      </c>
      <c r="G62" s="38">
        <f t="shared" si="38"/>
        <v>179849000</v>
      </c>
      <c r="H62" s="38">
        <f t="shared" si="38"/>
        <v>179849000</v>
      </c>
      <c r="I62" s="38">
        <f t="shared" si="38"/>
        <v>179849000</v>
      </c>
      <c r="J62" s="38">
        <f t="shared" si="38"/>
        <v>179849000</v>
      </c>
      <c r="K62" s="38">
        <f t="shared" si="38"/>
        <v>179849000</v>
      </c>
      <c r="L62" s="38">
        <f t="shared" si="38"/>
        <v>179849000</v>
      </c>
      <c r="M62" s="38">
        <f t="shared" si="38"/>
        <v>179230700.91019192</v>
      </c>
      <c r="N62" s="38">
        <f t="shared" si="38"/>
        <v>179230700.91019192</v>
      </c>
      <c r="O62" s="38">
        <f t="shared" si="38"/>
        <v>179230700.91019192</v>
      </c>
      <c r="P62" s="38">
        <f t="shared" si="38"/>
        <v>184820700.91019192</v>
      </c>
      <c r="Q62" s="38">
        <f t="shared" si="38"/>
        <v>184820700.91019192</v>
      </c>
      <c r="R62" s="38">
        <f t="shared" si="38"/>
        <v>184820700.91019192</v>
      </c>
      <c r="S62" s="38">
        <f t="shared" si="38"/>
        <v>179423289.29164171</v>
      </c>
      <c r="T62" s="38">
        <f t="shared" si="38"/>
        <v>184753670.28052062</v>
      </c>
      <c r="U62" s="38">
        <f t="shared" si="38"/>
        <v>184753670.28052062</v>
      </c>
      <c r="V62" s="38">
        <f t="shared" si="38"/>
        <v>184624321.34241119</v>
      </c>
      <c r="W62" s="38">
        <f t="shared" si="38"/>
        <v>184470558.0630939</v>
      </c>
      <c r="X62" s="38">
        <f t="shared" si="38"/>
        <v>186974784.37046847</v>
      </c>
      <c r="Y62" s="38">
        <f t="shared" si="38"/>
        <v>186974784.37046847</v>
      </c>
      <c r="Z62" s="38">
        <f t="shared" si="38"/>
        <v>175729310.71660143</v>
      </c>
      <c r="AA62" s="38">
        <f t="shared" si="38"/>
        <v>177821310.71660143</v>
      </c>
      <c r="AB62" s="38">
        <f t="shared" si="38"/>
        <v>179913310.71660143</v>
      </c>
      <c r="AC62" s="38">
        <f t="shared" si="38"/>
        <v>181109310.71660143</v>
      </c>
      <c r="AD62" s="38">
        <f t="shared" si="38"/>
        <v>181109310.71660143</v>
      </c>
      <c r="AE62" s="38">
        <f t="shared" si="38"/>
        <v>181109310.71660143</v>
      </c>
      <c r="AF62" s="38">
        <f t="shared" si="38"/>
        <v>181155282.2094501</v>
      </c>
      <c r="AG62" s="38">
        <f t="shared" si="38"/>
        <v>181155282.2094501</v>
      </c>
      <c r="AH62" s="38">
        <f t="shared" si="38"/>
        <v>181155282.2094501</v>
      </c>
      <c r="AI62" s="38">
        <f t="shared" si="38"/>
        <v>181155282.2094501</v>
      </c>
      <c r="AJ62" s="38">
        <f t="shared" si="38"/>
        <v>181155282.2094501</v>
      </c>
      <c r="AK62" s="38">
        <f t="shared" si="38"/>
        <v>185555282.2094501</v>
      </c>
      <c r="AL62" s="38">
        <f t="shared" si="38"/>
        <v>185555282.2094501</v>
      </c>
      <c r="AM62" s="38">
        <f t="shared" si="38"/>
        <v>185555282.2094501</v>
      </c>
      <c r="AN62" s="38">
        <f t="shared" si="38"/>
        <v>185555282.2094501</v>
      </c>
      <c r="AO62" s="38">
        <f t="shared" si="38"/>
        <v>192515282.2094501</v>
      </c>
      <c r="AP62" s="39">
        <f t="shared" si="38"/>
        <v>192515282.2094501</v>
      </c>
    </row>
    <row r="63" spans="1:42" ht="15.75" customHeight="1">
      <c r="A63" s="66"/>
      <c r="B63" s="40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</row>
    <row r="64" spans="1:42" ht="15.75" customHeight="1">
      <c r="A64" s="41" t="s">
        <v>31</v>
      </c>
      <c r="B64" s="40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</row>
    <row r="65" spans="1:42" ht="15.75" customHeight="1">
      <c r="A65" s="57" t="s">
        <v>32</v>
      </c>
      <c r="B65" s="42">
        <f>(131543*1000)/B37</f>
        <v>85.514875049325624</v>
      </c>
      <c r="C65" s="66"/>
      <c r="D65" s="43" t="s">
        <v>33</v>
      </c>
      <c r="E65" s="44"/>
      <c r="F65" s="44"/>
      <c r="G65" s="45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</row>
    <row r="66" spans="1:42">
      <c r="A66" s="47" t="s">
        <v>34</v>
      </c>
      <c r="B66" s="46">
        <f>(48306*1000)/B37</f>
        <v>31.403279187282667</v>
      </c>
      <c r="C66" s="66"/>
      <c r="D66" s="47" t="s">
        <v>5</v>
      </c>
      <c r="E66" s="48">
        <f t="shared" ref="E66:G66" si="39">I19/I26</f>
        <v>7.1055077852660931E-3</v>
      </c>
      <c r="F66" s="48">
        <f t="shared" si="39"/>
        <v>7.0412640771242698E-3</v>
      </c>
      <c r="G66" s="49">
        <f t="shared" si="39"/>
        <v>6.8805095707562035E-3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</row>
    <row r="67" spans="1:42">
      <c r="A67" s="47" t="s">
        <v>35</v>
      </c>
      <c r="B67" s="46">
        <f>B41</f>
        <v>116.91815423660829</v>
      </c>
      <c r="C67" s="66"/>
      <c r="D67" s="47" t="s">
        <v>36</v>
      </c>
      <c r="E67" s="50">
        <f t="shared" ref="E67:G67" si="40">I20/I26</f>
        <v>9.2958401115500813E-3</v>
      </c>
      <c r="F67" s="50">
        <f t="shared" si="40"/>
        <v>8.6462183602446889E-3</v>
      </c>
      <c r="G67" s="51">
        <f t="shared" si="40"/>
        <v>8.6957466928988363E-3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</row>
    <row r="68" spans="1:42" ht="15.75" customHeight="1">
      <c r="A68" s="47" t="s">
        <v>87</v>
      </c>
      <c r="B68" s="46">
        <v>80</v>
      </c>
      <c r="C68" s="66"/>
      <c r="D68" s="52" t="s">
        <v>38</v>
      </c>
      <c r="E68" s="53">
        <f t="shared" ref="E68:G68" si="41">I21/I26</f>
        <v>1.6837090402045087E-2</v>
      </c>
      <c r="F68" s="53">
        <f t="shared" si="41"/>
        <v>1.609277392300543E-2</v>
      </c>
      <c r="G68" s="54">
        <f t="shared" si="41"/>
        <v>1.5983869389884674E-2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</row>
    <row r="69" spans="1:42" ht="15.75" customHeight="1">
      <c r="A69" s="47" t="s">
        <v>88</v>
      </c>
      <c r="B69" s="46">
        <v>80</v>
      </c>
      <c r="C69" s="66"/>
      <c r="D69" s="2"/>
      <c r="E69" s="55"/>
      <c r="F69" s="55"/>
      <c r="G69" s="55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</row>
    <row r="70" spans="1:42">
      <c r="A70" s="47" t="s">
        <v>89</v>
      </c>
      <c r="B70" s="46">
        <v>80</v>
      </c>
      <c r="C70" s="66"/>
      <c r="D70" s="2"/>
      <c r="E70" s="55"/>
      <c r="F70" s="55"/>
      <c r="G70" s="55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</row>
    <row r="71" spans="1:42">
      <c r="A71" s="47" t="s">
        <v>90</v>
      </c>
      <c r="B71" s="46">
        <v>80</v>
      </c>
      <c r="C71" s="66"/>
      <c r="D71" s="2"/>
      <c r="E71" s="55"/>
      <c r="F71" s="55"/>
      <c r="G71" s="55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</row>
    <row r="72" spans="1:42">
      <c r="A72" s="47" t="s">
        <v>91</v>
      </c>
      <c r="B72" s="46">
        <f>B67*2.5</f>
        <v>292.2953855915207</v>
      </c>
      <c r="C72" s="66"/>
      <c r="D72" s="2"/>
      <c r="E72" s="55"/>
      <c r="F72" s="55"/>
      <c r="G72" s="55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</row>
    <row r="73" spans="1:42">
      <c r="A73" s="47" t="s">
        <v>92</v>
      </c>
      <c r="B73" s="46">
        <v>80</v>
      </c>
      <c r="C73" s="66"/>
      <c r="D73" s="2"/>
      <c r="E73" s="55"/>
      <c r="F73" s="55"/>
      <c r="G73" s="55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</row>
    <row r="74" spans="1:42">
      <c r="A74" s="47" t="s">
        <v>39</v>
      </c>
      <c r="B74" s="49">
        <f>B65/B67</f>
        <v>0.73140801450105364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</row>
    <row r="75" spans="1:42" ht="15.75" customHeight="1">
      <c r="A75" s="47" t="s">
        <v>40</v>
      </c>
      <c r="B75" s="49">
        <f>B66/B67</f>
        <v>0.26859198549894636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</row>
    <row r="76" spans="1:42" ht="15.75" customHeight="1">
      <c r="A76" s="47" t="s">
        <v>41</v>
      </c>
      <c r="B76" s="56">
        <f>K18/(B62*B74)</f>
        <v>5.7030780809317106E-5</v>
      </c>
      <c r="C76" s="66"/>
      <c r="D76" s="57"/>
      <c r="E76" s="23"/>
      <c r="F76" s="58" t="s">
        <v>42</v>
      </c>
      <c r="G76" s="23"/>
      <c r="H76" s="23"/>
      <c r="I76" s="23"/>
      <c r="J76" s="59"/>
      <c r="K76" s="60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61"/>
      <c r="AK76" s="66"/>
      <c r="AL76" s="66"/>
      <c r="AM76" s="66"/>
      <c r="AN76" s="66"/>
      <c r="AO76" s="66"/>
      <c r="AP76" s="66"/>
    </row>
    <row r="77" spans="1:42">
      <c r="A77" s="47" t="s">
        <v>43</v>
      </c>
      <c r="B77" s="56">
        <f>K22/(B62*B75)</f>
        <v>1.7738997226017471E-4</v>
      </c>
      <c r="C77" s="66"/>
      <c r="D77" s="47" t="s">
        <v>44</v>
      </c>
      <c r="E77" s="2" t="s">
        <v>45</v>
      </c>
      <c r="F77" s="62">
        <f t="shared" ref="F77:AJ77" si="42">(L18+L19+L20+L21+L23+L24)*4.5</f>
        <v>39695.4</v>
      </c>
      <c r="G77" s="62">
        <f t="shared" si="42"/>
        <v>39585.628809187489</v>
      </c>
      <c r="H77" s="62">
        <f t="shared" si="42"/>
        <v>39574.179255690557</v>
      </c>
      <c r="I77" s="62">
        <f t="shared" si="42"/>
        <v>39574.179255690557</v>
      </c>
      <c r="J77" s="62">
        <f t="shared" si="42"/>
        <v>40681.531147097303</v>
      </c>
      <c r="K77" s="62">
        <f t="shared" si="42"/>
        <v>40681.531147097303</v>
      </c>
      <c r="L77" s="62">
        <f t="shared" si="42"/>
        <v>40681.531147097303</v>
      </c>
      <c r="M77" s="62">
        <f t="shared" si="42"/>
        <v>39636.593754977468</v>
      </c>
      <c r="N77" s="62">
        <f t="shared" si="42"/>
        <v>10300.093747481325</v>
      </c>
      <c r="O77" s="62">
        <f t="shared" si="42"/>
        <v>10300.093747481325</v>
      </c>
      <c r="P77" s="62">
        <f t="shared" si="42"/>
        <v>10316.234874894806</v>
      </c>
      <c r="Q77" s="62">
        <f t="shared" si="42"/>
        <v>10332.654684685567</v>
      </c>
      <c r="R77" s="62">
        <f t="shared" si="42"/>
        <v>10396.097903465832</v>
      </c>
      <c r="S77" s="62">
        <f t="shared" si="42"/>
        <v>10396.097903465832</v>
      </c>
      <c r="T77" s="62">
        <f t="shared" si="42"/>
        <v>10341.501532261171</v>
      </c>
      <c r="U77" s="62">
        <f t="shared" si="42"/>
        <v>10364.416587148991</v>
      </c>
      <c r="V77" s="62">
        <f t="shared" si="42"/>
        <v>10382.831642036814</v>
      </c>
      <c r="W77" s="62">
        <f t="shared" si="42"/>
        <v>10394.753442058722</v>
      </c>
      <c r="X77" s="62">
        <f t="shared" si="42"/>
        <v>10394.753442058722</v>
      </c>
      <c r="Y77" s="62">
        <f t="shared" si="42"/>
        <v>10394.753442058722</v>
      </c>
      <c r="Z77" s="62">
        <f t="shared" si="42"/>
        <v>10411.521538341371</v>
      </c>
      <c r="AA77" s="62">
        <f t="shared" si="42"/>
        <v>10411.521538341371</v>
      </c>
      <c r="AB77" s="62">
        <f t="shared" si="42"/>
        <v>10411.521538341371</v>
      </c>
      <c r="AC77" s="62">
        <f t="shared" si="42"/>
        <v>10411.521538341371</v>
      </c>
      <c r="AD77" s="62">
        <f t="shared" si="42"/>
        <v>10411.521538341371</v>
      </c>
      <c r="AE77" s="62">
        <f t="shared" si="42"/>
        <v>10455.14020062933</v>
      </c>
      <c r="AF77" s="62">
        <f t="shared" si="42"/>
        <v>10455.14020062933</v>
      </c>
      <c r="AG77" s="62">
        <f t="shared" si="42"/>
        <v>10455.14020062933</v>
      </c>
      <c r="AH77" s="62">
        <f t="shared" si="42"/>
        <v>10455.14020062933</v>
      </c>
      <c r="AI77" s="62">
        <f t="shared" si="42"/>
        <v>10528.882448248463</v>
      </c>
      <c r="AJ77" s="63">
        <f t="shared" si="42"/>
        <v>10528.882448248463</v>
      </c>
      <c r="AK77" s="66"/>
      <c r="AL77" s="66"/>
      <c r="AM77" s="66"/>
      <c r="AN77" s="66"/>
      <c r="AO77" s="66"/>
      <c r="AP77" s="66"/>
    </row>
    <row r="78" spans="1:42">
      <c r="A78" s="47"/>
      <c r="B78" s="32"/>
      <c r="C78" s="66"/>
      <c r="D78" s="47"/>
      <c r="E78" s="2" t="s">
        <v>46</v>
      </c>
      <c r="F78" s="62">
        <f t="shared" ref="F78:AJ78" si="43">(L22/0.682)*3</f>
        <v>33052.785923753661</v>
      </c>
      <c r="G78" s="62">
        <f t="shared" si="43"/>
        <v>32307.364290384943</v>
      </c>
      <c r="H78" s="62">
        <f t="shared" si="43"/>
        <v>31691.52851325884</v>
      </c>
      <c r="I78" s="62">
        <f t="shared" si="43"/>
        <v>31075.692736132747</v>
      </c>
      <c r="J78" s="62">
        <f t="shared" si="43"/>
        <v>31631.433867879481</v>
      </c>
      <c r="K78" s="62">
        <f t="shared" si="43"/>
        <v>31015.598090753385</v>
      </c>
      <c r="L78" s="62">
        <f t="shared" si="43"/>
        <v>30399.762313627281</v>
      </c>
      <c r="M78" s="62">
        <f t="shared" si="43"/>
        <v>28652.713151890199</v>
      </c>
      <c r="N78" s="62">
        <f t="shared" si="43"/>
        <v>29154.042183720318</v>
      </c>
      <c r="O78" s="62">
        <f t="shared" si="43"/>
        <v>28538.206406594225</v>
      </c>
      <c r="P78" s="62">
        <f t="shared" si="43"/>
        <v>24565.349083811609</v>
      </c>
      <c r="Q78" s="62">
        <f t="shared" si="43"/>
        <v>24533.122696069087</v>
      </c>
      <c r="R78" s="62">
        <f t="shared" si="43"/>
        <v>25057.969514729542</v>
      </c>
      <c r="S78" s="62">
        <f t="shared" si="43"/>
        <v>25057.969514729542</v>
      </c>
      <c r="T78" s="62">
        <f t="shared" si="43"/>
        <v>22701.093439200296</v>
      </c>
      <c r="U78" s="62">
        <f t="shared" si="43"/>
        <v>23139.544046241797</v>
      </c>
      <c r="V78" s="62">
        <f t="shared" si="43"/>
        <v>23577.994653283298</v>
      </c>
      <c r="W78" s="62">
        <f t="shared" si="43"/>
        <v>23828.657619832829</v>
      </c>
      <c r="X78" s="62">
        <f t="shared" si="43"/>
        <v>23828.657619832829</v>
      </c>
      <c r="Y78" s="62">
        <f t="shared" si="43"/>
        <v>23828.657619832829</v>
      </c>
      <c r="Z78" s="62">
        <f t="shared" si="43"/>
        <v>23838.292528506878</v>
      </c>
      <c r="AA78" s="62">
        <f t="shared" si="43"/>
        <v>23838.292528506878</v>
      </c>
      <c r="AB78" s="62">
        <f t="shared" si="43"/>
        <v>23838.292528506878</v>
      </c>
      <c r="AC78" s="62">
        <f t="shared" si="43"/>
        <v>23838.292528506878</v>
      </c>
      <c r="AD78" s="62">
        <f t="shared" si="43"/>
        <v>23838.292528506878</v>
      </c>
      <c r="AE78" s="62">
        <f t="shared" si="43"/>
        <v>24760.463977351334</v>
      </c>
      <c r="AF78" s="62">
        <f t="shared" si="43"/>
        <v>24760.463977351334</v>
      </c>
      <c r="AG78" s="62">
        <f t="shared" si="43"/>
        <v>24760.463977351334</v>
      </c>
      <c r="AH78" s="62">
        <f t="shared" si="43"/>
        <v>24760.463977351334</v>
      </c>
      <c r="AI78" s="62">
        <f t="shared" si="43"/>
        <v>26219.171541887095</v>
      </c>
      <c r="AJ78" s="63">
        <f t="shared" si="43"/>
        <v>26219.171541887095</v>
      </c>
      <c r="AK78" s="66"/>
      <c r="AL78" s="66"/>
      <c r="AM78" s="66"/>
      <c r="AN78" s="66"/>
      <c r="AO78" s="66"/>
      <c r="AP78" s="66"/>
    </row>
    <row r="79" spans="1:42">
      <c r="A79" s="47" t="s">
        <v>47</v>
      </c>
      <c r="B79" s="32">
        <f>K19/B37</f>
        <v>8.2301476940959407E-5</v>
      </c>
      <c r="C79" s="66"/>
      <c r="D79" s="47" t="s">
        <v>48</v>
      </c>
      <c r="E79" s="2" t="s">
        <v>49</v>
      </c>
      <c r="F79" s="62">
        <f t="shared" ref="F79:AJ79" si="44">(L18+L19+L20+L21+L23+L24)*16</f>
        <v>141139.20000000001</v>
      </c>
      <c r="G79" s="62">
        <f t="shared" si="44"/>
        <v>140748.90243266663</v>
      </c>
      <c r="H79" s="62">
        <f t="shared" si="44"/>
        <v>140708.19290912198</v>
      </c>
      <c r="I79" s="62">
        <f t="shared" si="44"/>
        <v>140708.19290912198</v>
      </c>
      <c r="J79" s="62">
        <f t="shared" si="44"/>
        <v>144645.44407856819</v>
      </c>
      <c r="K79" s="62">
        <f t="shared" si="44"/>
        <v>144645.44407856819</v>
      </c>
      <c r="L79" s="62">
        <f t="shared" si="44"/>
        <v>144645.44407856819</v>
      </c>
      <c r="M79" s="62">
        <f t="shared" si="44"/>
        <v>140930.11112880878</v>
      </c>
      <c r="N79" s="62">
        <f t="shared" si="44"/>
        <v>36622.55554660027</v>
      </c>
      <c r="O79" s="62">
        <f t="shared" si="44"/>
        <v>36622.55554660027</v>
      </c>
      <c r="P79" s="62">
        <f t="shared" si="44"/>
        <v>36679.9462218482</v>
      </c>
      <c r="Q79" s="62">
        <f t="shared" si="44"/>
        <v>36738.327767770905</v>
      </c>
      <c r="R79" s="62">
        <f t="shared" si="44"/>
        <v>36963.903656767405</v>
      </c>
      <c r="S79" s="62">
        <f t="shared" si="44"/>
        <v>36963.903656767405</v>
      </c>
      <c r="T79" s="62">
        <f t="shared" si="44"/>
        <v>36769.783225817497</v>
      </c>
      <c r="U79" s="62">
        <f t="shared" si="44"/>
        <v>36851.258976529745</v>
      </c>
      <c r="V79" s="62">
        <f t="shared" si="44"/>
        <v>36916.734727242001</v>
      </c>
      <c r="W79" s="62">
        <f t="shared" si="44"/>
        <v>36959.123349542118</v>
      </c>
      <c r="X79" s="62">
        <f t="shared" si="44"/>
        <v>36959.123349542118</v>
      </c>
      <c r="Y79" s="62">
        <f t="shared" si="44"/>
        <v>36959.123349542118</v>
      </c>
      <c r="Z79" s="62">
        <f t="shared" si="44"/>
        <v>37018.743247435981</v>
      </c>
      <c r="AA79" s="62">
        <f t="shared" si="44"/>
        <v>37018.743247435981</v>
      </c>
      <c r="AB79" s="62">
        <f t="shared" si="44"/>
        <v>37018.743247435981</v>
      </c>
      <c r="AC79" s="62">
        <f t="shared" si="44"/>
        <v>37018.743247435981</v>
      </c>
      <c r="AD79" s="62">
        <f t="shared" si="44"/>
        <v>37018.743247435981</v>
      </c>
      <c r="AE79" s="62">
        <f t="shared" si="44"/>
        <v>37173.831824459841</v>
      </c>
      <c r="AF79" s="62">
        <f t="shared" si="44"/>
        <v>37173.831824459841</v>
      </c>
      <c r="AG79" s="62">
        <f t="shared" si="44"/>
        <v>37173.831824459841</v>
      </c>
      <c r="AH79" s="62">
        <f t="shared" si="44"/>
        <v>37173.831824459841</v>
      </c>
      <c r="AI79" s="62">
        <f t="shared" si="44"/>
        <v>37436.026482661204</v>
      </c>
      <c r="AJ79" s="63">
        <f t="shared" si="44"/>
        <v>37436.026482661204</v>
      </c>
      <c r="AK79" s="66"/>
      <c r="AL79" s="66"/>
      <c r="AM79" s="66"/>
      <c r="AN79" s="66"/>
      <c r="AO79" s="66"/>
      <c r="AP79" s="66"/>
    </row>
    <row r="80" spans="1:42" ht="15.75" customHeight="1">
      <c r="A80" s="52" t="s">
        <v>50</v>
      </c>
      <c r="B80" s="36">
        <f>K20/B37</f>
        <v>1.0401450482269753E-4</v>
      </c>
      <c r="C80" s="66"/>
      <c r="D80" s="52"/>
      <c r="E80" s="33" t="s">
        <v>46</v>
      </c>
      <c r="F80" s="64">
        <f t="shared" ref="F80:AJ80" si="45">(L22/0.682)*6</f>
        <v>66105.571847507323</v>
      </c>
      <c r="G80" s="64">
        <f t="shared" si="45"/>
        <v>64614.728580769886</v>
      </c>
      <c r="H80" s="64">
        <f t="shared" si="45"/>
        <v>63383.057026517679</v>
      </c>
      <c r="I80" s="64">
        <f t="shared" si="45"/>
        <v>62151.385472265494</v>
      </c>
      <c r="J80" s="64">
        <f t="shared" si="45"/>
        <v>63262.867735758962</v>
      </c>
      <c r="K80" s="64">
        <f t="shared" si="45"/>
        <v>62031.19618150677</v>
      </c>
      <c r="L80" s="64">
        <f t="shared" si="45"/>
        <v>60799.524627254563</v>
      </c>
      <c r="M80" s="64">
        <f t="shared" si="45"/>
        <v>57305.426303780398</v>
      </c>
      <c r="N80" s="64">
        <f t="shared" si="45"/>
        <v>58308.084367440635</v>
      </c>
      <c r="O80" s="64">
        <f t="shared" si="45"/>
        <v>57076.41281318845</v>
      </c>
      <c r="P80" s="64">
        <f t="shared" si="45"/>
        <v>49130.698167623217</v>
      </c>
      <c r="Q80" s="64">
        <f t="shared" si="45"/>
        <v>49066.245392138175</v>
      </c>
      <c r="R80" s="64">
        <f t="shared" si="45"/>
        <v>50115.939029459085</v>
      </c>
      <c r="S80" s="64">
        <f t="shared" si="45"/>
        <v>50115.939029459085</v>
      </c>
      <c r="T80" s="64">
        <f t="shared" si="45"/>
        <v>45402.186878400593</v>
      </c>
      <c r="U80" s="64">
        <f t="shared" si="45"/>
        <v>46279.088092483595</v>
      </c>
      <c r="V80" s="64">
        <f t="shared" si="45"/>
        <v>47155.989306566596</v>
      </c>
      <c r="W80" s="64">
        <f t="shared" si="45"/>
        <v>47657.315239665659</v>
      </c>
      <c r="X80" s="64">
        <f t="shared" si="45"/>
        <v>47657.315239665659</v>
      </c>
      <c r="Y80" s="64">
        <f t="shared" si="45"/>
        <v>47657.315239665659</v>
      </c>
      <c r="Z80" s="64">
        <f t="shared" si="45"/>
        <v>47676.585057013755</v>
      </c>
      <c r="AA80" s="64">
        <f t="shared" si="45"/>
        <v>47676.585057013755</v>
      </c>
      <c r="AB80" s="64">
        <f t="shared" si="45"/>
        <v>47676.585057013755</v>
      </c>
      <c r="AC80" s="64">
        <f t="shared" si="45"/>
        <v>47676.585057013755</v>
      </c>
      <c r="AD80" s="64">
        <f t="shared" si="45"/>
        <v>47676.585057013755</v>
      </c>
      <c r="AE80" s="64">
        <f t="shared" si="45"/>
        <v>49520.927954702667</v>
      </c>
      <c r="AF80" s="64">
        <f t="shared" si="45"/>
        <v>49520.927954702667</v>
      </c>
      <c r="AG80" s="64">
        <f t="shared" si="45"/>
        <v>49520.927954702667</v>
      </c>
      <c r="AH80" s="64">
        <f t="shared" si="45"/>
        <v>49520.927954702667</v>
      </c>
      <c r="AI80" s="64">
        <f t="shared" si="45"/>
        <v>52438.343083774191</v>
      </c>
      <c r="AJ80" s="65">
        <f t="shared" si="45"/>
        <v>52438.343083774191</v>
      </c>
      <c r="AK80" s="66"/>
      <c r="AL80" s="66"/>
      <c r="AM80" s="66"/>
      <c r="AN80" s="66"/>
      <c r="AO80" s="66"/>
      <c r="AP80" s="66"/>
    </row>
    <row r="81" spans="1:42" ht="15.75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</row>
    <row r="82" spans="1:42">
      <c r="A82" s="66"/>
      <c r="B82" s="66"/>
      <c r="C82" s="66"/>
      <c r="D82" s="14" t="s">
        <v>93</v>
      </c>
      <c r="E82" s="14" t="s">
        <v>94</v>
      </c>
      <c r="F82" s="14" t="s">
        <v>95</v>
      </c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</row>
    <row r="83" spans="1:42">
      <c r="A83" s="66"/>
      <c r="B83" s="66"/>
      <c r="C83" s="66"/>
      <c r="D83" s="97">
        <f>E83/(F83/1000)</f>
        <v>0.61062836516506114</v>
      </c>
      <c r="E83" s="18">
        <f>AVERAGE(I22:K22)</f>
        <v>8370.4</v>
      </c>
      <c r="F83" s="98">
        <f>AVERAGE(F84:F86)</f>
        <v>13707846.666666666</v>
      </c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</row>
    <row r="84" spans="1:42">
      <c r="A84" s="66"/>
      <c r="B84" s="31">
        <f>SUM(B76:B77)</f>
        <v>2.344207530694918E-4</v>
      </c>
      <c r="C84" s="66"/>
      <c r="D84" s="14"/>
      <c r="E84" s="14"/>
      <c r="F84" s="99">
        <v>13811482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</row>
    <row r="85" spans="1:42">
      <c r="A85" s="66"/>
      <c r="B85" s="66"/>
      <c r="C85" s="66"/>
      <c r="D85" s="14"/>
      <c r="E85" s="14"/>
      <c r="F85" s="99">
        <v>13275754</v>
      </c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</row>
    <row r="86" spans="1:42">
      <c r="A86" s="66"/>
      <c r="B86" s="48"/>
      <c r="C86" s="66"/>
      <c r="D86" s="14"/>
      <c r="E86" s="14"/>
      <c r="F86" s="99">
        <v>14036304</v>
      </c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</row>
    <row r="87" spans="1:4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</row>
    <row r="88" spans="1:4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</row>
    <row r="89" spans="1:4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</row>
    <row r="90" spans="1:4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</row>
    <row r="91" spans="1:4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</row>
    <row r="92" spans="1:4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</row>
    <row r="93" spans="1:4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</row>
    <row r="94" spans="1:4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</row>
    <row r="95" spans="1:4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</row>
    <row r="96" spans="1:42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</row>
    <row r="97" spans="1:4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</row>
    <row r="98" spans="1:42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</row>
    <row r="99" spans="1:42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</row>
    <row r="100" spans="1:4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</row>
    <row r="101" spans="1:4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</row>
    <row r="102" spans="1:4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</row>
    <row r="103" spans="1:4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</row>
    <row r="104" spans="1:4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</row>
    <row r="105" spans="1:4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</row>
    <row r="106" spans="1:4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</row>
    <row r="107" spans="1:4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</row>
    <row r="108" spans="1:4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</row>
    <row r="109" spans="1:4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</row>
    <row r="110" spans="1:4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</row>
    <row r="111" spans="1:4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</row>
    <row r="112" spans="1:4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</row>
    <row r="113" spans="1:4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</row>
    <row r="114" spans="1:4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</row>
    <row r="115" spans="1:4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</row>
    <row r="116" spans="1:4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</row>
    <row r="117" spans="1:4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</row>
    <row r="118" spans="1:4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</row>
    <row r="119" spans="1:4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</row>
    <row r="120" spans="1:4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</row>
    <row r="121" spans="1:4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</row>
    <row r="122" spans="1:4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</row>
    <row r="123" spans="1:4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</row>
    <row r="124" spans="1:4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</row>
    <row r="125" spans="1:4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</row>
    <row r="126" spans="1:4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</row>
    <row r="127" spans="1:4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</row>
    <row r="128" spans="1:4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</row>
    <row r="129" spans="1:4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</row>
    <row r="130" spans="1:4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</row>
    <row r="131" spans="1:4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</row>
    <row r="132" spans="1:4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</row>
    <row r="133" spans="1:4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</row>
    <row r="134" spans="1:4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</row>
    <row r="135" spans="1:4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</row>
    <row r="136" spans="1:4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</row>
    <row r="137" spans="1:4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</row>
    <row r="138" spans="1:4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</row>
    <row r="139" spans="1:4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</row>
    <row r="140" spans="1:4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</row>
    <row r="141" spans="1:4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</row>
    <row r="142" spans="1:4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</row>
    <row r="143" spans="1:4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</row>
    <row r="144" spans="1:4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</row>
    <row r="145" spans="1:4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</row>
    <row r="146" spans="1:4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</row>
    <row r="147" spans="1:4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</row>
    <row r="148" spans="1:4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</row>
    <row r="149" spans="1:4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</row>
    <row r="150" spans="1:4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</row>
    <row r="151" spans="1:4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</row>
    <row r="152" spans="1:4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</row>
    <row r="153" spans="1:4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</row>
    <row r="154" spans="1:4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</row>
    <row r="155" spans="1:4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</row>
    <row r="156" spans="1:4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</row>
    <row r="157" spans="1:4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</row>
    <row r="158" spans="1:4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</row>
    <row r="159" spans="1:4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</row>
    <row r="160" spans="1:4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</row>
    <row r="161" spans="1:4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</row>
    <row r="162" spans="1:4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</row>
    <row r="163" spans="1:42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</row>
    <row r="164" spans="1:42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</row>
    <row r="165" spans="1:42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</row>
    <row r="166" spans="1:4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</row>
    <row r="167" spans="1:42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</row>
    <row r="168" spans="1:4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</row>
    <row r="169" spans="1:42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</row>
    <row r="170" spans="1:42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</row>
    <row r="171" spans="1:4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</row>
    <row r="172" spans="1:4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</row>
    <row r="173" spans="1:42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</row>
    <row r="174" spans="1:42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</row>
    <row r="175" spans="1:42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</row>
    <row r="176" spans="1:42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</row>
    <row r="177" spans="1:4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</row>
    <row r="178" spans="1:4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</row>
    <row r="179" spans="1:42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</row>
    <row r="180" spans="1:42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</row>
    <row r="181" spans="1:42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</row>
    <row r="182" spans="1:4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</row>
    <row r="183" spans="1:42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</row>
    <row r="184" spans="1:42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</row>
    <row r="185" spans="1:42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</row>
    <row r="186" spans="1:42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</row>
    <row r="187" spans="1:4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</row>
    <row r="188" spans="1:4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</row>
    <row r="189" spans="1:42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</row>
    <row r="190" spans="1:42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</row>
    <row r="191" spans="1:42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</row>
    <row r="192" spans="1:4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</row>
    <row r="193" spans="1:4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</row>
    <row r="194" spans="1:4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</row>
    <row r="195" spans="1:4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</row>
    <row r="196" spans="1:42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</row>
    <row r="197" spans="1:4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</row>
    <row r="198" spans="1:42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</row>
    <row r="199" spans="1:4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</row>
    <row r="200" spans="1:4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</row>
    <row r="201" spans="1:4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</row>
    <row r="202" spans="1:4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</row>
    <row r="203" spans="1:42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</row>
    <row r="204" spans="1:42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</row>
    <row r="205" spans="1:42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</row>
    <row r="206" spans="1:42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</row>
    <row r="207" spans="1:42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</row>
    <row r="208" spans="1:42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</row>
    <row r="209" spans="1:42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</row>
    <row r="210" spans="1:42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</row>
    <row r="211" spans="1:42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</row>
    <row r="212" spans="1:4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</row>
    <row r="213" spans="1:42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</row>
    <row r="214" spans="1:42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</row>
    <row r="215" spans="1:42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</row>
    <row r="216" spans="1:42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</row>
    <row r="217" spans="1:42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</row>
    <row r="218" spans="1:42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</row>
    <row r="219" spans="1:42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</row>
    <row r="220" spans="1:42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</row>
    <row r="221" spans="1:42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</row>
    <row r="222" spans="1:4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</row>
    <row r="223" spans="1:42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</row>
    <row r="224" spans="1:42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</row>
    <row r="225" spans="1:42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</row>
    <row r="226" spans="1:42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</row>
    <row r="227" spans="1:42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</row>
    <row r="228" spans="1:42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</row>
    <row r="229" spans="1:42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</row>
    <row r="230" spans="1:42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</row>
    <row r="231" spans="1:42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</row>
    <row r="232" spans="1:4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</row>
    <row r="233" spans="1:42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</row>
    <row r="234" spans="1:42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</row>
    <row r="235" spans="1:42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</row>
    <row r="236" spans="1:42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</row>
    <row r="237" spans="1:4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</row>
    <row r="238" spans="1:42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</row>
    <row r="239" spans="1:42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</row>
    <row r="240" spans="1:42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</row>
    <row r="241" spans="1:42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</row>
    <row r="242" spans="1:4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</row>
    <row r="243" spans="1:42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</row>
    <row r="244" spans="1:42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</row>
    <row r="245" spans="1:42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</row>
    <row r="246" spans="1:42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</row>
    <row r="247" spans="1:42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</row>
    <row r="248" spans="1:42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</row>
    <row r="249" spans="1:42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</row>
    <row r="250" spans="1:42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</row>
    <row r="251" spans="1:42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</row>
    <row r="252" spans="1:4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</row>
    <row r="253" spans="1:42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</row>
    <row r="254" spans="1:42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</row>
    <row r="255" spans="1:42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</row>
    <row r="256" spans="1:42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</row>
    <row r="257" spans="1:4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</row>
    <row r="258" spans="1:42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</row>
    <row r="259" spans="1:42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</row>
    <row r="260" spans="1:42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</row>
    <row r="261" spans="1:42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</row>
    <row r="262" spans="1:4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</row>
    <row r="263" spans="1:42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</row>
    <row r="264" spans="1:42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</row>
    <row r="265" spans="1:42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</row>
    <row r="266" spans="1:42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</row>
    <row r="267" spans="1:42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</row>
    <row r="268" spans="1:42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</row>
    <row r="269" spans="1:42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</row>
    <row r="270" spans="1:42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</row>
    <row r="271" spans="1:42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</row>
    <row r="272" spans="1:4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</row>
    <row r="273" spans="1:4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</row>
    <row r="274" spans="1:4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</row>
    <row r="275" spans="1:4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</row>
    <row r="276" spans="1:42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</row>
    <row r="277" spans="1:42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</row>
    <row r="278" spans="1:42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</row>
    <row r="279" spans="1:42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</row>
    <row r="280" spans="1:42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</row>
    <row r="281" spans="1:42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</row>
    <row r="282" spans="1:4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</row>
    <row r="283" spans="1:42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</row>
    <row r="284" spans="1:42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</row>
    <row r="285" spans="1:42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</row>
    <row r="286" spans="1:42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</row>
    <row r="287" spans="1:42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</row>
    <row r="288" spans="1:42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</row>
    <row r="289" spans="1:42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</row>
    <row r="290" spans="1:42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</row>
    <row r="291" spans="1:42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</row>
    <row r="292" spans="1:4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</row>
    <row r="293" spans="1:42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</row>
    <row r="294" spans="1:42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</row>
    <row r="295" spans="1:42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</row>
    <row r="296" spans="1:42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</row>
    <row r="297" spans="1:42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</row>
    <row r="298" spans="1:42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</row>
    <row r="299" spans="1:42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</row>
    <row r="300" spans="1:42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</row>
    <row r="301" spans="1:42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</row>
    <row r="302" spans="1:4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</row>
    <row r="303" spans="1:42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</row>
    <row r="304" spans="1:42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</row>
    <row r="305" spans="1:42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</row>
    <row r="306" spans="1:42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</row>
    <row r="307" spans="1:42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</row>
    <row r="308" spans="1:42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</row>
    <row r="309" spans="1:42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</row>
    <row r="310" spans="1:42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</row>
    <row r="311" spans="1:42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</row>
    <row r="312" spans="1:4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</row>
    <row r="313" spans="1:42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</row>
    <row r="314" spans="1:42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</row>
    <row r="315" spans="1:42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</row>
    <row r="316" spans="1:42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</row>
    <row r="317" spans="1:42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</row>
    <row r="318" spans="1:42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</row>
    <row r="319" spans="1:4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</row>
    <row r="320" spans="1:4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</row>
    <row r="321" spans="1:42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</row>
    <row r="322" spans="1:4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</row>
    <row r="323" spans="1:42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</row>
    <row r="324" spans="1:42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</row>
    <row r="325" spans="1:42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</row>
    <row r="326" spans="1:42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</row>
    <row r="327" spans="1:42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</row>
    <row r="328" spans="1:42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</row>
    <row r="329" spans="1:42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</row>
    <row r="330" spans="1:42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</row>
    <row r="331" spans="1:42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</row>
    <row r="332" spans="1:4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</row>
    <row r="333" spans="1:42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</row>
    <row r="334" spans="1:42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</row>
    <row r="335" spans="1:42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</row>
    <row r="336" spans="1:42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</row>
    <row r="337" spans="1:42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</row>
    <row r="338" spans="1:42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</row>
    <row r="339" spans="1:42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</row>
    <row r="340" spans="1:42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</row>
    <row r="341" spans="1:42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</row>
    <row r="342" spans="1:4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</row>
    <row r="343" spans="1:42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</row>
    <row r="344" spans="1:42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</row>
    <row r="345" spans="1:42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</row>
    <row r="346" spans="1:42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</row>
    <row r="347" spans="1:42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</row>
    <row r="348" spans="1:42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</row>
    <row r="349" spans="1:42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</row>
    <row r="350" spans="1:42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</row>
    <row r="351" spans="1:42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</row>
    <row r="352" spans="1:4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</row>
    <row r="353" spans="1:4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</row>
    <row r="354" spans="1:42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</row>
    <row r="355" spans="1:42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</row>
    <row r="356" spans="1:42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</row>
    <row r="357" spans="1:42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</row>
    <row r="358" spans="1:42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</row>
    <row r="359" spans="1:42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</row>
    <row r="360" spans="1:42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</row>
    <row r="361" spans="1:42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</row>
    <row r="362" spans="1:4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</row>
    <row r="363" spans="1:42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</row>
    <row r="364" spans="1:4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</row>
    <row r="365" spans="1:4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</row>
    <row r="366" spans="1:4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</row>
    <row r="367" spans="1:42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</row>
    <row r="368" spans="1:42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</row>
    <row r="369" spans="1:42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</row>
    <row r="370" spans="1:42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</row>
    <row r="371" spans="1:42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</row>
    <row r="372" spans="1:4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</row>
    <row r="373" spans="1:42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</row>
    <row r="374" spans="1:42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</row>
    <row r="375" spans="1:42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</row>
    <row r="376" spans="1:42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</row>
    <row r="377" spans="1:42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</row>
    <row r="378" spans="1:42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</row>
    <row r="379" spans="1:42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</row>
    <row r="380" spans="1:42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</row>
    <row r="381" spans="1:42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</row>
    <row r="382" spans="1:4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</row>
    <row r="383" spans="1:42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</row>
    <row r="384" spans="1:42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</row>
    <row r="385" spans="1:42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</row>
    <row r="386" spans="1:42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</row>
    <row r="387" spans="1:42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</row>
    <row r="388" spans="1:4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</row>
    <row r="389" spans="1:42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</row>
    <row r="390" spans="1:42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</row>
    <row r="391" spans="1:42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</row>
    <row r="392" spans="1:4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</row>
    <row r="393" spans="1:42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</row>
    <row r="394" spans="1:42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</row>
    <row r="395" spans="1:42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</row>
    <row r="396" spans="1:42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</row>
    <row r="397" spans="1:42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</row>
    <row r="398" spans="1:42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</row>
    <row r="399" spans="1:42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</row>
    <row r="400" spans="1:42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</row>
    <row r="401" spans="1:42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</row>
    <row r="402" spans="1:4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</row>
    <row r="403" spans="1:42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</row>
    <row r="404" spans="1:42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</row>
    <row r="405" spans="1:42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</row>
    <row r="406" spans="1:42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</row>
    <row r="407" spans="1:42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</row>
    <row r="408" spans="1:42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</row>
    <row r="409" spans="1:4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</row>
    <row r="410" spans="1:42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</row>
    <row r="411" spans="1:42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</row>
    <row r="412" spans="1:42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</row>
    <row r="413" spans="1:42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</row>
    <row r="414" spans="1:42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</row>
    <row r="415" spans="1:42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</row>
    <row r="416" spans="1:42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</row>
    <row r="417" spans="1:42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</row>
    <row r="418" spans="1:42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</row>
    <row r="419" spans="1:42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</row>
    <row r="420" spans="1:42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</row>
    <row r="421" spans="1:42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</row>
    <row r="422" spans="1:42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</row>
    <row r="423" spans="1:42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</row>
    <row r="424" spans="1:42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</row>
    <row r="425" spans="1:42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</row>
    <row r="426" spans="1:42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</row>
    <row r="427" spans="1:42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</row>
    <row r="428" spans="1:42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</row>
    <row r="429" spans="1:42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</row>
    <row r="430" spans="1:42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</row>
    <row r="431" spans="1:42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</row>
    <row r="432" spans="1:4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</row>
    <row r="433" spans="1:42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</row>
    <row r="434" spans="1:42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</row>
    <row r="435" spans="1:42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</row>
    <row r="436" spans="1:42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</row>
    <row r="437" spans="1:42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</row>
    <row r="438" spans="1:42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</row>
    <row r="439" spans="1:42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</row>
    <row r="440" spans="1:42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</row>
    <row r="441" spans="1:42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</row>
    <row r="442" spans="1:42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</row>
    <row r="443" spans="1:42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</row>
    <row r="444" spans="1:42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</row>
    <row r="445" spans="1:42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</row>
    <row r="446" spans="1:42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</row>
    <row r="447" spans="1:42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</row>
    <row r="448" spans="1:42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</row>
    <row r="449" spans="1:42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</row>
    <row r="450" spans="1:42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</row>
    <row r="451" spans="1:42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</row>
    <row r="452" spans="1:42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</row>
    <row r="453" spans="1:42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</row>
    <row r="454" spans="1:42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</row>
    <row r="455" spans="1:42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</row>
    <row r="456" spans="1:42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</row>
    <row r="457" spans="1:42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</row>
    <row r="458" spans="1:42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</row>
    <row r="459" spans="1:42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</row>
    <row r="460" spans="1:42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</row>
    <row r="461" spans="1:42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</row>
    <row r="462" spans="1:42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</row>
    <row r="463" spans="1:42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</row>
    <row r="464" spans="1:42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</row>
    <row r="465" spans="1:42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</row>
    <row r="466" spans="1:42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</row>
    <row r="467" spans="1:42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</row>
    <row r="468" spans="1:42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</row>
    <row r="469" spans="1:42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</row>
    <row r="470" spans="1:42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</row>
    <row r="471" spans="1:4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</row>
    <row r="472" spans="1:42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</row>
    <row r="473" spans="1:42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</row>
    <row r="474" spans="1:42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</row>
    <row r="475" spans="1:42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</row>
    <row r="476" spans="1:42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</row>
    <row r="477" spans="1:42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</row>
    <row r="478" spans="1:42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</row>
    <row r="479" spans="1:42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</row>
    <row r="480" spans="1:42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</row>
    <row r="481" spans="1:42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</row>
    <row r="482" spans="1:42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</row>
    <row r="483" spans="1:42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</row>
    <row r="484" spans="1:42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</row>
    <row r="485" spans="1:42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</row>
    <row r="486" spans="1:42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</row>
    <row r="487" spans="1:42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</row>
    <row r="488" spans="1:42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</row>
    <row r="489" spans="1:42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</row>
    <row r="490" spans="1:42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</row>
    <row r="491" spans="1:42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</row>
    <row r="492" spans="1:4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</row>
    <row r="493" spans="1:42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</row>
    <row r="494" spans="1:42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</row>
    <row r="495" spans="1:42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</row>
    <row r="496" spans="1:42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</row>
    <row r="497" spans="1:42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</row>
    <row r="498" spans="1:42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</row>
    <row r="499" spans="1:42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</row>
    <row r="500" spans="1:42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</row>
    <row r="501" spans="1:42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</row>
    <row r="502" spans="1:42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</row>
    <row r="503" spans="1:42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</row>
    <row r="504" spans="1:42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</row>
    <row r="505" spans="1:42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</row>
    <row r="506" spans="1:42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</row>
    <row r="507" spans="1:42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</row>
    <row r="508" spans="1:42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</row>
    <row r="509" spans="1:42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</row>
    <row r="510" spans="1:42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</row>
    <row r="511" spans="1:42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</row>
    <row r="512" spans="1:42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</row>
    <row r="513" spans="1:42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</row>
    <row r="514" spans="1:42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</row>
    <row r="515" spans="1:42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</row>
    <row r="516" spans="1:42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</row>
    <row r="517" spans="1:42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</row>
    <row r="518" spans="1:42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</row>
    <row r="519" spans="1:42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</row>
    <row r="520" spans="1:42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</row>
    <row r="521" spans="1:42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</row>
    <row r="522" spans="1:42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</row>
    <row r="523" spans="1:42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</row>
    <row r="524" spans="1:42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</row>
    <row r="525" spans="1:42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</row>
    <row r="526" spans="1:42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</row>
    <row r="527" spans="1:42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</row>
    <row r="528" spans="1:42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</row>
    <row r="529" spans="1:42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</row>
    <row r="530" spans="1:42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</row>
    <row r="531" spans="1:42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</row>
    <row r="532" spans="1:42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</row>
    <row r="533" spans="1:42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</row>
    <row r="534" spans="1:42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</row>
    <row r="535" spans="1:42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</row>
    <row r="536" spans="1:42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</row>
    <row r="537" spans="1:42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</row>
    <row r="538" spans="1:42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</row>
    <row r="539" spans="1:42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</row>
    <row r="540" spans="1:42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</row>
    <row r="541" spans="1:42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</row>
    <row r="542" spans="1:4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</row>
    <row r="543" spans="1:42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</row>
    <row r="544" spans="1:42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</row>
    <row r="545" spans="1:42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</row>
    <row r="546" spans="1:42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</row>
    <row r="547" spans="1:42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</row>
    <row r="548" spans="1:42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</row>
    <row r="549" spans="1:42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</row>
    <row r="550" spans="1:42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</row>
    <row r="551" spans="1:42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</row>
    <row r="552" spans="1:42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</row>
    <row r="553" spans="1:42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</row>
    <row r="554" spans="1:42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</row>
    <row r="555" spans="1:42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</row>
    <row r="556" spans="1:42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</row>
    <row r="557" spans="1:42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</row>
    <row r="558" spans="1:42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</row>
    <row r="559" spans="1:42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</row>
    <row r="560" spans="1:42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</row>
    <row r="561" spans="1:42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</row>
    <row r="562" spans="1:42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</row>
    <row r="563" spans="1:42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</row>
    <row r="564" spans="1:42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</row>
    <row r="565" spans="1:42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</row>
    <row r="566" spans="1:42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</row>
    <row r="567" spans="1:42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</row>
    <row r="568" spans="1:42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</row>
    <row r="569" spans="1:42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</row>
    <row r="570" spans="1:42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</row>
    <row r="571" spans="1:42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</row>
    <row r="572" spans="1:42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</row>
    <row r="573" spans="1:42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</row>
    <row r="574" spans="1:42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</row>
    <row r="575" spans="1:42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</row>
    <row r="576" spans="1:42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</row>
    <row r="577" spans="1:42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</row>
    <row r="578" spans="1:42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</row>
    <row r="579" spans="1:42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</row>
    <row r="580" spans="1:42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</row>
    <row r="581" spans="1:42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</row>
    <row r="582" spans="1:42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</row>
    <row r="583" spans="1:42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</row>
    <row r="584" spans="1:42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</row>
    <row r="585" spans="1:42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</row>
    <row r="586" spans="1:42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</row>
    <row r="587" spans="1:42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</row>
    <row r="588" spans="1:42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</row>
    <row r="589" spans="1:42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</row>
    <row r="590" spans="1:42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</row>
    <row r="591" spans="1:42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</row>
    <row r="592" spans="1:42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</row>
    <row r="593" spans="1:42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</row>
    <row r="594" spans="1:42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</row>
    <row r="595" spans="1:42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</row>
    <row r="596" spans="1:42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</row>
    <row r="597" spans="1:42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</row>
    <row r="598" spans="1:42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</row>
    <row r="599" spans="1:42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</row>
    <row r="600" spans="1:42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</row>
    <row r="601" spans="1:42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</row>
    <row r="602" spans="1:42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</row>
    <row r="603" spans="1:42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</row>
    <row r="604" spans="1:42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</row>
    <row r="605" spans="1:42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</row>
    <row r="606" spans="1:42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</row>
    <row r="607" spans="1:42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</row>
    <row r="608" spans="1:42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</row>
    <row r="609" spans="1:42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</row>
    <row r="610" spans="1:42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</row>
    <row r="611" spans="1:42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</row>
    <row r="612" spans="1:42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</row>
    <row r="613" spans="1:42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</row>
    <row r="614" spans="1:42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</row>
    <row r="615" spans="1:42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</row>
    <row r="616" spans="1:42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</row>
    <row r="617" spans="1:42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</row>
    <row r="618" spans="1:42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</row>
    <row r="619" spans="1:42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</row>
    <row r="620" spans="1:42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</row>
    <row r="621" spans="1:42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</row>
    <row r="622" spans="1:42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</row>
    <row r="623" spans="1:42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</row>
    <row r="624" spans="1:42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</row>
    <row r="625" spans="1:42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</row>
    <row r="626" spans="1:42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</row>
    <row r="627" spans="1:42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</row>
    <row r="628" spans="1:42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</row>
    <row r="629" spans="1:42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</row>
    <row r="630" spans="1:42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</row>
    <row r="631" spans="1:42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</row>
    <row r="632" spans="1:42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</row>
    <row r="633" spans="1:42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</row>
    <row r="634" spans="1:42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</row>
    <row r="635" spans="1:42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</row>
    <row r="636" spans="1:42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</row>
    <row r="637" spans="1:42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</row>
    <row r="638" spans="1:42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</row>
    <row r="639" spans="1:42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</row>
    <row r="640" spans="1:42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</row>
    <row r="641" spans="1:42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</row>
    <row r="642" spans="1:42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</row>
    <row r="643" spans="1:42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</row>
    <row r="644" spans="1:42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</row>
    <row r="645" spans="1:42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</row>
    <row r="646" spans="1:42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</row>
    <row r="647" spans="1:42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</row>
    <row r="648" spans="1:42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</row>
    <row r="649" spans="1:42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</row>
    <row r="650" spans="1:42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</row>
    <row r="651" spans="1:42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</row>
    <row r="652" spans="1:42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</row>
    <row r="653" spans="1:42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</row>
    <row r="654" spans="1:42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</row>
    <row r="655" spans="1:42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</row>
    <row r="656" spans="1:42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</row>
    <row r="657" spans="1:42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</row>
    <row r="658" spans="1:42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</row>
    <row r="659" spans="1:42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</row>
    <row r="660" spans="1:42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</row>
    <row r="661" spans="1:42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</row>
    <row r="662" spans="1:42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</row>
    <row r="663" spans="1:42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</row>
    <row r="664" spans="1:42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</row>
    <row r="665" spans="1:42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</row>
    <row r="666" spans="1:42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</row>
    <row r="667" spans="1:42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</row>
    <row r="668" spans="1:42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</row>
    <row r="669" spans="1:42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</row>
    <row r="670" spans="1:42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</row>
    <row r="671" spans="1:42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</row>
    <row r="672" spans="1:42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</row>
    <row r="673" spans="1:42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</row>
    <row r="674" spans="1:42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</row>
    <row r="675" spans="1:42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</row>
    <row r="676" spans="1:42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</row>
    <row r="677" spans="1:42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</row>
    <row r="678" spans="1:42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</row>
    <row r="679" spans="1:42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</row>
    <row r="680" spans="1:42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</row>
    <row r="681" spans="1:42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</row>
    <row r="682" spans="1:42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</row>
    <row r="683" spans="1:42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</row>
    <row r="684" spans="1:42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</row>
    <row r="685" spans="1:42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</row>
    <row r="686" spans="1:42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</row>
    <row r="687" spans="1:42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</row>
    <row r="688" spans="1:42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</row>
    <row r="689" spans="1:42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</row>
    <row r="690" spans="1:42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</row>
    <row r="691" spans="1:42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</row>
    <row r="692" spans="1:42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</row>
    <row r="693" spans="1:42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</row>
    <row r="694" spans="1:42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</row>
    <row r="695" spans="1:42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</row>
    <row r="696" spans="1:42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</row>
    <row r="697" spans="1:42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</row>
    <row r="698" spans="1:42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</row>
    <row r="699" spans="1:42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</row>
    <row r="700" spans="1:42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</row>
    <row r="701" spans="1:42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</row>
    <row r="702" spans="1:42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</row>
    <row r="703" spans="1:42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</row>
    <row r="704" spans="1:42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</row>
    <row r="705" spans="1:42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</row>
    <row r="706" spans="1:42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</row>
    <row r="707" spans="1:42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</row>
    <row r="708" spans="1:42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</row>
    <row r="709" spans="1:42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</row>
    <row r="710" spans="1:42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</row>
    <row r="711" spans="1:42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</row>
    <row r="712" spans="1:42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</row>
    <row r="713" spans="1:42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</row>
    <row r="714" spans="1:42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</row>
    <row r="715" spans="1:42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</row>
    <row r="716" spans="1:42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</row>
    <row r="717" spans="1:42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</row>
    <row r="718" spans="1:42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</row>
    <row r="719" spans="1:42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</row>
    <row r="720" spans="1:42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</row>
    <row r="721" spans="1:42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</row>
    <row r="722" spans="1:42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</row>
    <row r="723" spans="1:42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</row>
    <row r="724" spans="1:42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</row>
    <row r="725" spans="1:42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</row>
    <row r="726" spans="1:42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</row>
    <row r="727" spans="1:42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</row>
    <row r="728" spans="1:42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</row>
    <row r="729" spans="1:42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</row>
    <row r="730" spans="1:42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</row>
    <row r="731" spans="1:42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</row>
    <row r="732" spans="1:42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</row>
    <row r="733" spans="1:42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</row>
    <row r="734" spans="1:42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</row>
    <row r="735" spans="1:42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</row>
    <row r="736" spans="1:42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</row>
    <row r="737" spans="1:42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</row>
    <row r="738" spans="1:42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</row>
    <row r="739" spans="1:42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</row>
    <row r="740" spans="1:42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</row>
    <row r="741" spans="1:42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</row>
    <row r="742" spans="1:42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</row>
    <row r="743" spans="1:42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</row>
    <row r="744" spans="1:42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</row>
    <row r="745" spans="1:42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</row>
    <row r="746" spans="1:42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</row>
    <row r="747" spans="1:42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</row>
    <row r="748" spans="1:42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</row>
    <row r="749" spans="1:42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</row>
    <row r="750" spans="1:42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</row>
    <row r="751" spans="1:42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</row>
    <row r="752" spans="1:42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</row>
    <row r="753" spans="1:42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</row>
    <row r="754" spans="1:42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</row>
    <row r="755" spans="1:42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</row>
    <row r="756" spans="1:42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</row>
    <row r="757" spans="1:42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</row>
    <row r="758" spans="1:42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</row>
    <row r="759" spans="1:42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</row>
    <row r="760" spans="1:42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</row>
    <row r="761" spans="1:42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</row>
    <row r="762" spans="1:42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</row>
    <row r="763" spans="1:42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</row>
    <row r="764" spans="1:42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</row>
    <row r="765" spans="1:42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</row>
    <row r="766" spans="1:42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</row>
    <row r="767" spans="1:42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</row>
    <row r="768" spans="1:42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</row>
    <row r="769" spans="1:42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</row>
    <row r="770" spans="1:42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</row>
    <row r="771" spans="1:42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</row>
    <row r="772" spans="1:42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</row>
    <row r="773" spans="1:42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</row>
    <row r="774" spans="1:42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</row>
    <row r="775" spans="1:42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</row>
    <row r="776" spans="1:42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</row>
    <row r="777" spans="1:42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</row>
    <row r="778" spans="1:42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</row>
    <row r="779" spans="1:42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</row>
    <row r="780" spans="1:42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</row>
    <row r="781" spans="1:42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</row>
    <row r="782" spans="1:42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</row>
    <row r="783" spans="1:42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</row>
    <row r="784" spans="1:42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</row>
    <row r="785" spans="1:42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</row>
    <row r="786" spans="1:42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</row>
    <row r="787" spans="1:42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</row>
    <row r="788" spans="1:42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</row>
    <row r="789" spans="1:42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</row>
    <row r="790" spans="1:42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</row>
    <row r="791" spans="1:42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</row>
    <row r="792" spans="1:42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</row>
    <row r="793" spans="1:42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</row>
    <row r="794" spans="1:42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</row>
    <row r="795" spans="1:42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</row>
    <row r="796" spans="1:42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</row>
    <row r="797" spans="1:42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</row>
    <row r="798" spans="1:42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</row>
    <row r="799" spans="1:42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</row>
    <row r="800" spans="1:42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</row>
    <row r="801" spans="1:42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</row>
    <row r="802" spans="1:42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</row>
    <row r="803" spans="1:42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</row>
    <row r="804" spans="1:42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</row>
    <row r="805" spans="1:42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</row>
    <row r="806" spans="1:42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</row>
    <row r="807" spans="1:42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</row>
    <row r="808" spans="1:42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</row>
    <row r="809" spans="1:42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</row>
    <row r="810" spans="1:42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</row>
    <row r="811" spans="1:42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</row>
    <row r="812" spans="1:42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</row>
    <row r="813" spans="1:42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</row>
    <row r="814" spans="1:42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</row>
    <row r="815" spans="1:42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</row>
    <row r="816" spans="1:42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</row>
    <row r="817" spans="1:42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</row>
    <row r="818" spans="1:42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</row>
    <row r="819" spans="1:42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</row>
    <row r="820" spans="1:42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</row>
    <row r="821" spans="1:42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</row>
    <row r="822" spans="1:42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</row>
    <row r="823" spans="1:42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</row>
    <row r="824" spans="1:42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</row>
    <row r="825" spans="1:42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</row>
    <row r="826" spans="1:42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</row>
    <row r="827" spans="1:42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</row>
    <row r="828" spans="1:42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</row>
    <row r="829" spans="1:42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</row>
    <row r="830" spans="1:42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</row>
    <row r="831" spans="1:42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</row>
    <row r="832" spans="1:42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</row>
    <row r="833" spans="1:42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</row>
    <row r="834" spans="1:42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</row>
    <row r="835" spans="1:42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</row>
    <row r="836" spans="1:42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</row>
    <row r="837" spans="1:42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</row>
    <row r="838" spans="1:42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</row>
    <row r="839" spans="1:42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</row>
    <row r="840" spans="1:42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</row>
    <row r="841" spans="1:42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</row>
    <row r="842" spans="1:42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</row>
    <row r="843" spans="1:42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</row>
    <row r="844" spans="1:42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</row>
    <row r="845" spans="1:42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</row>
    <row r="846" spans="1:42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</row>
    <row r="847" spans="1:42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</row>
    <row r="848" spans="1:42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</row>
    <row r="849" spans="1:42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</row>
    <row r="850" spans="1:42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</row>
    <row r="851" spans="1:42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</row>
    <row r="852" spans="1:42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</row>
    <row r="853" spans="1:42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</row>
    <row r="854" spans="1:42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</row>
    <row r="855" spans="1:42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</row>
    <row r="856" spans="1:42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</row>
    <row r="857" spans="1:42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</row>
    <row r="858" spans="1:42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</row>
    <row r="859" spans="1:42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</row>
    <row r="860" spans="1:42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</row>
    <row r="861" spans="1:42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</row>
    <row r="862" spans="1:42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</row>
    <row r="863" spans="1:42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</row>
    <row r="864" spans="1:42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</row>
    <row r="865" spans="1:42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</row>
    <row r="866" spans="1:42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</row>
    <row r="867" spans="1:42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</row>
    <row r="868" spans="1:42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</row>
    <row r="869" spans="1:42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</row>
    <row r="870" spans="1:42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</row>
    <row r="871" spans="1:42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</row>
    <row r="872" spans="1:42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</row>
    <row r="873" spans="1:42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</row>
    <row r="874" spans="1:42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</row>
    <row r="875" spans="1:42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</row>
    <row r="876" spans="1:42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</row>
    <row r="877" spans="1:42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</row>
    <row r="878" spans="1:42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</row>
    <row r="879" spans="1:42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</row>
    <row r="880" spans="1:42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</row>
    <row r="881" spans="1:42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</row>
    <row r="882" spans="1:42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</row>
    <row r="883" spans="1:42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</row>
    <row r="884" spans="1:42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</row>
    <row r="885" spans="1:42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</row>
    <row r="886" spans="1:42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</row>
    <row r="887" spans="1:42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</row>
    <row r="888" spans="1:42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</row>
    <row r="889" spans="1:42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</row>
    <row r="890" spans="1:42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</row>
    <row r="891" spans="1:42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</row>
    <row r="892" spans="1:42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</row>
    <row r="893" spans="1:42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</row>
    <row r="894" spans="1:42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</row>
    <row r="895" spans="1:42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</row>
    <row r="896" spans="1:42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</row>
    <row r="897" spans="1:42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</row>
    <row r="898" spans="1:42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</row>
    <row r="899" spans="1:42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</row>
    <row r="900" spans="1:42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</row>
    <row r="901" spans="1:42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</row>
    <row r="902" spans="1:42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</row>
    <row r="903" spans="1:42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</row>
    <row r="904" spans="1:42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</row>
    <row r="905" spans="1:42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</row>
    <row r="906" spans="1:42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</row>
    <row r="907" spans="1:42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</row>
    <row r="908" spans="1:42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</row>
    <row r="909" spans="1:42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</row>
    <row r="910" spans="1:42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</row>
    <row r="911" spans="1:42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</row>
    <row r="912" spans="1:42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</row>
    <row r="913" spans="1:42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</row>
    <row r="914" spans="1:42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</row>
    <row r="915" spans="1:42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</row>
    <row r="916" spans="1:42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</row>
    <row r="917" spans="1:42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</row>
    <row r="918" spans="1:42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</row>
    <row r="919" spans="1:42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</row>
    <row r="920" spans="1:42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</row>
    <row r="921" spans="1:42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</row>
    <row r="922" spans="1:42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</row>
    <row r="923" spans="1:42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</row>
    <row r="924" spans="1:42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</row>
    <row r="925" spans="1:42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</row>
    <row r="926" spans="1:42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</row>
    <row r="927" spans="1:42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</row>
    <row r="928" spans="1:42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</row>
    <row r="929" spans="1:42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</row>
    <row r="930" spans="1:42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</row>
    <row r="931" spans="1:42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</row>
    <row r="932" spans="1:42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</row>
    <row r="933" spans="1:42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</row>
    <row r="934" spans="1:42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</row>
    <row r="935" spans="1:42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</row>
    <row r="936" spans="1:42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</row>
    <row r="937" spans="1:42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</row>
    <row r="938" spans="1:42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</row>
    <row r="939" spans="1:42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</row>
    <row r="940" spans="1:42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</row>
    <row r="941" spans="1:42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</row>
    <row r="942" spans="1:42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</row>
    <row r="943" spans="1:42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</row>
    <row r="944" spans="1:42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</row>
    <row r="945" spans="1:42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</row>
    <row r="946" spans="1:42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</row>
    <row r="947" spans="1:42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</row>
    <row r="948" spans="1:42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</row>
    <row r="949" spans="1:42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</row>
    <row r="950" spans="1:42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</row>
    <row r="951" spans="1:42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</row>
    <row r="952" spans="1:42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</row>
    <row r="953" spans="1:42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</row>
    <row r="954" spans="1:42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</row>
    <row r="955" spans="1:42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</row>
    <row r="956" spans="1:42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</row>
    <row r="957" spans="1:42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</row>
    <row r="958" spans="1:42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</row>
    <row r="959" spans="1:42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</row>
    <row r="960" spans="1:42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</row>
    <row r="961" spans="1:42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</row>
    <row r="962" spans="1:42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</row>
    <row r="963" spans="1:42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</row>
    <row r="964" spans="1:42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</row>
    <row r="965" spans="1:42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</row>
    <row r="966" spans="1:42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</row>
    <row r="967" spans="1:42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</row>
    <row r="968" spans="1:42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</row>
    <row r="969" spans="1:42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</row>
    <row r="970" spans="1:42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</row>
    <row r="971" spans="1:42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</row>
    <row r="972" spans="1:42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</row>
    <row r="973" spans="1:42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</row>
    <row r="974" spans="1:42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</row>
    <row r="975" spans="1:42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</row>
    <row r="976" spans="1:42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</row>
    <row r="977" spans="1:42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</row>
    <row r="978" spans="1:42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</row>
    <row r="979" spans="1:42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</row>
    <row r="980" spans="1:42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</row>
    <row r="981" spans="1:42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</row>
    <row r="982" spans="1:42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</row>
    <row r="983" spans="1:42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</row>
    <row r="984" spans="1:42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</row>
    <row r="985" spans="1:42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</row>
    <row r="986" spans="1:42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</row>
    <row r="987" spans="1:42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</row>
    <row r="988" spans="1:42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</row>
    <row r="989" spans="1:42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</row>
    <row r="990" spans="1:42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</row>
    <row r="991" spans="1:42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</row>
    <row r="992" spans="1:42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</row>
    <row r="993" spans="1:42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</row>
    <row r="994" spans="1:42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</row>
    <row r="995" spans="1:42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</row>
    <row r="996" spans="1:42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</row>
    <row r="997" spans="1:42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</row>
    <row r="998" spans="1:42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</row>
    <row r="999" spans="1:42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</row>
    <row r="1000" spans="1:42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</row>
  </sheetData>
  <mergeCells count="1">
    <mergeCell ref="B4:K4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00"/>
  <sheetViews>
    <sheetView workbookViewId="0"/>
  </sheetViews>
  <sheetFormatPr defaultColWidth="15.140625" defaultRowHeight="15" customHeight="1"/>
  <cols>
    <col min="1" max="1" width="31.140625" customWidth="1"/>
    <col min="2" max="42" width="11.140625" customWidth="1"/>
  </cols>
  <sheetData>
    <row r="1" spans="1:42" ht="21" customHeight="1">
      <c r="A1" s="1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1:4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1:42" ht="15.75" customHeight="1">
      <c r="A3" s="3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</row>
    <row r="4" spans="1:42" ht="15.75" customHeight="1">
      <c r="A4" s="66"/>
      <c r="B4" s="177" t="s">
        <v>2</v>
      </c>
      <c r="C4" s="178"/>
      <c r="D4" s="178"/>
      <c r="E4" s="178"/>
      <c r="F4" s="178"/>
      <c r="G4" s="178"/>
      <c r="H4" s="178"/>
      <c r="I4" s="178"/>
      <c r="J4" s="178"/>
      <c r="K4" s="179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</row>
    <row r="5" spans="1:42" ht="15.75" customHeight="1">
      <c r="A5" s="4" t="s">
        <v>3</v>
      </c>
      <c r="B5" s="5">
        <v>2000</v>
      </c>
      <c r="C5" s="4">
        <v>2001</v>
      </c>
      <c r="D5" s="4">
        <v>2002</v>
      </c>
      <c r="E5" s="4">
        <v>2003</v>
      </c>
      <c r="F5" s="4">
        <v>2004</v>
      </c>
      <c r="G5" s="4">
        <v>2005</v>
      </c>
      <c r="H5" s="4">
        <v>2006</v>
      </c>
      <c r="I5" s="4">
        <v>2007</v>
      </c>
      <c r="J5" s="4">
        <v>2008</v>
      </c>
      <c r="K5" s="7">
        <v>2009</v>
      </c>
      <c r="L5" s="4">
        <v>2010</v>
      </c>
      <c r="M5" s="4">
        <v>2011</v>
      </c>
      <c r="N5" s="4">
        <v>2012</v>
      </c>
      <c r="O5" s="4">
        <v>2013</v>
      </c>
      <c r="P5" s="4">
        <v>2014</v>
      </c>
      <c r="Q5" s="4">
        <v>2015</v>
      </c>
      <c r="R5" s="4">
        <v>2016</v>
      </c>
      <c r="S5" s="4">
        <v>2017</v>
      </c>
      <c r="T5" s="4">
        <v>2018</v>
      </c>
      <c r="U5" s="4">
        <v>2019</v>
      </c>
      <c r="V5" s="4">
        <v>2020</v>
      </c>
      <c r="W5" s="4">
        <v>2021</v>
      </c>
      <c r="X5" s="4">
        <v>2022</v>
      </c>
      <c r="Y5" s="4">
        <v>2023</v>
      </c>
      <c r="Z5" s="4">
        <v>2024</v>
      </c>
      <c r="AA5" s="4">
        <v>2025</v>
      </c>
      <c r="AB5" s="4">
        <v>2026</v>
      </c>
      <c r="AC5" s="4">
        <v>2027</v>
      </c>
      <c r="AD5" s="4">
        <v>2028</v>
      </c>
      <c r="AE5" s="4">
        <v>2029</v>
      </c>
      <c r="AF5" s="4">
        <v>2030</v>
      </c>
      <c r="AG5" s="4">
        <v>2031</v>
      </c>
      <c r="AH5" s="4">
        <v>2032</v>
      </c>
      <c r="AI5" s="4">
        <v>2033</v>
      </c>
      <c r="AJ5" s="4">
        <v>2034</v>
      </c>
      <c r="AK5" s="4">
        <v>2035</v>
      </c>
      <c r="AL5" s="4">
        <v>2036</v>
      </c>
      <c r="AM5" s="4">
        <v>2037</v>
      </c>
      <c r="AN5" s="4">
        <v>2038</v>
      </c>
      <c r="AO5" s="4">
        <v>2039</v>
      </c>
      <c r="AP5" s="4">
        <v>2040</v>
      </c>
    </row>
    <row r="6" spans="1:42">
      <c r="A6" s="67" t="s">
        <v>52</v>
      </c>
      <c r="B6" s="3"/>
      <c r="C6" s="3"/>
      <c r="D6" s="3"/>
      <c r="E6" s="3"/>
      <c r="F6" s="3"/>
      <c r="G6" s="3"/>
      <c r="H6" s="3"/>
      <c r="I6" s="3"/>
      <c r="J6" s="3"/>
      <c r="K6" s="68"/>
      <c r="L6" s="21"/>
      <c r="M6" s="21"/>
      <c r="N6" s="2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>
      <c r="A7" s="76" t="s">
        <v>54</v>
      </c>
      <c r="B7" s="2">
        <f>1430+112</f>
        <v>1542</v>
      </c>
      <c r="C7" s="77">
        <f t="shared" ref="C7:C8" si="0">B7/10</f>
        <v>154.19999999999999</v>
      </c>
      <c r="D7" s="3"/>
      <c r="E7" s="3"/>
      <c r="F7" s="3"/>
      <c r="G7" s="3"/>
      <c r="H7" s="3"/>
      <c r="I7" s="3"/>
      <c r="J7" s="3"/>
      <c r="K7" s="68"/>
      <c r="L7" s="12">
        <f t="shared" ref="L7:AK7" si="1">L16</f>
        <v>19247.400000000001</v>
      </c>
      <c r="M7" s="12">
        <f t="shared" si="1"/>
        <v>19332.615252429736</v>
      </c>
      <c r="N7" s="12">
        <f t="shared" si="1"/>
        <v>19332.615252429736</v>
      </c>
      <c r="O7" s="12">
        <f t="shared" si="1"/>
        <v>19332.615252429736</v>
      </c>
      <c r="P7" s="12">
        <f t="shared" si="1"/>
        <v>20127.062414172859</v>
      </c>
      <c r="Q7" s="12">
        <f t="shared" si="1"/>
        <v>20127.062414172859</v>
      </c>
      <c r="R7" s="12">
        <f t="shared" si="1"/>
        <v>20127.062414172859</v>
      </c>
      <c r="S7" s="12">
        <f t="shared" si="1"/>
        <v>19691.841762964643</v>
      </c>
      <c r="T7" s="12">
        <f t="shared" si="1"/>
        <v>20888.116443772509</v>
      </c>
      <c r="U7" s="12">
        <f t="shared" si="1"/>
        <v>20888.116443772509</v>
      </c>
      <c r="V7" s="12">
        <f t="shared" si="1"/>
        <v>21071.668892970105</v>
      </c>
      <c r="W7" s="12">
        <f t="shared" si="1"/>
        <v>21321.710419070594</v>
      </c>
      <c r="X7" s="12">
        <f t="shared" si="1"/>
        <v>24338.488382897944</v>
      </c>
      <c r="Y7" s="12">
        <f t="shared" si="1"/>
        <v>24338.488382897944</v>
      </c>
      <c r="Z7" s="12">
        <f t="shared" si="1"/>
        <v>23596.21177857733</v>
      </c>
      <c r="AA7" s="12">
        <f t="shared" si="1"/>
        <v>23893.525456997115</v>
      </c>
      <c r="AB7" s="12">
        <f t="shared" si="1"/>
        <v>24190.839135416907</v>
      </c>
      <c r="AC7" s="12">
        <f t="shared" si="1"/>
        <v>24360.813876999153</v>
      </c>
      <c r="AD7" s="12">
        <f t="shared" si="1"/>
        <v>24411.119192075341</v>
      </c>
      <c r="AE7" s="12">
        <f t="shared" si="1"/>
        <v>24411.119192075341</v>
      </c>
      <c r="AF7" s="12">
        <f t="shared" si="1"/>
        <v>24583.98448914539</v>
      </c>
      <c r="AG7" s="12">
        <f t="shared" si="1"/>
        <v>24583.98448914539</v>
      </c>
      <c r="AH7" s="12">
        <f t="shared" si="1"/>
        <v>24583.98448914539</v>
      </c>
      <c r="AI7" s="12">
        <f t="shared" si="1"/>
        <v>24583.98448914539</v>
      </c>
      <c r="AJ7" s="12">
        <f t="shared" si="1"/>
        <v>24583.98448914539</v>
      </c>
      <c r="AK7" s="12">
        <f t="shared" si="1"/>
        <v>25209.309625401154</v>
      </c>
      <c r="AL7" s="21"/>
      <c r="AM7" s="21"/>
      <c r="AN7" s="21"/>
      <c r="AO7" s="21"/>
      <c r="AP7" s="21"/>
    </row>
    <row r="8" spans="1:42">
      <c r="A8" s="76" t="s">
        <v>55</v>
      </c>
      <c r="B8" s="2">
        <v>1608</v>
      </c>
      <c r="C8" s="77">
        <f t="shared" si="0"/>
        <v>160.80000000000001</v>
      </c>
      <c r="D8" s="3"/>
      <c r="E8" s="3"/>
      <c r="F8" s="3"/>
      <c r="G8" s="3"/>
      <c r="H8" s="3"/>
      <c r="I8" s="3"/>
      <c r="J8" s="3"/>
      <c r="K8" s="68"/>
      <c r="L8" s="12">
        <f t="shared" ref="L8:L10" si="2">L7-(C7)</f>
        <v>19093.2</v>
      </c>
      <c r="M8" s="12">
        <f t="shared" ref="M8:M10" si="3">M7-(2*C7)</f>
        <v>19024.215252429734</v>
      </c>
      <c r="N8" s="12">
        <f t="shared" ref="N8:N10" si="4">N7-(3*C7)</f>
        <v>18870.015252429737</v>
      </c>
      <c r="O8" s="12">
        <f t="shared" ref="O8:O10" si="5">O7-(4*C7)</f>
        <v>18715.815252429737</v>
      </c>
      <c r="P8" s="12">
        <f t="shared" ref="P8:P10" si="6">P7-(5*C7)</f>
        <v>19356.062414172859</v>
      </c>
      <c r="Q8" s="12">
        <f t="shared" ref="Q8:Q10" si="7">Q7-(6*C7)</f>
        <v>19201.862414172858</v>
      </c>
      <c r="R8" s="12">
        <f t="shared" ref="R8:R10" si="8">R7-(7*C7)</f>
        <v>19047.662414172857</v>
      </c>
      <c r="S8" s="12">
        <f t="shared" ref="S8:S10" si="9">S7-(8*C7)</f>
        <v>18458.241762964644</v>
      </c>
      <c r="T8" s="12">
        <f t="shared" ref="T8:T10" si="10">T7-(9*C7)</f>
        <v>19500.31644377251</v>
      </c>
      <c r="U8" s="12">
        <f>U7-(10*C7)</f>
        <v>19346.116443772509</v>
      </c>
      <c r="V8" s="12">
        <f>V7-(10*$C$7)</f>
        <v>19529.668892970105</v>
      </c>
      <c r="W8" s="12">
        <f>W7-(12*$C$7)</f>
        <v>19471.310419070593</v>
      </c>
      <c r="X8" s="12">
        <f>X7-(13*$C$7)</f>
        <v>22333.888382897945</v>
      </c>
      <c r="Y8" s="12">
        <f>Y7-(14*$C$7)</f>
        <v>22179.688382897944</v>
      </c>
      <c r="Z8" s="12">
        <f>Z7-(15*$C$7)</f>
        <v>21283.21177857733</v>
      </c>
      <c r="AA8" s="12">
        <f>AA7-(16*$C$7)</f>
        <v>21426.325456997114</v>
      </c>
      <c r="AB8" s="12">
        <f>AB7-(17*$C$7)</f>
        <v>21569.439135416906</v>
      </c>
      <c r="AC8" s="12">
        <f>AC7-(18*$C$7)</f>
        <v>21585.213876999154</v>
      </c>
      <c r="AD8" s="12">
        <f>AD7-(19*$C$7)</f>
        <v>21481.319192075342</v>
      </c>
      <c r="AE8" s="12">
        <f>AE7-(20*$C$7)</f>
        <v>21327.119192075341</v>
      </c>
      <c r="AF8" s="12">
        <f>AF7-(21*$C$7)</f>
        <v>21345.78448914539</v>
      </c>
      <c r="AG8" s="12">
        <f>AG7-(22*$C$7)</f>
        <v>21191.584489145389</v>
      </c>
      <c r="AH8" s="12">
        <f>AH7-(23*$C$7)</f>
        <v>21037.384489145392</v>
      </c>
      <c r="AI8" s="12">
        <f>AI7-(24*$C$7)</f>
        <v>20883.184489145391</v>
      </c>
      <c r="AJ8" s="12">
        <f>AJ7-(25*$C$7)</f>
        <v>20728.98448914539</v>
      </c>
      <c r="AK8" s="12">
        <f>AK7-(26*$C$7)</f>
        <v>21200.109625401154</v>
      </c>
      <c r="AL8" s="3"/>
      <c r="AM8" s="3"/>
      <c r="AN8" s="3"/>
      <c r="AO8" s="3"/>
      <c r="AP8" s="3"/>
    </row>
    <row r="9" spans="1:42">
      <c r="A9" s="76" t="s">
        <v>57</v>
      </c>
      <c r="B9" s="2">
        <v>2800</v>
      </c>
      <c r="C9" s="77">
        <f>B9/25</f>
        <v>112</v>
      </c>
      <c r="D9" s="3"/>
      <c r="E9" s="3"/>
      <c r="F9" s="3"/>
      <c r="G9" s="3"/>
      <c r="H9" s="3"/>
      <c r="I9" s="3"/>
      <c r="J9" s="3"/>
      <c r="K9" s="68"/>
      <c r="L9" s="12">
        <f t="shared" si="2"/>
        <v>18932.400000000001</v>
      </c>
      <c r="M9" s="12">
        <f t="shared" si="3"/>
        <v>18702.615252429736</v>
      </c>
      <c r="N9" s="12">
        <f t="shared" si="4"/>
        <v>18387.615252429736</v>
      </c>
      <c r="O9" s="12">
        <f t="shared" si="5"/>
        <v>18072.615252429736</v>
      </c>
      <c r="P9" s="12">
        <f t="shared" si="6"/>
        <v>18552.062414172859</v>
      </c>
      <c r="Q9" s="12">
        <f t="shared" si="7"/>
        <v>18237.062414172859</v>
      </c>
      <c r="R9" s="12">
        <f t="shared" si="8"/>
        <v>17922.062414172859</v>
      </c>
      <c r="S9" s="12">
        <f t="shared" si="9"/>
        <v>17171.841762964643</v>
      </c>
      <c r="T9" s="12">
        <f t="shared" si="10"/>
        <v>18053.116443772509</v>
      </c>
      <c r="U9" s="12">
        <f>U8-(10*$C$8)</f>
        <v>17738.116443772509</v>
      </c>
      <c r="V9" s="12">
        <f>V8-(11*$C$8)</f>
        <v>17760.868892970106</v>
      </c>
      <c r="W9" s="12">
        <f t="shared" ref="W9:AK9" si="11">W8-(10*$C$8)</f>
        <v>17863.310419070593</v>
      </c>
      <c r="X9" s="12">
        <f t="shared" si="11"/>
        <v>20725.888382897945</v>
      </c>
      <c r="Y9" s="12">
        <f t="shared" si="11"/>
        <v>20571.688382897944</v>
      </c>
      <c r="Z9" s="12">
        <f t="shared" si="11"/>
        <v>19675.21177857733</v>
      </c>
      <c r="AA9" s="12">
        <f t="shared" si="11"/>
        <v>19818.325456997114</v>
      </c>
      <c r="AB9" s="12">
        <f t="shared" si="11"/>
        <v>19961.439135416906</v>
      </c>
      <c r="AC9" s="12">
        <f t="shared" si="11"/>
        <v>19977.213876999154</v>
      </c>
      <c r="AD9" s="12">
        <f t="shared" si="11"/>
        <v>19873.319192075342</v>
      </c>
      <c r="AE9" s="12">
        <f t="shared" si="11"/>
        <v>19719.119192075341</v>
      </c>
      <c r="AF9" s="12">
        <f t="shared" si="11"/>
        <v>19737.78448914539</v>
      </c>
      <c r="AG9" s="12">
        <f t="shared" si="11"/>
        <v>19583.584489145389</v>
      </c>
      <c r="AH9" s="12">
        <f t="shared" si="11"/>
        <v>19429.384489145392</v>
      </c>
      <c r="AI9" s="12">
        <f t="shared" si="11"/>
        <v>19275.184489145391</v>
      </c>
      <c r="AJ9" s="12">
        <f t="shared" si="11"/>
        <v>19120.98448914539</v>
      </c>
      <c r="AK9" s="12">
        <f t="shared" si="11"/>
        <v>19592.109625401154</v>
      </c>
      <c r="AL9" s="3"/>
      <c r="AM9" s="3"/>
      <c r="AN9" s="3"/>
      <c r="AO9" s="3"/>
      <c r="AP9" s="3"/>
    </row>
    <row r="10" spans="1:42">
      <c r="A10" s="76" t="s">
        <v>58</v>
      </c>
      <c r="B10" s="2">
        <v>8750</v>
      </c>
      <c r="C10" s="77">
        <f t="shared" ref="C10:C13" si="12">B10/10</f>
        <v>875</v>
      </c>
      <c r="D10" s="3"/>
      <c r="E10" s="3"/>
      <c r="F10" s="3"/>
      <c r="G10" s="3"/>
      <c r="H10" s="3"/>
      <c r="I10" s="3"/>
      <c r="J10" s="3"/>
      <c r="K10" s="11">
        <f>K16-K15</f>
        <v>8486.0000000000018</v>
      </c>
      <c r="L10" s="12">
        <f t="shared" si="2"/>
        <v>18820.400000000001</v>
      </c>
      <c r="M10" s="12">
        <f t="shared" si="3"/>
        <v>18478.615252429736</v>
      </c>
      <c r="N10" s="12">
        <f t="shared" si="4"/>
        <v>18051.615252429736</v>
      </c>
      <c r="O10" s="12">
        <f t="shared" si="5"/>
        <v>17624.615252429736</v>
      </c>
      <c r="P10" s="12">
        <f t="shared" si="6"/>
        <v>17992.062414172859</v>
      </c>
      <c r="Q10" s="12">
        <f t="shared" si="7"/>
        <v>17565.062414172859</v>
      </c>
      <c r="R10" s="12">
        <f t="shared" si="8"/>
        <v>17138.062414172859</v>
      </c>
      <c r="S10" s="12">
        <f t="shared" si="9"/>
        <v>16275.841762964643</v>
      </c>
      <c r="T10" s="12">
        <f t="shared" si="10"/>
        <v>17045.116443772509</v>
      </c>
      <c r="U10" s="12">
        <f t="shared" ref="U10:AK10" si="13">U9-(10*$C$9)</f>
        <v>16618.116443772509</v>
      </c>
      <c r="V10" s="12">
        <f t="shared" si="13"/>
        <v>16640.868892970106</v>
      </c>
      <c r="W10" s="12">
        <f t="shared" si="13"/>
        <v>16743.310419070593</v>
      </c>
      <c r="X10" s="12">
        <f t="shared" si="13"/>
        <v>19605.888382897945</v>
      </c>
      <c r="Y10" s="12">
        <f t="shared" si="13"/>
        <v>19451.688382897944</v>
      </c>
      <c r="Z10" s="12">
        <f t="shared" si="13"/>
        <v>18555.21177857733</v>
      </c>
      <c r="AA10" s="12">
        <f t="shared" si="13"/>
        <v>18698.325456997114</v>
      </c>
      <c r="AB10" s="12">
        <f t="shared" si="13"/>
        <v>18841.439135416906</v>
      </c>
      <c r="AC10" s="12">
        <f t="shared" si="13"/>
        <v>18857.213876999154</v>
      </c>
      <c r="AD10" s="12">
        <f t="shared" si="13"/>
        <v>18753.319192075342</v>
      </c>
      <c r="AE10" s="12">
        <f t="shared" si="13"/>
        <v>18599.119192075341</v>
      </c>
      <c r="AF10" s="12">
        <f t="shared" si="13"/>
        <v>18617.78448914539</v>
      </c>
      <c r="AG10" s="12">
        <f t="shared" si="13"/>
        <v>18463.584489145389</v>
      </c>
      <c r="AH10" s="12">
        <f t="shared" si="13"/>
        <v>18309.384489145392</v>
      </c>
      <c r="AI10" s="12">
        <f t="shared" si="13"/>
        <v>18155.184489145391</v>
      </c>
      <c r="AJ10" s="12">
        <f t="shared" si="13"/>
        <v>18000.98448914539</v>
      </c>
      <c r="AK10" s="12">
        <f t="shared" si="13"/>
        <v>18472.109625401154</v>
      </c>
      <c r="AL10" s="3"/>
      <c r="AM10" s="3"/>
      <c r="AN10" s="3"/>
      <c r="AO10" s="3"/>
      <c r="AP10" s="3"/>
    </row>
    <row r="11" spans="1:42">
      <c r="A11" s="76" t="s">
        <v>59</v>
      </c>
      <c r="B11" s="2">
        <v>1882</v>
      </c>
      <c r="C11" s="77">
        <f t="shared" si="12"/>
        <v>188.2</v>
      </c>
      <c r="D11" s="3"/>
      <c r="E11" s="3"/>
      <c r="F11" s="3"/>
      <c r="G11" s="3"/>
      <c r="H11" s="3"/>
      <c r="I11" s="3"/>
      <c r="J11" s="3"/>
      <c r="K11" s="68"/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f t="shared" ref="V11:Y11" si="14">U11</f>
        <v>0</v>
      </c>
      <c r="W11" s="12">
        <f t="shared" si="14"/>
        <v>0</v>
      </c>
      <c r="X11" s="12">
        <f t="shared" si="14"/>
        <v>0</v>
      </c>
      <c r="Y11" s="12">
        <f t="shared" si="14"/>
        <v>0</v>
      </c>
      <c r="Z11" s="12">
        <f t="shared" ref="Z11:AC11" si="15">Z12+1085</f>
        <v>12624.21177857733</v>
      </c>
      <c r="AA11" s="12">
        <f t="shared" si="15"/>
        <v>12767.325456997114</v>
      </c>
      <c r="AB11" s="12">
        <f t="shared" si="15"/>
        <v>12910.439135416906</v>
      </c>
      <c r="AC11" s="12">
        <f t="shared" si="15"/>
        <v>12926.213876999154</v>
      </c>
      <c r="AD11" s="12">
        <f>AD12+1085+114</f>
        <v>12936.319192075342</v>
      </c>
      <c r="AE11" s="12">
        <f>AE12+1085+(2*114)</f>
        <v>12896.119192075341</v>
      </c>
      <c r="AF11" s="12">
        <f>AF12+1085+(3*114)</f>
        <v>13028.78448914539</v>
      </c>
      <c r="AG11" s="12">
        <f>AG12+1085+(4*114)</f>
        <v>12988.584489145389</v>
      </c>
      <c r="AH11" s="12">
        <f>AH12+1085+(5*114)</f>
        <v>12948.384489145392</v>
      </c>
      <c r="AI11" s="12">
        <f>AI12+1085+(6*114)</f>
        <v>12908.184489145391</v>
      </c>
      <c r="AJ11" s="12">
        <f t="shared" ref="AJ11:AK11" si="16">AJ12+1085+(7*114)</f>
        <v>12867.98448914539</v>
      </c>
      <c r="AK11" s="12">
        <f t="shared" si="16"/>
        <v>13339.109625401154</v>
      </c>
      <c r="AL11" s="3"/>
      <c r="AM11" s="3"/>
      <c r="AN11" s="3"/>
      <c r="AO11" s="3"/>
      <c r="AP11" s="3"/>
    </row>
    <row r="12" spans="1:42">
      <c r="A12" s="76" t="s">
        <v>61</v>
      </c>
      <c r="B12" s="2">
        <v>816</v>
      </c>
      <c r="C12" s="77">
        <f t="shared" si="12"/>
        <v>81.599999999999994</v>
      </c>
      <c r="D12" s="3"/>
      <c r="E12" s="3"/>
      <c r="F12" s="3"/>
      <c r="G12" s="3"/>
      <c r="H12" s="3"/>
      <c r="I12" s="3"/>
      <c r="J12" s="3"/>
      <c r="K12" s="68"/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f t="shared" ref="V12:AK12" si="17">V13+816</f>
        <v>10216</v>
      </c>
      <c r="W12" s="12">
        <f t="shared" si="17"/>
        <v>10216</v>
      </c>
      <c r="X12" s="12">
        <f t="shared" si="17"/>
        <v>12426</v>
      </c>
      <c r="Y12" s="12">
        <f t="shared" si="17"/>
        <v>12435.688382897944</v>
      </c>
      <c r="Z12" s="12">
        <f t="shared" si="17"/>
        <v>11539.21177857733</v>
      </c>
      <c r="AA12" s="12">
        <f t="shared" si="17"/>
        <v>11682.325456997114</v>
      </c>
      <c r="AB12" s="12">
        <f t="shared" si="17"/>
        <v>11825.439135416906</v>
      </c>
      <c r="AC12" s="12">
        <f t="shared" si="17"/>
        <v>11841.213876999154</v>
      </c>
      <c r="AD12" s="12">
        <f t="shared" si="17"/>
        <v>11737.319192075342</v>
      </c>
      <c r="AE12" s="12">
        <f t="shared" si="17"/>
        <v>11583.119192075341</v>
      </c>
      <c r="AF12" s="12">
        <f t="shared" si="17"/>
        <v>11601.78448914539</v>
      </c>
      <c r="AG12" s="12">
        <f t="shared" si="17"/>
        <v>11447.584489145389</v>
      </c>
      <c r="AH12" s="12">
        <f t="shared" si="17"/>
        <v>11293.384489145392</v>
      </c>
      <c r="AI12" s="12">
        <f t="shared" si="17"/>
        <v>11139.184489145391</v>
      </c>
      <c r="AJ12" s="12">
        <f t="shared" si="17"/>
        <v>10984.98448914539</v>
      </c>
      <c r="AK12" s="12">
        <f t="shared" si="17"/>
        <v>11456.109625401154</v>
      </c>
      <c r="AL12" s="3"/>
      <c r="AM12" s="3"/>
      <c r="AN12" s="3"/>
      <c r="AO12" s="3"/>
      <c r="AP12" s="3"/>
    </row>
    <row r="13" spans="1:42">
      <c r="A13" s="76" t="s">
        <v>62</v>
      </c>
      <c r="B13" s="2">
        <v>7502</v>
      </c>
      <c r="C13" s="77">
        <f t="shared" si="12"/>
        <v>750.2</v>
      </c>
      <c r="D13" s="3"/>
      <c r="E13" s="3"/>
      <c r="F13" s="3"/>
      <c r="G13" s="3"/>
      <c r="H13" s="3"/>
      <c r="I13" s="3"/>
      <c r="J13" s="3"/>
      <c r="K13" s="68"/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/>
      <c r="S13" s="12"/>
      <c r="T13" s="12"/>
      <c r="U13" s="12">
        <v>9410</v>
      </c>
      <c r="V13" s="12">
        <v>9400</v>
      </c>
      <c r="W13" s="12">
        <f>V13</f>
        <v>9400</v>
      </c>
      <c r="X13" s="12">
        <f>W13+2210</f>
        <v>11610</v>
      </c>
      <c r="Y13" s="12">
        <f t="shared" ref="Y13:AK13" si="18">Y10-7832</f>
        <v>11619.688382897944</v>
      </c>
      <c r="Z13" s="12">
        <f t="shared" si="18"/>
        <v>10723.21177857733</v>
      </c>
      <c r="AA13" s="12">
        <f t="shared" si="18"/>
        <v>10866.325456997114</v>
      </c>
      <c r="AB13" s="12">
        <f t="shared" si="18"/>
        <v>11009.439135416906</v>
      </c>
      <c r="AC13" s="12">
        <f t="shared" si="18"/>
        <v>11025.213876999154</v>
      </c>
      <c r="AD13" s="12">
        <f t="shared" si="18"/>
        <v>10921.319192075342</v>
      </c>
      <c r="AE13" s="12">
        <f t="shared" si="18"/>
        <v>10767.119192075341</v>
      </c>
      <c r="AF13" s="12">
        <f t="shared" si="18"/>
        <v>10785.78448914539</v>
      </c>
      <c r="AG13" s="12">
        <f t="shared" si="18"/>
        <v>10631.584489145389</v>
      </c>
      <c r="AH13" s="12">
        <f t="shared" si="18"/>
        <v>10477.384489145392</v>
      </c>
      <c r="AI13" s="12">
        <f t="shared" si="18"/>
        <v>10323.184489145391</v>
      </c>
      <c r="AJ13" s="12">
        <f t="shared" si="18"/>
        <v>10168.98448914539</v>
      </c>
      <c r="AK13" s="12">
        <f t="shared" si="18"/>
        <v>10640.109625401154</v>
      </c>
      <c r="AL13" s="3"/>
      <c r="AM13" s="3"/>
      <c r="AN13" s="3"/>
      <c r="AO13" s="3"/>
      <c r="AP13" s="3"/>
    </row>
    <row r="14" spans="1:42">
      <c r="A14" s="76" t="s">
        <v>63</v>
      </c>
      <c r="B14" s="3"/>
      <c r="C14" s="3"/>
      <c r="D14" s="3"/>
      <c r="E14" s="3"/>
      <c r="F14" s="3"/>
      <c r="G14" s="3"/>
      <c r="H14" s="3"/>
      <c r="I14" s="3"/>
      <c r="J14" s="3"/>
      <c r="K14" s="68"/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2870</v>
      </c>
      <c r="V14" s="12">
        <v>2784</v>
      </c>
      <c r="W14" s="12">
        <v>2769</v>
      </c>
      <c r="X14" s="12">
        <v>2786</v>
      </c>
      <c r="Y14" s="12">
        <v>2786</v>
      </c>
      <c r="Z14" s="12">
        <v>2721</v>
      </c>
      <c r="AA14" s="12">
        <v>2736</v>
      </c>
      <c r="AB14" s="12">
        <v>2750</v>
      </c>
      <c r="AC14" s="12">
        <v>2758</v>
      </c>
      <c r="AD14" s="12">
        <v>2758</v>
      </c>
      <c r="AE14" s="12">
        <v>2758</v>
      </c>
      <c r="AF14" s="12">
        <v>2762</v>
      </c>
      <c r="AG14" s="12">
        <v>2762</v>
      </c>
      <c r="AH14" s="12">
        <v>2762</v>
      </c>
      <c r="AI14" s="12">
        <v>2762</v>
      </c>
      <c r="AJ14" s="12">
        <v>2762</v>
      </c>
      <c r="AK14" s="12">
        <v>2792</v>
      </c>
      <c r="AL14" s="12">
        <f t="shared" ref="AL14:AP14" si="19">AL15</f>
        <v>0</v>
      </c>
      <c r="AM14" s="12">
        <f t="shared" si="19"/>
        <v>2777.5806595444496</v>
      </c>
      <c r="AN14" s="12">
        <f t="shared" si="19"/>
        <v>2777.5806595444496</v>
      </c>
      <c r="AO14" s="12">
        <f t="shared" si="19"/>
        <v>2827.4435124192401</v>
      </c>
      <c r="AP14" s="12">
        <f t="shared" si="19"/>
        <v>2827.4435124192401</v>
      </c>
    </row>
    <row r="15" spans="1:42">
      <c r="A15" s="76" t="s">
        <v>64</v>
      </c>
      <c r="B15" s="3"/>
      <c r="C15" s="3"/>
      <c r="D15" s="3"/>
      <c r="E15" s="3"/>
      <c r="F15" s="3"/>
      <c r="G15" s="3"/>
      <c r="H15" s="3"/>
      <c r="I15" s="3"/>
      <c r="J15" s="3"/>
      <c r="K15" s="11">
        <f t="shared" ref="K15:S15" si="20">K27</f>
        <v>10761.4</v>
      </c>
      <c r="L15" s="12">
        <f t="shared" si="20"/>
        <v>9648.8374000000003</v>
      </c>
      <c r="M15" s="12">
        <f t="shared" si="20"/>
        <v>9607.1912121901132</v>
      </c>
      <c r="N15" s="12">
        <f t="shared" si="20"/>
        <v>9590.772866968573</v>
      </c>
      <c r="O15" s="12">
        <f t="shared" si="20"/>
        <v>9576.8988669685732</v>
      </c>
      <c r="P15" s="12">
        <f t="shared" si="20"/>
        <v>9728.3121927688735</v>
      </c>
      <c r="Q15" s="12">
        <f t="shared" si="20"/>
        <v>9714.4381927688737</v>
      </c>
      <c r="R15" s="12">
        <f t="shared" si="20"/>
        <v>9700.5641927688739</v>
      </c>
      <c r="S15" s="12">
        <f t="shared" si="20"/>
        <v>9409.8356873498124</v>
      </c>
      <c r="T15" s="12">
        <v>9410</v>
      </c>
      <c r="U15" s="12">
        <v>9410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f t="shared" ref="AM15:AP15" si="21">AM27</f>
        <v>2777.5806595444496</v>
      </c>
      <c r="AN15" s="12">
        <f t="shared" si="21"/>
        <v>2777.5806595444496</v>
      </c>
      <c r="AO15" s="12">
        <f t="shared" si="21"/>
        <v>2827.4435124192401</v>
      </c>
      <c r="AP15" s="12">
        <f t="shared" si="21"/>
        <v>2827.4435124192401</v>
      </c>
    </row>
    <row r="16" spans="1:42">
      <c r="A16" s="76" t="s">
        <v>65</v>
      </c>
      <c r="B16" s="3"/>
      <c r="C16" s="3"/>
      <c r="D16" s="3"/>
      <c r="E16" s="3"/>
      <c r="F16" s="3"/>
      <c r="G16" s="3"/>
      <c r="H16" s="3"/>
      <c r="I16" s="3"/>
      <c r="J16" s="3"/>
      <c r="K16" s="11">
        <f t="shared" ref="K16:AP16" si="22">K28</f>
        <v>19247.400000000001</v>
      </c>
      <c r="L16" s="12">
        <f t="shared" si="22"/>
        <v>19247.400000000001</v>
      </c>
      <c r="M16" s="12">
        <f t="shared" si="22"/>
        <v>19332.615252429736</v>
      </c>
      <c r="N16" s="12">
        <f t="shared" si="22"/>
        <v>19332.615252429736</v>
      </c>
      <c r="O16" s="12">
        <f t="shared" si="22"/>
        <v>19332.615252429736</v>
      </c>
      <c r="P16" s="12">
        <f t="shared" si="22"/>
        <v>20127.062414172859</v>
      </c>
      <c r="Q16" s="12">
        <f t="shared" si="22"/>
        <v>20127.062414172859</v>
      </c>
      <c r="R16" s="12">
        <f t="shared" si="22"/>
        <v>20127.062414172859</v>
      </c>
      <c r="S16" s="12">
        <f t="shared" si="22"/>
        <v>19691.841762964643</v>
      </c>
      <c r="T16" s="12">
        <f t="shared" si="22"/>
        <v>20888.116443772509</v>
      </c>
      <c r="U16" s="12">
        <f t="shared" si="22"/>
        <v>20888.116443772509</v>
      </c>
      <c r="V16" s="12">
        <f t="shared" si="22"/>
        <v>21071.668892970105</v>
      </c>
      <c r="W16" s="12">
        <f t="shared" si="22"/>
        <v>21321.710419070594</v>
      </c>
      <c r="X16" s="12">
        <f t="shared" si="22"/>
        <v>24338.488382897944</v>
      </c>
      <c r="Y16" s="12">
        <f t="shared" si="22"/>
        <v>24338.488382897944</v>
      </c>
      <c r="Z16" s="12">
        <f t="shared" si="22"/>
        <v>23596.21177857733</v>
      </c>
      <c r="AA16" s="12">
        <f t="shared" si="22"/>
        <v>23893.525456997115</v>
      </c>
      <c r="AB16" s="12">
        <f t="shared" si="22"/>
        <v>24190.839135416907</v>
      </c>
      <c r="AC16" s="12">
        <f t="shared" si="22"/>
        <v>24360.813876999153</v>
      </c>
      <c r="AD16" s="12">
        <f t="shared" si="22"/>
        <v>24411.119192075341</v>
      </c>
      <c r="AE16" s="12">
        <f t="shared" si="22"/>
        <v>24411.119192075341</v>
      </c>
      <c r="AF16" s="12">
        <f t="shared" si="22"/>
        <v>24583.98448914539</v>
      </c>
      <c r="AG16" s="12">
        <f t="shared" si="22"/>
        <v>24583.98448914539</v>
      </c>
      <c r="AH16" s="12">
        <f t="shared" si="22"/>
        <v>24583.98448914539</v>
      </c>
      <c r="AI16" s="12">
        <f t="shared" si="22"/>
        <v>24583.98448914539</v>
      </c>
      <c r="AJ16" s="12">
        <f t="shared" si="22"/>
        <v>24583.98448914539</v>
      </c>
      <c r="AK16" s="12">
        <f t="shared" si="22"/>
        <v>25209.309625401154</v>
      </c>
      <c r="AL16" s="12">
        <f t="shared" si="22"/>
        <v>25209.309625401154</v>
      </c>
      <c r="AM16" s="12">
        <f t="shared" si="22"/>
        <v>25209.309625401154</v>
      </c>
      <c r="AN16" s="12">
        <f t="shared" si="22"/>
        <v>25209.309625401154</v>
      </c>
      <c r="AO16" s="12">
        <f t="shared" si="22"/>
        <v>26198.46029547846</v>
      </c>
      <c r="AP16" s="12">
        <f t="shared" si="22"/>
        <v>26198.46029547846</v>
      </c>
    </row>
    <row r="17" spans="1:42">
      <c r="A17" s="3"/>
      <c r="B17" s="3"/>
      <c r="C17" s="3"/>
      <c r="D17" s="3"/>
      <c r="E17" s="3"/>
      <c r="F17" s="3"/>
      <c r="G17" s="3"/>
      <c r="H17" s="3"/>
      <c r="I17" s="3"/>
      <c r="J17" s="3"/>
      <c r="K17" s="6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15.75" customHeight="1">
      <c r="A18" s="3" t="s">
        <v>51</v>
      </c>
      <c r="B18" s="3"/>
      <c r="C18" s="3"/>
      <c r="D18" s="3"/>
      <c r="E18" s="3"/>
      <c r="F18" s="3"/>
      <c r="G18" s="3"/>
      <c r="H18" s="3"/>
      <c r="I18" s="3"/>
      <c r="J18" s="3"/>
      <c r="K18" s="6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15.75" customHeight="1">
      <c r="A19" s="57" t="s">
        <v>7</v>
      </c>
      <c r="B19" s="69">
        <f t="shared" ref="B19:AP19" si="23">B37</f>
        <v>727.9</v>
      </c>
      <c r="C19" s="69">
        <f t="shared" si="23"/>
        <v>720.2</v>
      </c>
      <c r="D19" s="69">
        <f t="shared" si="23"/>
        <v>725.5</v>
      </c>
      <c r="E19" s="69">
        <f t="shared" si="23"/>
        <v>715.6</v>
      </c>
      <c r="F19" s="69">
        <f t="shared" si="23"/>
        <v>723</v>
      </c>
      <c r="G19" s="69">
        <f t="shared" si="23"/>
        <v>713.2</v>
      </c>
      <c r="H19" s="69">
        <f t="shared" si="23"/>
        <v>729.6</v>
      </c>
      <c r="I19" s="69">
        <f t="shared" si="23"/>
        <v>754</v>
      </c>
      <c r="J19" s="69">
        <f t="shared" si="23"/>
        <v>725.6</v>
      </c>
      <c r="K19" s="70">
        <f t="shared" si="23"/>
        <v>725.6</v>
      </c>
      <c r="L19" s="25">
        <f t="shared" si="23"/>
        <v>725.6</v>
      </c>
      <c r="M19" s="25">
        <f t="shared" si="23"/>
        <v>725.6</v>
      </c>
      <c r="N19" s="25">
        <f t="shared" si="23"/>
        <v>725.6</v>
      </c>
      <c r="O19" s="25">
        <f t="shared" si="23"/>
        <v>725.6</v>
      </c>
      <c r="P19" s="25">
        <f t="shared" si="23"/>
        <v>725.6</v>
      </c>
      <c r="Q19" s="25">
        <f t="shared" si="23"/>
        <v>725.6</v>
      </c>
      <c r="R19" s="25">
        <f t="shared" si="23"/>
        <v>725.6</v>
      </c>
      <c r="S19" s="25">
        <f t="shared" si="23"/>
        <v>725.6</v>
      </c>
      <c r="T19" s="25">
        <f t="shared" si="23"/>
        <v>725.6</v>
      </c>
      <c r="U19" s="25">
        <f t="shared" si="23"/>
        <v>725.6</v>
      </c>
      <c r="V19" s="25">
        <f t="shared" si="23"/>
        <v>725.6</v>
      </c>
      <c r="W19" s="25">
        <f t="shared" si="23"/>
        <v>725.6</v>
      </c>
      <c r="X19" s="25">
        <f t="shared" si="23"/>
        <v>725.6</v>
      </c>
      <c r="Y19" s="25">
        <f t="shared" si="23"/>
        <v>725.6</v>
      </c>
      <c r="Z19" s="25">
        <f t="shared" si="23"/>
        <v>725.6</v>
      </c>
      <c r="AA19" s="25">
        <f t="shared" si="23"/>
        <v>725.6</v>
      </c>
      <c r="AB19" s="25">
        <f t="shared" si="23"/>
        <v>725.6</v>
      </c>
      <c r="AC19" s="25">
        <f t="shared" si="23"/>
        <v>725.6</v>
      </c>
      <c r="AD19" s="25">
        <f t="shared" si="23"/>
        <v>725.6</v>
      </c>
      <c r="AE19" s="25">
        <f t="shared" si="23"/>
        <v>725.6</v>
      </c>
      <c r="AF19" s="25">
        <f t="shared" si="23"/>
        <v>725.6</v>
      </c>
      <c r="AG19" s="25">
        <f t="shared" si="23"/>
        <v>725.6</v>
      </c>
      <c r="AH19" s="25">
        <f t="shared" si="23"/>
        <v>725.6</v>
      </c>
      <c r="AI19" s="25">
        <f t="shared" si="23"/>
        <v>725.6</v>
      </c>
      <c r="AJ19" s="25">
        <f t="shared" si="23"/>
        <v>725.6</v>
      </c>
      <c r="AK19" s="25">
        <f t="shared" si="23"/>
        <v>725.6</v>
      </c>
      <c r="AL19" s="25">
        <f t="shared" si="23"/>
        <v>725.6</v>
      </c>
      <c r="AM19" s="25">
        <f t="shared" si="23"/>
        <v>725.6</v>
      </c>
      <c r="AN19" s="25">
        <f t="shared" si="23"/>
        <v>725.6</v>
      </c>
      <c r="AO19" s="25">
        <f t="shared" si="23"/>
        <v>725.6</v>
      </c>
      <c r="AP19" s="27">
        <f t="shared" si="23"/>
        <v>725.6</v>
      </c>
    </row>
    <row r="20" spans="1:42">
      <c r="A20" s="71" t="s">
        <v>9</v>
      </c>
      <c r="B20" s="72">
        <f t="shared" ref="B20:K20" si="24">B36</f>
        <v>1000</v>
      </c>
      <c r="C20" s="72">
        <f t="shared" si="24"/>
        <v>1000</v>
      </c>
      <c r="D20" s="72">
        <f t="shared" si="24"/>
        <v>1000</v>
      </c>
      <c r="E20" s="72">
        <f t="shared" si="24"/>
        <v>1000</v>
      </c>
      <c r="F20" s="72">
        <f t="shared" si="24"/>
        <v>1000</v>
      </c>
      <c r="G20" s="72">
        <f t="shared" si="24"/>
        <v>1000</v>
      </c>
      <c r="H20" s="72">
        <f t="shared" si="24"/>
        <v>1000</v>
      </c>
      <c r="I20" s="72">
        <f t="shared" si="24"/>
        <v>1000</v>
      </c>
      <c r="J20" s="72">
        <f t="shared" si="24"/>
        <v>1000</v>
      </c>
      <c r="K20" s="73">
        <f t="shared" si="24"/>
        <v>1022.5</v>
      </c>
      <c r="L20" s="72">
        <f>'BAU Data'!L11</f>
        <v>1022.5</v>
      </c>
      <c r="M20" s="72">
        <f>'BAU Data'!M11</f>
        <v>1022.5</v>
      </c>
      <c r="N20" s="72">
        <f>'BAU Data'!N11</f>
        <v>1022.5</v>
      </c>
      <c r="O20" s="72">
        <f>'BAU Data'!O11</f>
        <v>1022.5</v>
      </c>
      <c r="P20" s="72">
        <f>'BAU Data'!P11</f>
        <v>1022.5</v>
      </c>
      <c r="Q20" s="72">
        <f>'BAU Data'!Q11</f>
        <v>1022.5</v>
      </c>
      <c r="R20" s="72">
        <f>'BAU Data'!R11</f>
        <v>1022.5</v>
      </c>
      <c r="S20" s="72">
        <f>'BAU Data'!S11</f>
        <v>1022.5</v>
      </c>
      <c r="T20" s="72">
        <f>'BAU Data'!T11</f>
        <v>1022.5</v>
      </c>
      <c r="U20" s="72">
        <f>'BAU Data'!U11</f>
        <v>1022.5</v>
      </c>
      <c r="V20" s="72">
        <f>'BAU Data'!V11</f>
        <v>1022.5</v>
      </c>
      <c r="W20" s="72">
        <f>'BAU Data'!W11</f>
        <v>1022.5</v>
      </c>
      <c r="X20" s="72">
        <f>'BAU Data'!X11</f>
        <v>1022.5</v>
      </c>
      <c r="Y20" s="72">
        <f>'BAU Data'!Y11</f>
        <v>1022.5</v>
      </c>
      <c r="Z20" s="72">
        <f>'BAU Data'!Z11</f>
        <v>1022.5</v>
      </c>
      <c r="AA20" s="72">
        <f>'BAU Data'!AA11</f>
        <v>1022.5</v>
      </c>
      <c r="AB20" s="72">
        <f>'BAU Data'!AB11</f>
        <v>1022.5</v>
      </c>
      <c r="AC20" s="72">
        <f>'BAU Data'!AC11</f>
        <v>1022.5</v>
      </c>
      <c r="AD20" s="72">
        <f>'BAU Data'!AD11</f>
        <v>1022.5</v>
      </c>
      <c r="AE20" s="72">
        <f>'BAU Data'!AE11</f>
        <v>1022.5</v>
      </c>
      <c r="AF20" s="72">
        <f>'BAU Data'!AF11</f>
        <v>1022.5</v>
      </c>
      <c r="AG20" s="72">
        <f>'BAU Data'!AG11</f>
        <v>1022.5</v>
      </c>
      <c r="AH20" s="72">
        <f>'BAU Data'!AH11</f>
        <v>1022.5</v>
      </c>
      <c r="AI20" s="72">
        <f>'BAU Data'!AI11</f>
        <v>1022.5</v>
      </c>
      <c r="AJ20" s="72">
        <f>'BAU Data'!AJ11</f>
        <v>1022.5</v>
      </c>
      <c r="AK20" s="72">
        <f>'BAU Data'!AK11</f>
        <v>1022.5</v>
      </c>
      <c r="AL20" s="72">
        <f>'BAU Data'!AL11</f>
        <v>1022.5</v>
      </c>
      <c r="AM20" s="72">
        <f>'BAU Data'!AM11</f>
        <v>1022.5</v>
      </c>
      <c r="AN20" s="72">
        <f>'BAU Data'!AN11</f>
        <v>1022.5</v>
      </c>
      <c r="AO20" s="72">
        <f>'BAU Data'!AO11</f>
        <v>1022.5</v>
      </c>
      <c r="AP20" s="74">
        <f>'BAU Data'!AP11</f>
        <v>1022.5</v>
      </c>
    </row>
    <row r="21" spans="1:42">
      <c r="A21" s="75" t="s">
        <v>67</v>
      </c>
      <c r="B21" s="18">
        <f t="shared" ref="B21:K21" si="25">B34</f>
        <v>295</v>
      </c>
      <c r="C21" s="18">
        <f t="shared" si="25"/>
        <v>346.1</v>
      </c>
      <c r="D21" s="18">
        <f t="shared" si="25"/>
        <v>404.2</v>
      </c>
      <c r="E21" s="18">
        <f t="shared" si="25"/>
        <v>424.3</v>
      </c>
      <c r="F21" s="18">
        <f t="shared" si="25"/>
        <v>423.5</v>
      </c>
      <c r="G21" s="18">
        <f t="shared" si="25"/>
        <v>441.7</v>
      </c>
      <c r="H21" s="18">
        <f t="shared" si="25"/>
        <v>421.4</v>
      </c>
      <c r="I21" s="18">
        <f t="shared" si="25"/>
        <v>289.8</v>
      </c>
      <c r="J21" s="18">
        <f t="shared" si="25"/>
        <v>297.8</v>
      </c>
      <c r="K21" s="19">
        <f t="shared" si="25"/>
        <v>294.10000000000002</v>
      </c>
      <c r="L21" s="18">
        <v>7.5</v>
      </c>
      <c r="M21" s="18">
        <v>7.5</v>
      </c>
      <c r="N21" s="18">
        <v>7.5</v>
      </c>
      <c r="O21" s="18">
        <v>7.5</v>
      </c>
      <c r="P21" s="18">
        <v>7.5</v>
      </c>
      <c r="Q21" s="18">
        <v>7.5</v>
      </c>
      <c r="R21" s="18">
        <v>7.5</v>
      </c>
      <c r="S21" s="18">
        <v>7.5</v>
      </c>
      <c r="T21" s="18">
        <v>7.5</v>
      </c>
      <c r="U21" s="18">
        <v>7.5</v>
      </c>
      <c r="V21" s="18">
        <v>7.5</v>
      </c>
      <c r="W21" s="18">
        <v>7.5</v>
      </c>
      <c r="X21" s="18">
        <v>7.5</v>
      </c>
      <c r="Y21" s="18">
        <v>7.5</v>
      </c>
      <c r="Z21" s="18">
        <v>7.5</v>
      </c>
      <c r="AA21" s="18">
        <v>7.5</v>
      </c>
      <c r="AB21" s="18">
        <v>7.5</v>
      </c>
      <c r="AC21" s="18">
        <v>7.5</v>
      </c>
      <c r="AD21" s="18">
        <v>7.5</v>
      </c>
      <c r="AE21" s="18">
        <v>7.5</v>
      </c>
      <c r="AF21" s="18">
        <v>7.5</v>
      </c>
      <c r="AG21" s="18">
        <v>7.5</v>
      </c>
      <c r="AH21" s="18">
        <v>7.5</v>
      </c>
      <c r="AI21" s="18">
        <v>7.5</v>
      </c>
      <c r="AJ21" s="18">
        <v>7.5</v>
      </c>
      <c r="AK21" s="18">
        <v>7.5</v>
      </c>
      <c r="AL21" s="18">
        <v>7.5</v>
      </c>
      <c r="AM21" s="18">
        <v>7.5</v>
      </c>
      <c r="AN21" s="18">
        <v>7.5</v>
      </c>
      <c r="AO21" s="18">
        <v>7.5</v>
      </c>
      <c r="AP21" s="78">
        <v>7.5</v>
      </c>
    </row>
    <row r="22" spans="1:42">
      <c r="A22" s="47" t="s">
        <v>6</v>
      </c>
      <c r="B22" s="77">
        <f t="shared" ref="B22:AP22" si="26">B33</f>
        <v>160</v>
      </c>
      <c r="C22" s="77">
        <f t="shared" si="26"/>
        <v>160</v>
      </c>
      <c r="D22" s="77">
        <f t="shared" si="26"/>
        <v>160</v>
      </c>
      <c r="E22" s="77">
        <f t="shared" si="26"/>
        <v>160</v>
      </c>
      <c r="F22" s="77">
        <f t="shared" si="26"/>
        <v>160</v>
      </c>
      <c r="G22" s="77">
        <f t="shared" si="26"/>
        <v>160</v>
      </c>
      <c r="H22" s="77">
        <f t="shared" si="26"/>
        <v>160</v>
      </c>
      <c r="I22" s="77">
        <f t="shared" si="26"/>
        <v>160</v>
      </c>
      <c r="J22" s="77">
        <f t="shared" si="26"/>
        <v>160</v>
      </c>
      <c r="K22" s="79">
        <f t="shared" si="26"/>
        <v>160</v>
      </c>
      <c r="L22" s="12">
        <f t="shared" si="26"/>
        <v>160</v>
      </c>
      <c r="M22" s="12">
        <f t="shared" si="26"/>
        <v>160.78010878617025</v>
      </c>
      <c r="N22" s="12">
        <f t="shared" si="26"/>
        <v>160.78010878617025</v>
      </c>
      <c r="O22" s="12">
        <f t="shared" si="26"/>
        <v>160.78010878617025</v>
      </c>
      <c r="P22" s="12">
        <f t="shared" si="26"/>
        <v>168.04812231065623</v>
      </c>
      <c r="Q22" s="12">
        <f t="shared" si="26"/>
        <v>168.04812231065623</v>
      </c>
      <c r="R22" s="12">
        <f t="shared" si="26"/>
        <v>168.04812231065623</v>
      </c>
      <c r="S22" s="12">
        <f t="shared" si="26"/>
        <v>164.06748721109159</v>
      </c>
      <c r="T22" s="12">
        <f t="shared" si="26"/>
        <v>175.01293355358405</v>
      </c>
      <c r="U22" s="12">
        <f t="shared" si="26"/>
        <v>175.01293355358405</v>
      </c>
      <c r="V22" s="12">
        <f t="shared" si="26"/>
        <v>176.69276780647061</v>
      </c>
      <c r="W22" s="12">
        <f t="shared" si="26"/>
        <v>178.98108691256996</v>
      </c>
      <c r="X22" s="12">
        <f t="shared" si="26"/>
        <v>186.66391028228887</v>
      </c>
      <c r="Y22" s="12">
        <f t="shared" si="26"/>
        <v>186.66391028228887</v>
      </c>
      <c r="Z22" s="12">
        <f t="shared" si="26"/>
        <v>179.8752996105307</v>
      </c>
      <c r="AA22" s="12">
        <f t="shared" si="26"/>
        <v>182.59527891164424</v>
      </c>
      <c r="AB22" s="12">
        <f t="shared" si="26"/>
        <v>185.31525821275778</v>
      </c>
      <c r="AC22" s="12">
        <f t="shared" si="26"/>
        <v>186.87027505985711</v>
      </c>
      <c r="AD22" s="12">
        <f t="shared" si="26"/>
        <v>186.87027505985711</v>
      </c>
      <c r="AE22" s="12">
        <f t="shared" si="26"/>
        <v>186.87027505985711</v>
      </c>
      <c r="AF22" s="12">
        <f t="shared" si="26"/>
        <v>188.4522316637055</v>
      </c>
      <c r="AG22" s="12">
        <f t="shared" si="26"/>
        <v>188.4522316637055</v>
      </c>
      <c r="AH22" s="12">
        <f t="shared" si="26"/>
        <v>188.4522316637055</v>
      </c>
      <c r="AI22" s="12">
        <f t="shared" si="26"/>
        <v>188.4522316637055</v>
      </c>
      <c r="AJ22" s="12">
        <f t="shared" si="26"/>
        <v>188.4522316637055</v>
      </c>
      <c r="AK22" s="12">
        <f t="shared" si="26"/>
        <v>194.17302942895387</v>
      </c>
      <c r="AL22" s="12">
        <f t="shared" si="26"/>
        <v>194.17302942895387</v>
      </c>
      <c r="AM22" s="12">
        <f t="shared" si="26"/>
        <v>194.17302942895387</v>
      </c>
      <c r="AN22" s="12">
        <f t="shared" si="26"/>
        <v>194.17302942895387</v>
      </c>
      <c r="AO22" s="12">
        <f t="shared" si="26"/>
        <v>203.22229134852856</v>
      </c>
      <c r="AP22" s="30">
        <f t="shared" si="26"/>
        <v>203.22229134852856</v>
      </c>
    </row>
    <row r="23" spans="1:42">
      <c r="A23" s="80" t="s">
        <v>5</v>
      </c>
      <c r="B23" s="77">
        <f t="shared" ref="B23:AP23" si="27">B32</f>
        <v>127.5</v>
      </c>
      <c r="C23" s="77">
        <f t="shared" si="27"/>
        <v>178.6</v>
      </c>
      <c r="D23" s="77">
        <f t="shared" si="27"/>
        <v>236.7</v>
      </c>
      <c r="E23" s="77">
        <f t="shared" si="27"/>
        <v>256.8</v>
      </c>
      <c r="F23" s="77">
        <f t="shared" si="27"/>
        <v>256</v>
      </c>
      <c r="G23" s="77">
        <f t="shared" si="27"/>
        <v>274.2</v>
      </c>
      <c r="H23" s="77">
        <f t="shared" si="27"/>
        <v>253.9</v>
      </c>
      <c r="I23" s="77">
        <f t="shared" si="27"/>
        <v>122.3</v>
      </c>
      <c r="J23" s="77">
        <f t="shared" si="27"/>
        <v>130.30000000000001</v>
      </c>
      <c r="K23" s="79">
        <f t="shared" si="27"/>
        <v>126.6</v>
      </c>
      <c r="L23" s="77">
        <f t="shared" si="27"/>
        <v>126.59999999999998</v>
      </c>
      <c r="M23" s="77">
        <f t="shared" si="27"/>
        <v>127.21726107705717</v>
      </c>
      <c r="N23" s="77">
        <f t="shared" si="27"/>
        <v>124.67291585551602</v>
      </c>
      <c r="O23" s="77">
        <f t="shared" si="27"/>
        <v>124.67291585551602</v>
      </c>
      <c r="P23" s="77">
        <f t="shared" si="27"/>
        <v>130.30871524274056</v>
      </c>
      <c r="Q23" s="77">
        <f t="shared" si="27"/>
        <v>130.30871524274056</v>
      </c>
      <c r="R23" s="77">
        <f t="shared" si="27"/>
        <v>130.30871524274056</v>
      </c>
      <c r="S23" s="77">
        <f t="shared" si="27"/>
        <v>127.22203127066068</v>
      </c>
      <c r="T23" s="77">
        <f t="shared" si="27"/>
        <v>135.70940400078788</v>
      </c>
      <c r="U23" s="77">
        <f t="shared" si="27"/>
        <v>135.70940400078788</v>
      </c>
      <c r="V23" s="77">
        <f t="shared" si="27"/>
        <v>137.01198947633247</v>
      </c>
      <c r="W23" s="77">
        <f t="shared" si="27"/>
        <v>138.78640931917954</v>
      </c>
      <c r="X23" s="77">
        <f t="shared" si="27"/>
        <v>144.74386263064383</v>
      </c>
      <c r="Y23" s="77">
        <f t="shared" si="27"/>
        <v>144.74386263064383</v>
      </c>
      <c r="Z23" s="77">
        <f t="shared" si="27"/>
        <v>139.47980420049572</v>
      </c>
      <c r="AA23" s="77">
        <f t="shared" si="27"/>
        <v>141.58894415006171</v>
      </c>
      <c r="AB23" s="77">
        <f t="shared" si="27"/>
        <v>143.69808409962766</v>
      </c>
      <c r="AC23" s="77">
        <f t="shared" si="27"/>
        <v>144.90388303828968</v>
      </c>
      <c r="AD23" s="77">
        <f t="shared" si="27"/>
        <v>144.90388303828968</v>
      </c>
      <c r="AE23" s="77">
        <f t="shared" si="27"/>
        <v>144.90388303828968</v>
      </c>
      <c r="AF23" s="77">
        <f t="shared" si="27"/>
        <v>146.1305717378288</v>
      </c>
      <c r="AG23" s="77">
        <f t="shared" si="27"/>
        <v>146.1305717378288</v>
      </c>
      <c r="AH23" s="77">
        <f t="shared" si="27"/>
        <v>146.1305717378288</v>
      </c>
      <c r="AI23" s="77">
        <f t="shared" si="27"/>
        <v>146.1305717378288</v>
      </c>
      <c r="AJ23" s="77">
        <f t="shared" si="27"/>
        <v>146.1305717378288</v>
      </c>
      <c r="AK23" s="77">
        <f t="shared" si="27"/>
        <v>150.56662134494653</v>
      </c>
      <c r="AL23" s="77">
        <f t="shared" si="27"/>
        <v>150.56662134494653</v>
      </c>
      <c r="AM23" s="77">
        <f t="shared" si="27"/>
        <v>150.56662134494653</v>
      </c>
      <c r="AN23" s="77">
        <f t="shared" si="27"/>
        <v>150.56662134494653</v>
      </c>
      <c r="AO23" s="77">
        <f t="shared" si="27"/>
        <v>157.58364526893274</v>
      </c>
      <c r="AP23" s="81">
        <f t="shared" si="27"/>
        <v>157.58364526893274</v>
      </c>
    </row>
    <row r="24" spans="1:42">
      <c r="A24" s="80" t="s">
        <v>56</v>
      </c>
      <c r="B24" s="77">
        <f>'Mitigation Data Scenario 3 '!B12</f>
        <v>887.1</v>
      </c>
      <c r="C24" s="77">
        <f>'Mitigation Data Scenario 3 '!C12</f>
        <v>857.8</v>
      </c>
      <c r="D24" s="77">
        <f>'Mitigation Data Scenario 3 '!D12</f>
        <v>887</v>
      </c>
      <c r="E24" s="77">
        <f>'Mitigation Data Scenario 3 '!E12</f>
        <v>881.9</v>
      </c>
      <c r="F24" s="77">
        <f>'Mitigation Data Scenario 3 '!F12</f>
        <v>853.1</v>
      </c>
      <c r="G24" s="77">
        <f>'Mitigation Data Scenario 3 '!G12</f>
        <v>872</v>
      </c>
      <c r="H24" s="77">
        <f>'Mitigation Data Scenario 3 '!H12</f>
        <v>874.3</v>
      </c>
      <c r="I24" s="77">
        <f>'Mitigation Data Scenario 3 '!I12</f>
        <v>795.2</v>
      </c>
      <c r="J24" s="77">
        <f>'Mitigation Data Scenario 3 '!J12</f>
        <v>840.8</v>
      </c>
      <c r="K24" s="79">
        <f>'Mitigation Data Scenario 3 '!K12</f>
        <v>847.6</v>
      </c>
      <c r="L24" s="77">
        <f>'Mitigation Data Scenario 3 '!L12</f>
        <v>744.63739999999996</v>
      </c>
      <c r="M24" s="77">
        <f>'Mitigation Data Scenario 3 '!M12</f>
        <v>727.84399480093828</v>
      </c>
      <c r="N24" s="77">
        <f>'Mitigation Data Scenario 3 '!N12</f>
        <v>713.96999480093825</v>
      </c>
      <c r="O24" s="77">
        <f>'Mitigation Data Scenario 3 '!O12</f>
        <v>700.09599480093834</v>
      </c>
      <c r="P24" s="77">
        <f>'Mitigation Data Scenario 3 '!P12</f>
        <v>605.09263856042537</v>
      </c>
      <c r="Q24" s="77">
        <f>'Mitigation Data Scenario 3 '!Q12</f>
        <v>591.21863856042546</v>
      </c>
      <c r="R24" s="77">
        <f>'Mitigation Data Scenario 3 '!R12</f>
        <v>577.34463856042544</v>
      </c>
      <c r="S24" s="77">
        <f>'Mitigation Data Scenario 3 '!S12</f>
        <v>518.98695193622461</v>
      </c>
      <c r="T24" s="77">
        <f>'Mitigation Data Scenario 3 '!T12</f>
        <v>530.28126000658347</v>
      </c>
      <c r="U24" s="77">
        <f>'Mitigation Data Scenario 3 '!U12</f>
        <v>498.30934008776893</v>
      </c>
      <c r="V24" s="77">
        <f>'Mitigation Data Scenario 3 '!V12</f>
        <v>408.80589689141885</v>
      </c>
      <c r="W24" s="77">
        <f>'Mitigation Data Scenario 3 '!W12</f>
        <v>390.09874856284023</v>
      </c>
      <c r="X24" s="77">
        <f>'Mitigation Data Scenario 3 '!X12</f>
        <v>392.80568258129</v>
      </c>
      <c r="Y24" s="77">
        <f>'Mitigation Data Scenario 3 '!Y12</f>
        <v>392.80568258129</v>
      </c>
      <c r="Z24" s="77">
        <f>'Mitigation Data Scenario 3 '!Z12</f>
        <v>339.70824997597833</v>
      </c>
      <c r="AA24" s="77">
        <f>'Mitigation Data Scenario 3 '!AA12</f>
        <v>349.58598678185444</v>
      </c>
      <c r="AB24" s="77">
        <f>'Mitigation Data Scenario 3 '!AB12</f>
        <v>359.4637235877305</v>
      </c>
      <c r="AC24" s="77">
        <f>'Mitigation Data Scenario 3 '!AC12</f>
        <v>365.1108427176672</v>
      </c>
      <c r="AD24" s="77">
        <f>'Mitigation Data Scenario 3 '!AD12</f>
        <v>365.1108427176672</v>
      </c>
      <c r="AE24" s="77">
        <f>'Mitigation Data Scenario 3 '!AE12</f>
        <v>365.1108427176672</v>
      </c>
      <c r="AF24" s="77">
        <f>'Mitigation Data Scenario 3 '!AF12</f>
        <v>365.32790500587589</v>
      </c>
      <c r="AG24" s="77">
        <f>'Mitigation Data Scenario 3 '!AG12</f>
        <v>365.32790500587589</v>
      </c>
      <c r="AH24" s="77">
        <f>'Mitigation Data Scenario 3 '!AH12</f>
        <v>365.32790500587589</v>
      </c>
      <c r="AI24" s="77">
        <f>'Mitigation Data Scenario 3 '!AI12</f>
        <v>365.32790500587589</v>
      </c>
      <c r="AJ24" s="77">
        <f>'Mitigation Data Scenario 3 '!AJ12</f>
        <v>365.32790500587589</v>
      </c>
      <c r="AK24" s="77">
        <f>'Mitigation Data Scenario 3 '!AK12</f>
        <v>386.10325966450625</v>
      </c>
      <c r="AL24" s="77">
        <f>'Mitigation Data Scenario 3 '!AL12</f>
        <v>371.33735966450621</v>
      </c>
      <c r="AM24" s="77">
        <f>'Mitigation Data Scenario 3 '!AM12</f>
        <v>371.33735966450621</v>
      </c>
      <c r="AN24" s="77">
        <f>'Mitigation Data Scenario 3 '!AN12</f>
        <v>371.33735966450621</v>
      </c>
      <c r="AO24" s="77">
        <f>'Mitigation Data Scenario 3 '!AO12</f>
        <v>404.20019339724848</v>
      </c>
      <c r="AP24" s="81">
        <f>'Mitigation Data Scenario 3 '!AP12</f>
        <v>404.20019339724848</v>
      </c>
    </row>
    <row r="25" spans="1:42">
      <c r="A25" s="80" t="s">
        <v>4</v>
      </c>
      <c r="B25" s="77">
        <f t="shared" ref="B25:AP25" si="28">B31</f>
        <v>8261.9</v>
      </c>
      <c r="C25" s="77">
        <f t="shared" si="28"/>
        <v>8092.7</v>
      </c>
      <c r="D25" s="77">
        <f t="shared" si="28"/>
        <v>7895.3</v>
      </c>
      <c r="E25" s="77">
        <f t="shared" si="28"/>
        <v>9424.6</v>
      </c>
      <c r="F25" s="77">
        <f t="shared" si="28"/>
        <v>9347.7000000000007</v>
      </c>
      <c r="G25" s="77">
        <f t="shared" si="28"/>
        <v>8348.5</v>
      </c>
      <c r="H25" s="77">
        <f t="shared" si="28"/>
        <v>6962.6</v>
      </c>
      <c r="I25" s="77">
        <f t="shared" si="28"/>
        <v>6845.1</v>
      </c>
      <c r="J25" s="77">
        <f t="shared" si="28"/>
        <v>7690.1</v>
      </c>
      <c r="K25" s="79">
        <f t="shared" si="28"/>
        <v>7502</v>
      </c>
      <c r="L25" s="77">
        <f t="shared" si="28"/>
        <v>6779</v>
      </c>
      <c r="M25" s="77">
        <f t="shared" si="28"/>
        <v>6753.2090321784372</v>
      </c>
      <c r="N25" s="77">
        <f t="shared" si="28"/>
        <v>6753.2090321784372</v>
      </c>
      <c r="O25" s="77">
        <f t="shared" si="28"/>
        <v>6753.2090321784372</v>
      </c>
      <c r="P25" s="77">
        <f t="shared" si="28"/>
        <v>6986.3834173571149</v>
      </c>
      <c r="Q25" s="77">
        <f t="shared" si="28"/>
        <v>6986.3834173571149</v>
      </c>
      <c r="R25" s="77">
        <f t="shared" si="28"/>
        <v>6986.3834173571149</v>
      </c>
      <c r="S25" s="77">
        <f t="shared" si="28"/>
        <v>6761.242427068797</v>
      </c>
      <c r="T25" s="77">
        <f t="shared" si="28"/>
        <v>222.58738410814476</v>
      </c>
      <c r="U25" s="77">
        <f t="shared" si="28"/>
        <v>222.58738410814476</v>
      </c>
      <c r="V25" s="77">
        <f t="shared" si="28"/>
        <v>223.19188158270936</v>
      </c>
      <c r="W25" s="77">
        <f t="shared" si="28"/>
        <v>222.77798925393199</v>
      </c>
      <c r="X25" s="77">
        <f t="shared" si="28"/>
        <v>223.23620563503027</v>
      </c>
      <c r="Y25" s="77">
        <f t="shared" si="28"/>
        <v>223.23620563503027</v>
      </c>
      <c r="Z25" s="77">
        <f t="shared" si="28"/>
        <v>223.15634780256732</v>
      </c>
      <c r="AA25" s="77">
        <f t="shared" si="28"/>
        <v>223.41946297140294</v>
      </c>
      <c r="AB25" s="77">
        <f t="shared" si="28"/>
        <v>222.68257814023946</v>
      </c>
      <c r="AC25" s="77">
        <f t="shared" si="28"/>
        <v>222.57105124823556</v>
      </c>
      <c r="AD25" s="77">
        <f t="shared" si="28"/>
        <v>222.57105124823556</v>
      </c>
      <c r="AE25" s="77">
        <f t="shared" si="28"/>
        <v>222.57105124823556</v>
      </c>
      <c r="AF25" s="77">
        <f t="shared" si="28"/>
        <v>223.48864956321449</v>
      </c>
      <c r="AG25" s="77">
        <f t="shared" si="28"/>
        <v>223.48864956321449</v>
      </c>
      <c r="AH25" s="77">
        <f t="shared" si="28"/>
        <v>223.48864956321449</v>
      </c>
      <c r="AI25" s="77">
        <f t="shared" si="28"/>
        <v>223.48864956321449</v>
      </c>
      <c r="AJ25" s="77">
        <f t="shared" si="28"/>
        <v>223.48864956321449</v>
      </c>
      <c r="AK25" s="77">
        <f t="shared" si="28"/>
        <v>223.02483825483978</v>
      </c>
      <c r="AL25" s="77">
        <f t="shared" si="28"/>
        <v>223.02483825483978</v>
      </c>
      <c r="AM25" s="77">
        <f t="shared" si="28"/>
        <v>223.02483825483978</v>
      </c>
      <c r="AN25" s="77">
        <f t="shared" si="28"/>
        <v>223.02483825483978</v>
      </c>
      <c r="AO25" s="77">
        <f t="shared" si="28"/>
        <v>223.34571854886417</v>
      </c>
      <c r="AP25" s="81">
        <f t="shared" si="28"/>
        <v>223.34571854886417</v>
      </c>
    </row>
    <row r="26" spans="1:42">
      <c r="A26" s="47" t="s">
        <v>8</v>
      </c>
      <c r="B26" s="12">
        <f t="shared" ref="B26:J26" si="29">B35</f>
        <v>8969.9</v>
      </c>
      <c r="C26" s="12">
        <f t="shared" si="29"/>
        <v>8673.7000000000007</v>
      </c>
      <c r="D26" s="12">
        <f t="shared" si="29"/>
        <v>8968.9</v>
      </c>
      <c r="E26" s="12">
        <f t="shared" si="29"/>
        <v>8916.7999999999993</v>
      </c>
      <c r="F26" s="12">
        <f t="shared" si="29"/>
        <v>8625.7999999999993</v>
      </c>
      <c r="G26" s="12">
        <f t="shared" si="29"/>
        <v>8817.2999999999993</v>
      </c>
      <c r="H26" s="12">
        <f t="shared" si="29"/>
        <v>8840.1</v>
      </c>
      <c r="I26" s="12">
        <f t="shared" si="29"/>
        <v>8040.8</v>
      </c>
      <c r="J26" s="12">
        <f t="shared" si="29"/>
        <v>8501.4</v>
      </c>
      <c r="K26" s="11">
        <v>83</v>
      </c>
      <c r="L26" s="12">
        <f t="shared" ref="L26:AP26" si="30">L35</f>
        <v>83</v>
      </c>
      <c r="M26" s="12">
        <f t="shared" si="30"/>
        <v>82.540815347510943</v>
      </c>
      <c r="N26" s="12">
        <f t="shared" si="30"/>
        <v>82.540815347510943</v>
      </c>
      <c r="O26" s="12">
        <f t="shared" si="30"/>
        <v>82.540815347510943</v>
      </c>
      <c r="P26" s="12">
        <f t="shared" si="30"/>
        <v>82.879299297936086</v>
      </c>
      <c r="Q26" s="12">
        <f t="shared" si="30"/>
        <v>82.879299297936086</v>
      </c>
      <c r="R26" s="12">
        <f t="shared" si="30"/>
        <v>82.879299297936086</v>
      </c>
      <c r="S26" s="12">
        <f t="shared" si="30"/>
        <v>82.716789863039594</v>
      </c>
      <c r="T26" s="12">
        <f t="shared" si="30"/>
        <v>82.685589765753321</v>
      </c>
      <c r="U26" s="12">
        <f t="shared" si="30"/>
        <v>82.685589765753321</v>
      </c>
      <c r="V26" s="12">
        <f t="shared" si="30"/>
        <v>82.522691719839713</v>
      </c>
      <c r="W26" s="12">
        <f t="shared" si="30"/>
        <v>83.196559573039849</v>
      </c>
      <c r="X26" s="12">
        <f t="shared" si="30"/>
        <v>82.511736348516934</v>
      </c>
      <c r="Y26" s="12">
        <f t="shared" si="30"/>
        <v>82.511736348516934</v>
      </c>
      <c r="Z26" s="12">
        <f t="shared" si="30"/>
        <v>82.715241844867705</v>
      </c>
      <c r="AA26" s="12">
        <f t="shared" si="30"/>
        <v>83.389679845635328</v>
      </c>
      <c r="AB26" s="12">
        <f t="shared" si="30"/>
        <v>83.064117846402951</v>
      </c>
      <c r="AC26" s="12">
        <f t="shared" si="30"/>
        <v>83.048165575330131</v>
      </c>
      <c r="AD26" s="12">
        <f t="shared" si="30"/>
        <v>83.048165575330131</v>
      </c>
      <c r="AE26" s="12">
        <f t="shared" si="30"/>
        <v>83.048165575330131</v>
      </c>
      <c r="AF26" s="12">
        <f t="shared" si="30"/>
        <v>83.238501480564082</v>
      </c>
      <c r="AG26" s="12">
        <f t="shared" si="30"/>
        <v>83.238501480564082</v>
      </c>
      <c r="AH26" s="12">
        <f t="shared" si="30"/>
        <v>83.238501480564082</v>
      </c>
      <c r="AI26" s="12">
        <f t="shared" si="30"/>
        <v>83.238501480564082</v>
      </c>
      <c r="AJ26" s="12">
        <f t="shared" si="30"/>
        <v>83.238501480564082</v>
      </c>
      <c r="AK26" s="12">
        <f t="shared" si="30"/>
        <v>82.878810851203525</v>
      </c>
      <c r="AL26" s="12">
        <f t="shared" si="30"/>
        <v>82.878810851203525</v>
      </c>
      <c r="AM26" s="12">
        <f t="shared" si="30"/>
        <v>82.878810851203525</v>
      </c>
      <c r="AN26" s="12">
        <f t="shared" si="30"/>
        <v>82.878810851203525</v>
      </c>
      <c r="AO26" s="12">
        <f t="shared" si="30"/>
        <v>83.491663855666047</v>
      </c>
      <c r="AP26" s="30">
        <f t="shared" si="30"/>
        <v>83.491663855666047</v>
      </c>
    </row>
    <row r="27" spans="1:42">
      <c r="A27" s="47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1">
        <f t="shared" ref="K27:AP27" si="31">SUM(K19:K26)</f>
        <v>10761.4</v>
      </c>
      <c r="L27" s="12">
        <f t="shared" si="31"/>
        <v>9648.8374000000003</v>
      </c>
      <c r="M27" s="12">
        <f t="shared" si="31"/>
        <v>9607.1912121901132</v>
      </c>
      <c r="N27" s="12">
        <f t="shared" si="31"/>
        <v>9590.772866968573</v>
      </c>
      <c r="O27" s="12">
        <f t="shared" si="31"/>
        <v>9576.8988669685732</v>
      </c>
      <c r="P27" s="12">
        <f t="shared" si="31"/>
        <v>9728.3121927688735</v>
      </c>
      <c r="Q27" s="12">
        <f t="shared" si="31"/>
        <v>9714.4381927688737</v>
      </c>
      <c r="R27" s="12">
        <f t="shared" si="31"/>
        <v>9700.5641927688739</v>
      </c>
      <c r="S27" s="12">
        <f t="shared" si="31"/>
        <v>9409.8356873498124</v>
      </c>
      <c r="T27" s="12">
        <f t="shared" si="31"/>
        <v>2901.8765714348533</v>
      </c>
      <c r="U27" s="12">
        <f t="shared" si="31"/>
        <v>2869.9046515160385</v>
      </c>
      <c r="V27" s="12">
        <f t="shared" si="31"/>
        <v>2783.8252274767706</v>
      </c>
      <c r="W27" s="12">
        <f t="shared" si="31"/>
        <v>2769.4407936215616</v>
      </c>
      <c r="X27" s="12">
        <f t="shared" si="31"/>
        <v>2785.5613974777698</v>
      </c>
      <c r="Y27" s="12">
        <f t="shared" si="31"/>
        <v>2785.5613974777698</v>
      </c>
      <c r="Z27" s="12">
        <f t="shared" si="31"/>
        <v>2720.5349434344398</v>
      </c>
      <c r="AA27" s="12">
        <f t="shared" si="31"/>
        <v>2736.1793526605989</v>
      </c>
      <c r="AB27" s="12">
        <f t="shared" si="31"/>
        <v>2749.8237618867579</v>
      </c>
      <c r="AC27" s="12">
        <f t="shared" si="31"/>
        <v>2758.1042176393798</v>
      </c>
      <c r="AD27" s="12">
        <f t="shared" si="31"/>
        <v>2758.1042176393798</v>
      </c>
      <c r="AE27" s="12">
        <f t="shared" si="31"/>
        <v>2758.1042176393798</v>
      </c>
      <c r="AF27" s="12">
        <f t="shared" si="31"/>
        <v>2762.2378594511888</v>
      </c>
      <c r="AG27" s="12">
        <f t="shared" si="31"/>
        <v>2762.2378594511888</v>
      </c>
      <c r="AH27" s="12">
        <f t="shared" si="31"/>
        <v>2762.2378594511888</v>
      </c>
      <c r="AI27" s="12">
        <f t="shared" si="31"/>
        <v>2762.2378594511888</v>
      </c>
      <c r="AJ27" s="12">
        <f t="shared" si="31"/>
        <v>2762.2378594511888</v>
      </c>
      <c r="AK27" s="12">
        <f t="shared" si="31"/>
        <v>2792.34655954445</v>
      </c>
      <c r="AL27" s="12">
        <f t="shared" si="31"/>
        <v>2777.5806595444496</v>
      </c>
      <c r="AM27" s="12">
        <f t="shared" si="31"/>
        <v>2777.5806595444496</v>
      </c>
      <c r="AN27" s="12">
        <f t="shared" si="31"/>
        <v>2777.5806595444496</v>
      </c>
      <c r="AO27" s="12">
        <f t="shared" si="31"/>
        <v>2827.4435124192401</v>
      </c>
      <c r="AP27" s="30">
        <f t="shared" si="31"/>
        <v>2827.4435124192401</v>
      </c>
    </row>
    <row r="28" spans="1:42" ht="15.75" customHeight="1">
      <c r="A28" s="52" t="s">
        <v>60</v>
      </c>
      <c r="B28" s="38"/>
      <c r="C28" s="38"/>
      <c r="D28" s="38"/>
      <c r="E28" s="38"/>
      <c r="F28" s="38"/>
      <c r="G28" s="38"/>
      <c r="H28" s="38"/>
      <c r="I28" s="38"/>
      <c r="J28" s="38"/>
      <c r="K28" s="82">
        <f>'BAU Data'!K14</f>
        <v>19247.400000000001</v>
      </c>
      <c r="L28" s="38">
        <f>'BAU Data'!L14</f>
        <v>19247.400000000001</v>
      </c>
      <c r="M28" s="38">
        <f>'BAU Data'!M14</f>
        <v>19332.615252429736</v>
      </c>
      <c r="N28" s="38">
        <f>'BAU Data'!N14</f>
        <v>19332.615252429736</v>
      </c>
      <c r="O28" s="38">
        <f>'BAU Data'!O14</f>
        <v>19332.615252429736</v>
      </c>
      <c r="P28" s="38">
        <f>'BAU Data'!P14</f>
        <v>20127.062414172859</v>
      </c>
      <c r="Q28" s="38">
        <f>'BAU Data'!Q14</f>
        <v>20127.062414172859</v>
      </c>
      <c r="R28" s="38">
        <f>'BAU Data'!R14</f>
        <v>20127.062414172859</v>
      </c>
      <c r="S28" s="38">
        <f>'BAU Data'!S14</f>
        <v>19691.841762964643</v>
      </c>
      <c r="T28" s="38">
        <f>'BAU Data'!T14</f>
        <v>20888.116443772509</v>
      </c>
      <c r="U28" s="38">
        <f>'BAU Data'!U14</f>
        <v>20888.116443772509</v>
      </c>
      <c r="V28" s="38">
        <f>'BAU Data'!V14</f>
        <v>21071.668892970105</v>
      </c>
      <c r="W28" s="38">
        <f>'BAU Data'!W14</f>
        <v>21321.710419070594</v>
      </c>
      <c r="X28" s="38">
        <f>'BAU Data'!X14</f>
        <v>24338.488382897944</v>
      </c>
      <c r="Y28" s="38">
        <f>'BAU Data'!Y14</f>
        <v>24338.488382897944</v>
      </c>
      <c r="Z28" s="38">
        <f>'BAU Data'!Z14</f>
        <v>23596.21177857733</v>
      </c>
      <c r="AA28" s="38">
        <f>'BAU Data'!AA14</f>
        <v>23893.525456997115</v>
      </c>
      <c r="AB28" s="38">
        <f>'BAU Data'!AB14</f>
        <v>24190.839135416907</v>
      </c>
      <c r="AC28" s="38">
        <f>'BAU Data'!AC14</f>
        <v>24360.813876999153</v>
      </c>
      <c r="AD28" s="38">
        <f>'BAU Data'!AD14</f>
        <v>24411.119192075341</v>
      </c>
      <c r="AE28" s="38">
        <f>'BAU Data'!AE14</f>
        <v>24411.119192075341</v>
      </c>
      <c r="AF28" s="38">
        <f>'BAU Data'!AF14</f>
        <v>24583.98448914539</v>
      </c>
      <c r="AG28" s="38">
        <f>'BAU Data'!AG14</f>
        <v>24583.98448914539</v>
      </c>
      <c r="AH28" s="38">
        <f>'BAU Data'!AH14</f>
        <v>24583.98448914539</v>
      </c>
      <c r="AI28" s="38">
        <f>'BAU Data'!AI14</f>
        <v>24583.98448914539</v>
      </c>
      <c r="AJ28" s="38">
        <f>'BAU Data'!AJ14</f>
        <v>24583.98448914539</v>
      </c>
      <c r="AK28" s="38">
        <f>'BAU Data'!AK14</f>
        <v>25209.309625401154</v>
      </c>
      <c r="AL28" s="38">
        <f>'BAU Data'!AL14</f>
        <v>25209.309625401154</v>
      </c>
      <c r="AM28" s="38">
        <f>'BAU Data'!AM14</f>
        <v>25209.309625401154</v>
      </c>
      <c r="AN28" s="38">
        <f>'BAU Data'!AN14</f>
        <v>25209.309625401154</v>
      </c>
      <c r="AO28" s="38">
        <f>'BAU Data'!AO14</f>
        <v>26198.46029547846</v>
      </c>
      <c r="AP28" s="39">
        <f>'BAU Data'!AP14</f>
        <v>26198.46029547846</v>
      </c>
    </row>
    <row r="29" spans="1:42" ht="15.75" customHeight="1">
      <c r="A29" s="66"/>
      <c r="B29" s="12"/>
      <c r="C29" s="12"/>
      <c r="D29" s="12"/>
      <c r="E29" s="12"/>
      <c r="F29" s="12"/>
      <c r="G29" s="12"/>
      <c r="H29" s="12"/>
      <c r="I29" s="12"/>
      <c r="J29" s="12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42" ht="15.75" customHeight="1">
      <c r="A30" s="3" t="s">
        <v>66</v>
      </c>
      <c r="B30" s="3"/>
      <c r="C30" s="3"/>
      <c r="D30" s="3"/>
      <c r="E30" s="3"/>
      <c r="F30" s="3"/>
      <c r="G30" s="3"/>
      <c r="H30" s="3"/>
      <c r="I30" s="3"/>
      <c r="J30" s="3"/>
      <c r="K30" s="6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ht="15.75" customHeight="1">
      <c r="A31" s="57" t="s">
        <v>4</v>
      </c>
      <c r="B31" s="23">
        <f>'BAU Data'!B6</f>
        <v>8261.9</v>
      </c>
      <c r="C31" s="23">
        <f>'BAU Data'!C6</f>
        <v>8092.7</v>
      </c>
      <c r="D31" s="23">
        <f>'BAU Data'!D6</f>
        <v>7895.3</v>
      </c>
      <c r="E31" s="23">
        <f>'BAU Data'!E6</f>
        <v>9424.6</v>
      </c>
      <c r="F31" s="23">
        <f>'BAU Data'!F6</f>
        <v>9347.7000000000007</v>
      </c>
      <c r="G31" s="23">
        <f>'BAU Data'!G6</f>
        <v>8348.5</v>
      </c>
      <c r="H31" s="23">
        <f>'BAU Data'!H6</f>
        <v>6962.6</v>
      </c>
      <c r="I31" s="83">
        <f>'BAU Data'!I6</f>
        <v>6845.1</v>
      </c>
      <c r="J31" s="83">
        <f>'BAU Data'!J6</f>
        <v>7690.1</v>
      </c>
      <c r="K31" s="26">
        <f>'BAU Data'!K6</f>
        <v>7502</v>
      </c>
      <c r="L31" s="25">
        <f t="shared" ref="L31:AP31" si="32">(L75*$B$87*$B$89)-L43</f>
        <v>6779</v>
      </c>
      <c r="M31" s="25">
        <f t="shared" si="32"/>
        <v>6753.2090321784372</v>
      </c>
      <c r="N31" s="25">
        <f t="shared" si="32"/>
        <v>6753.2090321784372</v>
      </c>
      <c r="O31" s="25">
        <f t="shared" si="32"/>
        <v>6753.2090321784372</v>
      </c>
      <c r="P31" s="25">
        <f t="shared" si="32"/>
        <v>6986.3834173571149</v>
      </c>
      <c r="Q31" s="25">
        <f t="shared" si="32"/>
        <v>6986.3834173571149</v>
      </c>
      <c r="R31" s="25">
        <f t="shared" si="32"/>
        <v>6986.3834173571149</v>
      </c>
      <c r="S31" s="25">
        <f t="shared" si="32"/>
        <v>6761.242427068797</v>
      </c>
      <c r="T31" s="25">
        <f t="shared" si="32"/>
        <v>222.58738410814476</v>
      </c>
      <c r="U31" s="25">
        <f t="shared" si="32"/>
        <v>222.58738410814476</v>
      </c>
      <c r="V31" s="25">
        <f t="shared" si="32"/>
        <v>223.19188158270936</v>
      </c>
      <c r="W31" s="25">
        <f t="shared" si="32"/>
        <v>222.77798925393199</v>
      </c>
      <c r="X31" s="25">
        <f t="shared" si="32"/>
        <v>223.23620563503027</v>
      </c>
      <c r="Y31" s="25">
        <f t="shared" si="32"/>
        <v>223.23620563503027</v>
      </c>
      <c r="Z31" s="25">
        <f t="shared" si="32"/>
        <v>223.15634780256732</v>
      </c>
      <c r="AA31" s="25">
        <f t="shared" si="32"/>
        <v>223.41946297140294</v>
      </c>
      <c r="AB31" s="25">
        <f t="shared" si="32"/>
        <v>222.68257814023946</v>
      </c>
      <c r="AC31" s="25">
        <f t="shared" si="32"/>
        <v>222.57105124823556</v>
      </c>
      <c r="AD31" s="25">
        <f t="shared" si="32"/>
        <v>222.57105124823556</v>
      </c>
      <c r="AE31" s="25">
        <f t="shared" si="32"/>
        <v>222.57105124823556</v>
      </c>
      <c r="AF31" s="25">
        <f t="shared" si="32"/>
        <v>223.48864956321449</v>
      </c>
      <c r="AG31" s="25">
        <f t="shared" si="32"/>
        <v>223.48864956321449</v>
      </c>
      <c r="AH31" s="25">
        <f t="shared" si="32"/>
        <v>223.48864956321449</v>
      </c>
      <c r="AI31" s="25">
        <f t="shared" si="32"/>
        <v>223.48864956321449</v>
      </c>
      <c r="AJ31" s="25">
        <f t="shared" si="32"/>
        <v>223.48864956321449</v>
      </c>
      <c r="AK31" s="25">
        <f t="shared" si="32"/>
        <v>223.02483825483978</v>
      </c>
      <c r="AL31" s="25">
        <f t="shared" si="32"/>
        <v>223.02483825483978</v>
      </c>
      <c r="AM31" s="25">
        <f t="shared" si="32"/>
        <v>223.02483825483978</v>
      </c>
      <c r="AN31" s="25">
        <f t="shared" si="32"/>
        <v>223.02483825483978</v>
      </c>
      <c r="AO31" s="25">
        <f t="shared" si="32"/>
        <v>223.34571854886417</v>
      </c>
      <c r="AP31" s="27">
        <f t="shared" si="32"/>
        <v>223.34571854886417</v>
      </c>
    </row>
    <row r="32" spans="1:42">
      <c r="A32" s="80" t="s">
        <v>5</v>
      </c>
      <c r="B32" s="77">
        <f>'BAU Data'!B7</f>
        <v>127.5</v>
      </c>
      <c r="C32" s="77">
        <f>'BAU Data'!C7</f>
        <v>178.6</v>
      </c>
      <c r="D32" s="77">
        <f>'BAU Data'!D7</f>
        <v>236.7</v>
      </c>
      <c r="E32" s="77">
        <f>'BAU Data'!E7</f>
        <v>256.8</v>
      </c>
      <c r="F32" s="77">
        <f>'BAU Data'!F7</f>
        <v>256</v>
      </c>
      <c r="G32" s="77">
        <f>'BAU Data'!G7</f>
        <v>274.2</v>
      </c>
      <c r="H32" s="77">
        <f>'BAU Data'!H7</f>
        <v>253.9</v>
      </c>
      <c r="I32" s="77">
        <f>'BAU Data'!I7</f>
        <v>122.3</v>
      </c>
      <c r="J32" s="77">
        <f>'BAU Data'!J7</f>
        <v>130.30000000000001</v>
      </c>
      <c r="K32" s="79">
        <f>'BAU Data'!K7</f>
        <v>126.6</v>
      </c>
      <c r="L32" s="77">
        <f t="shared" ref="L32:M32" si="33">L65*$B$92</f>
        <v>126.59999999999998</v>
      </c>
      <c r="M32" s="77">
        <f t="shared" si="33"/>
        <v>127.21726107705717</v>
      </c>
      <c r="N32" s="77">
        <f t="shared" ref="N32:AP32" si="34">N65*$B$92*(0.98)</f>
        <v>124.67291585551602</v>
      </c>
      <c r="O32" s="77">
        <f t="shared" si="34"/>
        <v>124.67291585551602</v>
      </c>
      <c r="P32" s="77">
        <f t="shared" si="34"/>
        <v>130.30871524274056</v>
      </c>
      <c r="Q32" s="77">
        <f t="shared" si="34"/>
        <v>130.30871524274056</v>
      </c>
      <c r="R32" s="77">
        <f t="shared" si="34"/>
        <v>130.30871524274056</v>
      </c>
      <c r="S32" s="77">
        <f t="shared" si="34"/>
        <v>127.22203127066068</v>
      </c>
      <c r="T32" s="77">
        <f t="shared" si="34"/>
        <v>135.70940400078788</v>
      </c>
      <c r="U32" s="77">
        <f t="shared" si="34"/>
        <v>135.70940400078788</v>
      </c>
      <c r="V32" s="77">
        <f t="shared" si="34"/>
        <v>137.01198947633247</v>
      </c>
      <c r="W32" s="77">
        <f t="shared" si="34"/>
        <v>138.78640931917954</v>
      </c>
      <c r="X32" s="77">
        <f t="shared" si="34"/>
        <v>144.74386263064383</v>
      </c>
      <c r="Y32" s="77">
        <f t="shared" si="34"/>
        <v>144.74386263064383</v>
      </c>
      <c r="Z32" s="77">
        <f t="shared" si="34"/>
        <v>139.47980420049572</v>
      </c>
      <c r="AA32" s="77">
        <f t="shared" si="34"/>
        <v>141.58894415006171</v>
      </c>
      <c r="AB32" s="77">
        <f t="shared" si="34"/>
        <v>143.69808409962766</v>
      </c>
      <c r="AC32" s="77">
        <f t="shared" si="34"/>
        <v>144.90388303828968</v>
      </c>
      <c r="AD32" s="77">
        <f t="shared" si="34"/>
        <v>144.90388303828968</v>
      </c>
      <c r="AE32" s="77">
        <f t="shared" si="34"/>
        <v>144.90388303828968</v>
      </c>
      <c r="AF32" s="77">
        <f t="shared" si="34"/>
        <v>146.1305717378288</v>
      </c>
      <c r="AG32" s="77">
        <f t="shared" si="34"/>
        <v>146.1305717378288</v>
      </c>
      <c r="AH32" s="77">
        <f t="shared" si="34"/>
        <v>146.1305717378288</v>
      </c>
      <c r="AI32" s="77">
        <f t="shared" si="34"/>
        <v>146.1305717378288</v>
      </c>
      <c r="AJ32" s="77">
        <f t="shared" si="34"/>
        <v>146.1305717378288</v>
      </c>
      <c r="AK32" s="77">
        <f t="shared" si="34"/>
        <v>150.56662134494653</v>
      </c>
      <c r="AL32" s="77">
        <f t="shared" si="34"/>
        <v>150.56662134494653</v>
      </c>
      <c r="AM32" s="77">
        <f t="shared" si="34"/>
        <v>150.56662134494653</v>
      </c>
      <c r="AN32" s="77">
        <f t="shared" si="34"/>
        <v>150.56662134494653</v>
      </c>
      <c r="AO32" s="77">
        <f t="shared" si="34"/>
        <v>157.58364526893274</v>
      </c>
      <c r="AP32" s="81">
        <f t="shared" si="34"/>
        <v>157.58364526893274</v>
      </c>
    </row>
    <row r="33" spans="1:42">
      <c r="A33" s="80" t="s">
        <v>6</v>
      </c>
      <c r="B33" s="77">
        <f>'BAU Data'!B8</f>
        <v>160</v>
      </c>
      <c r="C33" s="77">
        <f>'BAU Data'!C8</f>
        <v>160</v>
      </c>
      <c r="D33" s="77">
        <f>'BAU Data'!D8</f>
        <v>160</v>
      </c>
      <c r="E33" s="77">
        <f>'BAU Data'!E8</f>
        <v>160</v>
      </c>
      <c r="F33" s="77">
        <f>'BAU Data'!F8</f>
        <v>160</v>
      </c>
      <c r="G33" s="77">
        <f>'BAU Data'!G8</f>
        <v>160</v>
      </c>
      <c r="H33" s="77">
        <f>'BAU Data'!H8</f>
        <v>160</v>
      </c>
      <c r="I33" s="77">
        <f>'BAU Data'!I8</f>
        <v>160</v>
      </c>
      <c r="J33" s="77">
        <f>'BAU Data'!J8</f>
        <v>160</v>
      </c>
      <c r="K33" s="79">
        <f>'BAU Data'!K8</f>
        <v>160</v>
      </c>
      <c r="L33" s="77">
        <f t="shared" ref="L33:AP33" si="35">L65*$B$93</f>
        <v>160</v>
      </c>
      <c r="M33" s="77">
        <f t="shared" si="35"/>
        <v>160.78010878617025</v>
      </c>
      <c r="N33" s="77">
        <f t="shared" si="35"/>
        <v>160.78010878617025</v>
      </c>
      <c r="O33" s="77">
        <f t="shared" si="35"/>
        <v>160.78010878617025</v>
      </c>
      <c r="P33" s="77">
        <f t="shared" si="35"/>
        <v>168.04812231065623</v>
      </c>
      <c r="Q33" s="77">
        <f t="shared" si="35"/>
        <v>168.04812231065623</v>
      </c>
      <c r="R33" s="77">
        <f t="shared" si="35"/>
        <v>168.04812231065623</v>
      </c>
      <c r="S33" s="77">
        <f t="shared" si="35"/>
        <v>164.06748721109159</v>
      </c>
      <c r="T33" s="77">
        <f t="shared" si="35"/>
        <v>175.01293355358405</v>
      </c>
      <c r="U33" s="77">
        <f t="shared" si="35"/>
        <v>175.01293355358405</v>
      </c>
      <c r="V33" s="77">
        <f t="shared" si="35"/>
        <v>176.69276780647061</v>
      </c>
      <c r="W33" s="77">
        <f t="shared" si="35"/>
        <v>178.98108691256996</v>
      </c>
      <c r="X33" s="77">
        <f t="shared" si="35"/>
        <v>186.66391028228887</v>
      </c>
      <c r="Y33" s="77">
        <f t="shared" si="35"/>
        <v>186.66391028228887</v>
      </c>
      <c r="Z33" s="77">
        <f t="shared" si="35"/>
        <v>179.8752996105307</v>
      </c>
      <c r="AA33" s="77">
        <f t="shared" si="35"/>
        <v>182.59527891164424</v>
      </c>
      <c r="AB33" s="77">
        <f t="shared" si="35"/>
        <v>185.31525821275778</v>
      </c>
      <c r="AC33" s="77">
        <f t="shared" si="35"/>
        <v>186.87027505985711</v>
      </c>
      <c r="AD33" s="77">
        <f t="shared" si="35"/>
        <v>186.87027505985711</v>
      </c>
      <c r="AE33" s="77">
        <f t="shared" si="35"/>
        <v>186.87027505985711</v>
      </c>
      <c r="AF33" s="77">
        <f t="shared" si="35"/>
        <v>188.4522316637055</v>
      </c>
      <c r="AG33" s="77">
        <f t="shared" si="35"/>
        <v>188.4522316637055</v>
      </c>
      <c r="AH33" s="77">
        <f t="shared" si="35"/>
        <v>188.4522316637055</v>
      </c>
      <c r="AI33" s="77">
        <f t="shared" si="35"/>
        <v>188.4522316637055</v>
      </c>
      <c r="AJ33" s="77">
        <f t="shared" si="35"/>
        <v>188.4522316637055</v>
      </c>
      <c r="AK33" s="77">
        <f t="shared" si="35"/>
        <v>194.17302942895387</v>
      </c>
      <c r="AL33" s="77">
        <f t="shared" si="35"/>
        <v>194.17302942895387</v>
      </c>
      <c r="AM33" s="77">
        <f t="shared" si="35"/>
        <v>194.17302942895387</v>
      </c>
      <c r="AN33" s="77">
        <f t="shared" si="35"/>
        <v>194.17302942895387</v>
      </c>
      <c r="AO33" s="77">
        <f t="shared" si="35"/>
        <v>203.22229134852856</v>
      </c>
      <c r="AP33" s="81">
        <f t="shared" si="35"/>
        <v>203.22229134852856</v>
      </c>
    </row>
    <row r="34" spans="1:42">
      <c r="A34" s="75" t="s">
        <v>67</v>
      </c>
      <c r="B34" s="18">
        <f>'BAU Data'!B9</f>
        <v>295</v>
      </c>
      <c r="C34" s="18">
        <f>'BAU Data'!C9</f>
        <v>346.1</v>
      </c>
      <c r="D34" s="18">
        <f>'BAU Data'!D9</f>
        <v>404.2</v>
      </c>
      <c r="E34" s="18">
        <f>'BAU Data'!E9</f>
        <v>424.3</v>
      </c>
      <c r="F34" s="18">
        <f>'BAU Data'!F9</f>
        <v>423.5</v>
      </c>
      <c r="G34" s="18">
        <f>'BAU Data'!G9</f>
        <v>441.7</v>
      </c>
      <c r="H34" s="18">
        <f>'BAU Data'!H9</f>
        <v>421.4</v>
      </c>
      <c r="I34" s="18">
        <f>'BAU Data'!I9</f>
        <v>289.8</v>
      </c>
      <c r="J34" s="18">
        <f>'BAU Data'!J9</f>
        <v>297.8</v>
      </c>
      <c r="K34" s="19">
        <f>'BAU Data'!K9</f>
        <v>294.10000000000002</v>
      </c>
      <c r="L34" s="18">
        <v>7.5</v>
      </c>
      <c r="M34" s="18">
        <v>7.5</v>
      </c>
      <c r="N34" s="18">
        <v>7.5</v>
      </c>
      <c r="O34" s="18">
        <v>7.5</v>
      </c>
      <c r="P34" s="18">
        <v>7.5</v>
      </c>
      <c r="Q34" s="18">
        <v>7.5</v>
      </c>
      <c r="R34" s="18">
        <v>7.5</v>
      </c>
      <c r="S34" s="18">
        <v>7.5</v>
      </c>
      <c r="T34" s="18">
        <v>7.5</v>
      </c>
      <c r="U34" s="18">
        <v>7.5</v>
      </c>
      <c r="V34" s="18">
        <v>7.5</v>
      </c>
      <c r="W34" s="18">
        <v>7.5</v>
      </c>
      <c r="X34" s="18">
        <v>7.5</v>
      </c>
      <c r="Y34" s="18">
        <v>7.5</v>
      </c>
      <c r="Z34" s="18">
        <v>7.5</v>
      </c>
      <c r="AA34" s="18">
        <v>7.5</v>
      </c>
      <c r="AB34" s="18">
        <v>7.5</v>
      </c>
      <c r="AC34" s="18">
        <v>7.5</v>
      </c>
      <c r="AD34" s="18">
        <v>7.5</v>
      </c>
      <c r="AE34" s="18">
        <v>7.5</v>
      </c>
      <c r="AF34" s="18">
        <v>7.5</v>
      </c>
      <c r="AG34" s="18">
        <v>7.5</v>
      </c>
      <c r="AH34" s="18">
        <v>7.5</v>
      </c>
      <c r="AI34" s="18">
        <v>7.5</v>
      </c>
      <c r="AJ34" s="18">
        <v>7.5</v>
      </c>
      <c r="AK34" s="18">
        <v>7.5</v>
      </c>
      <c r="AL34" s="18">
        <v>7.5</v>
      </c>
      <c r="AM34" s="18">
        <v>7.5</v>
      </c>
      <c r="AN34" s="18">
        <v>7.5</v>
      </c>
      <c r="AO34" s="18">
        <v>7.5</v>
      </c>
      <c r="AP34" s="78">
        <v>7.5</v>
      </c>
    </row>
    <row r="35" spans="1:42">
      <c r="A35" s="47" t="s">
        <v>8</v>
      </c>
      <c r="B35" s="12">
        <f>'BAU Data'!B10-B38</f>
        <v>8969.9</v>
      </c>
      <c r="C35" s="12">
        <f>'BAU Data'!C10-C38</f>
        <v>8673.7000000000007</v>
      </c>
      <c r="D35" s="12">
        <f>'BAU Data'!D10-D38</f>
        <v>8968.9</v>
      </c>
      <c r="E35" s="12">
        <f>'BAU Data'!E10-E38</f>
        <v>8916.7999999999993</v>
      </c>
      <c r="F35" s="12">
        <f>'BAU Data'!F10-F38</f>
        <v>8625.7999999999993</v>
      </c>
      <c r="G35" s="12">
        <f>'BAU Data'!G10-G38</f>
        <v>8817.2999999999993</v>
      </c>
      <c r="H35" s="12">
        <f>'BAU Data'!H10-H38</f>
        <v>8840.1</v>
      </c>
      <c r="I35" s="12">
        <f>'BAU Data'!I10-I38</f>
        <v>8040.8</v>
      </c>
      <c r="J35" s="12">
        <f>'BAU Data'!J10-J38</f>
        <v>8501.4</v>
      </c>
      <c r="K35" s="11">
        <f>'BAU Data'!K10-K38</f>
        <v>8569</v>
      </c>
      <c r="L35" s="12">
        <f t="shared" ref="L35:AP35" si="36">(L75*$B$88*$B$90)-L46</f>
        <v>83</v>
      </c>
      <c r="M35" s="12">
        <f t="shared" si="36"/>
        <v>82.540815347510943</v>
      </c>
      <c r="N35" s="12">
        <f t="shared" si="36"/>
        <v>82.540815347510943</v>
      </c>
      <c r="O35" s="12">
        <f t="shared" si="36"/>
        <v>82.540815347510943</v>
      </c>
      <c r="P35" s="12">
        <f t="shared" si="36"/>
        <v>82.879299297936086</v>
      </c>
      <c r="Q35" s="12">
        <f t="shared" si="36"/>
        <v>82.879299297936086</v>
      </c>
      <c r="R35" s="12">
        <f t="shared" si="36"/>
        <v>82.879299297936086</v>
      </c>
      <c r="S35" s="12">
        <f t="shared" si="36"/>
        <v>82.716789863039594</v>
      </c>
      <c r="T35" s="12">
        <f t="shared" si="36"/>
        <v>82.685589765753321</v>
      </c>
      <c r="U35" s="12">
        <f t="shared" si="36"/>
        <v>82.685589765753321</v>
      </c>
      <c r="V35" s="12">
        <f t="shared" si="36"/>
        <v>82.522691719839713</v>
      </c>
      <c r="W35" s="12">
        <f t="shared" si="36"/>
        <v>83.196559573039849</v>
      </c>
      <c r="X35" s="12">
        <f t="shared" si="36"/>
        <v>82.511736348516934</v>
      </c>
      <c r="Y35" s="12">
        <f t="shared" si="36"/>
        <v>82.511736348516934</v>
      </c>
      <c r="Z35" s="12">
        <f t="shared" si="36"/>
        <v>82.715241844867705</v>
      </c>
      <c r="AA35" s="12">
        <f t="shared" si="36"/>
        <v>83.389679845635328</v>
      </c>
      <c r="AB35" s="12">
        <f t="shared" si="36"/>
        <v>83.064117846402951</v>
      </c>
      <c r="AC35" s="12">
        <f t="shared" si="36"/>
        <v>83.048165575330131</v>
      </c>
      <c r="AD35" s="12">
        <f t="shared" si="36"/>
        <v>83.048165575330131</v>
      </c>
      <c r="AE35" s="12">
        <f t="shared" si="36"/>
        <v>83.048165575330131</v>
      </c>
      <c r="AF35" s="12">
        <f t="shared" si="36"/>
        <v>83.238501480564082</v>
      </c>
      <c r="AG35" s="12">
        <f t="shared" si="36"/>
        <v>83.238501480564082</v>
      </c>
      <c r="AH35" s="12">
        <f t="shared" si="36"/>
        <v>83.238501480564082</v>
      </c>
      <c r="AI35" s="12">
        <f t="shared" si="36"/>
        <v>83.238501480564082</v>
      </c>
      <c r="AJ35" s="12">
        <f t="shared" si="36"/>
        <v>83.238501480564082</v>
      </c>
      <c r="AK35" s="12">
        <f t="shared" si="36"/>
        <v>82.878810851203525</v>
      </c>
      <c r="AL35" s="12">
        <f t="shared" si="36"/>
        <v>82.878810851203525</v>
      </c>
      <c r="AM35" s="12">
        <f t="shared" si="36"/>
        <v>82.878810851203525</v>
      </c>
      <c r="AN35" s="12">
        <f t="shared" si="36"/>
        <v>82.878810851203525</v>
      </c>
      <c r="AO35" s="12">
        <f t="shared" si="36"/>
        <v>83.491663855666047</v>
      </c>
      <c r="AP35" s="30">
        <f t="shared" si="36"/>
        <v>83.491663855666047</v>
      </c>
    </row>
    <row r="36" spans="1:42">
      <c r="A36" s="71" t="s">
        <v>9</v>
      </c>
      <c r="B36" s="72">
        <f>'BAU Data'!B11</f>
        <v>1000</v>
      </c>
      <c r="C36" s="72">
        <f>'BAU Data'!C11</f>
        <v>1000</v>
      </c>
      <c r="D36" s="72">
        <f>'BAU Data'!D11</f>
        <v>1000</v>
      </c>
      <c r="E36" s="72">
        <f>'BAU Data'!E11</f>
        <v>1000</v>
      </c>
      <c r="F36" s="72">
        <f>'BAU Data'!F11</f>
        <v>1000</v>
      </c>
      <c r="G36" s="72">
        <f>'BAU Data'!G11</f>
        <v>1000</v>
      </c>
      <c r="H36" s="72">
        <f>'BAU Data'!H11</f>
        <v>1000</v>
      </c>
      <c r="I36" s="72">
        <f>'BAU Data'!I11</f>
        <v>1000</v>
      </c>
      <c r="J36" s="72">
        <f>'BAU Data'!J11</f>
        <v>1000</v>
      </c>
      <c r="K36" s="73">
        <f>'BAU Data'!K11</f>
        <v>1022.5</v>
      </c>
      <c r="L36" s="72">
        <v>1022.5</v>
      </c>
      <c r="M36" s="72">
        <f t="shared" ref="M36:AP36" si="37">L36</f>
        <v>1022.5</v>
      </c>
      <c r="N36" s="72">
        <f t="shared" si="37"/>
        <v>1022.5</v>
      </c>
      <c r="O36" s="72">
        <f t="shared" si="37"/>
        <v>1022.5</v>
      </c>
      <c r="P36" s="72">
        <f t="shared" si="37"/>
        <v>1022.5</v>
      </c>
      <c r="Q36" s="72">
        <f t="shared" si="37"/>
        <v>1022.5</v>
      </c>
      <c r="R36" s="72">
        <f t="shared" si="37"/>
        <v>1022.5</v>
      </c>
      <c r="S36" s="72">
        <f t="shared" si="37"/>
        <v>1022.5</v>
      </c>
      <c r="T36" s="72">
        <f t="shared" si="37"/>
        <v>1022.5</v>
      </c>
      <c r="U36" s="72">
        <f t="shared" si="37"/>
        <v>1022.5</v>
      </c>
      <c r="V36" s="72">
        <f t="shared" si="37"/>
        <v>1022.5</v>
      </c>
      <c r="W36" s="72">
        <f t="shared" si="37"/>
        <v>1022.5</v>
      </c>
      <c r="X36" s="72">
        <f t="shared" si="37"/>
        <v>1022.5</v>
      </c>
      <c r="Y36" s="72">
        <f t="shared" si="37"/>
        <v>1022.5</v>
      </c>
      <c r="Z36" s="72">
        <f t="shared" si="37"/>
        <v>1022.5</v>
      </c>
      <c r="AA36" s="72">
        <f t="shared" si="37"/>
        <v>1022.5</v>
      </c>
      <c r="AB36" s="72">
        <f t="shared" si="37"/>
        <v>1022.5</v>
      </c>
      <c r="AC36" s="72">
        <f t="shared" si="37"/>
        <v>1022.5</v>
      </c>
      <c r="AD36" s="72">
        <f t="shared" si="37"/>
        <v>1022.5</v>
      </c>
      <c r="AE36" s="72">
        <f t="shared" si="37"/>
        <v>1022.5</v>
      </c>
      <c r="AF36" s="72">
        <f t="shared" si="37"/>
        <v>1022.5</v>
      </c>
      <c r="AG36" s="72">
        <f t="shared" si="37"/>
        <v>1022.5</v>
      </c>
      <c r="AH36" s="72">
        <f t="shared" si="37"/>
        <v>1022.5</v>
      </c>
      <c r="AI36" s="72">
        <f t="shared" si="37"/>
        <v>1022.5</v>
      </c>
      <c r="AJ36" s="72">
        <f t="shared" si="37"/>
        <v>1022.5</v>
      </c>
      <c r="AK36" s="72">
        <f t="shared" si="37"/>
        <v>1022.5</v>
      </c>
      <c r="AL36" s="72">
        <f t="shared" si="37"/>
        <v>1022.5</v>
      </c>
      <c r="AM36" s="72">
        <f t="shared" si="37"/>
        <v>1022.5</v>
      </c>
      <c r="AN36" s="72">
        <f t="shared" si="37"/>
        <v>1022.5</v>
      </c>
      <c r="AO36" s="72">
        <f t="shared" si="37"/>
        <v>1022.5</v>
      </c>
      <c r="AP36" s="74">
        <f t="shared" si="37"/>
        <v>1022.5</v>
      </c>
    </row>
    <row r="37" spans="1:42">
      <c r="A37" s="80" t="s">
        <v>68</v>
      </c>
      <c r="B37" s="77">
        <f>'BAU Data'!B12</f>
        <v>727.9</v>
      </c>
      <c r="C37" s="77">
        <f>'BAU Data'!C12</f>
        <v>720.2</v>
      </c>
      <c r="D37" s="77">
        <f>'BAU Data'!D12</f>
        <v>725.5</v>
      </c>
      <c r="E37" s="77">
        <f>'BAU Data'!E12</f>
        <v>715.6</v>
      </c>
      <c r="F37" s="77">
        <f>'BAU Data'!F12</f>
        <v>723</v>
      </c>
      <c r="G37" s="77">
        <f>'BAU Data'!G12</f>
        <v>713.2</v>
      </c>
      <c r="H37" s="77">
        <f>'BAU Data'!H12</f>
        <v>729.6</v>
      </c>
      <c r="I37" s="77">
        <f>'BAU Data'!I12</f>
        <v>754</v>
      </c>
      <c r="J37" s="77">
        <f>'BAU Data'!J12</f>
        <v>725.6</v>
      </c>
      <c r="K37" s="79">
        <f>'BAU Data'!K12</f>
        <v>725.6</v>
      </c>
      <c r="L37" s="77">
        <v>725.6</v>
      </c>
      <c r="M37" s="77">
        <v>725.6</v>
      </c>
      <c r="N37" s="77">
        <v>725.6</v>
      </c>
      <c r="O37" s="77">
        <v>725.6</v>
      </c>
      <c r="P37" s="77">
        <v>725.6</v>
      </c>
      <c r="Q37" s="77">
        <v>725.6</v>
      </c>
      <c r="R37" s="77">
        <v>725.6</v>
      </c>
      <c r="S37" s="77">
        <v>725.6</v>
      </c>
      <c r="T37" s="77">
        <v>725.6</v>
      </c>
      <c r="U37" s="77">
        <v>725.6</v>
      </c>
      <c r="V37" s="77">
        <v>725.6</v>
      </c>
      <c r="W37" s="77">
        <v>725.6</v>
      </c>
      <c r="X37" s="77">
        <v>725.6</v>
      </c>
      <c r="Y37" s="77">
        <v>725.6</v>
      </c>
      <c r="Z37" s="77">
        <v>725.6</v>
      </c>
      <c r="AA37" s="77">
        <v>725.6</v>
      </c>
      <c r="AB37" s="77">
        <v>725.6</v>
      </c>
      <c r="AC37" s="77">
        <v>725.6</v>
      </c>
      <c r="AD37" s="77">
        <v>725.6</v>
      </c>
      <c r="AE37" s="77">
        <v>725.6</v>
      </c>
      <c r="AF37" s="77">
        <v>725.6</v>
      </c>
      <c r="AG37" s="77">
        <v>725.6</v>
      </c>
      <c r="AH37" s="77">
        <v>725.6</v>
      </c>
      <c r="AI37" s="77">
        <v>725.6</v>
      </c>
      <c r="AJ37" s="77">
        <v>725.6</v>
      </c>
      <c r="AK37" s="77">
        <v>725.6</v>
      </c>
      <c r="AL37" s="77">
        <v>725.6</v>
      </c>
      <c r="AM37" s="77">
        <v>725.6</v>
      </c>
      <c r="AN37" s="77">
        <v>725.6</v>
      </c>
      <c r="AO37" s="77">
        <v>725.6</v>
      </c>
      <c r="AP37" s="81">
        <v>725.6</v>
      </c>
    </row>
    <row r="38" spans="1:42">
      <c r="A38" s="47" t="s">
        <v>56</v>
      </c>
      <c r="B38" s="2">
        <v>887.1</v>
      </c>
      <c r="C38" s="2">
        <v>857.8</v>
      </c>
      <c r="D38" s="2">
        <v>887</v>
      </c>
      <c r="E38" s="2">
        <v>881.9</v>
      </c>
      <c r="F38" s="2">
        <v>853.1</v>
      </c>
      <c r="G38" s="2">
        <v>872</v>
      </c>
      <c r="H38" s="2">
        <v>874.3</v>
      </c>
      <c r="I38" s="2">
        <v>795.2</v>
      </c>
      <c r="J38" s="2">
        <v>840.8</v>
      </c>
      <c r="K38" s="20">
        <v>847.6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32"/>
    </row>
    <row r="39" spans="1:42" ht="15.75" customHeight="1">
      <c r="A39" s="84" t="s">
        <v>11</v>
      </c>
      <c r="B39" s="85">
        <f t="shared" ref="B39:AP39" si="38">SUM(B31:B37)</f>
        <v>19542.2</v>
      </c>
      <c r="C39" s="85">
        <f t="shared" si="38"/>
        <v>19171.3</v>
      </c>
      <c r="D39" s="85">
        <f t="shared" si="38"/>
        <v>19390.599999999999</v>
      </c>
      <c r="E39" s="85">
        <f t="shared" si="38"/>
        <v>20898.099999999999</v>
      </c>
      <c r="F39" s="85">
        <f t="shared" si="38"/>
        <v>20536</v>
      </c>
      <c r="G39" s="85">
        <f t="shared" si="38"/>
        <v>19754.900000000001</v>
      </c>
      <c r="H39" s="85">
        <f t="shared" si="38"/>
        <v>18367.599999999999</v>
      </c>
      <c r="I39" s="85">
        <f t="shared" si="38"/>
        <v>17212</v>
      </c>
      <c r="J39" s="85">
        <f t="shared" si="38"/>
        <v>18505.199999999997</v>
      </c>
      <c r="K39" s="86">
        <f t="shared" si="38"/>
        <v>18399.8</v>
      </c>
      <c r="L39" s="85">
        <f t="shared" si="38"/>
        <v>8904.2000000000007</v>
      </c>
      <c r="M39" s="85">
        <f t="shared" si="38"/>
        <v>8879.3472173891751</v>
      </c>
      <c r="N39" s="85">
        <f t="shared" si="38"/>
        <v>8876.8028721676346</v>
      </c>
      <c r="O39" s="85">
        <f t="shared" si="38"/>
        <v>8876.8028721676346</v>
      </c>
      <c r="P39" s="85">
        <f t="shared" si="38"/>
        <v>9123.2195542084482</v>
      </c>
      <c r="Q39" s="85">
        <f t="shared" si="38"/>
        <v>9123.2195542084482</v>
      </c>
      <c r="R39" s="85">
        <f t="shared" si="38"/>
        <v>9123.2195542084482</v>
      </c>
      <c r="S39" s="85">
        <f t="shared" si="38"/>
        <v>8890.8487354135887</v>
      </c>
      <c r="T39" s="85">
        <f t="shared" si="38"/>
        <v>2371.5953114282702</v>
      </c>
      <c r="U39" s="85">
        <f t="shared" si="38"/>
        <v>2371.5953114282702</v>
      </c>
      <c r="V39" s="85">
        <f t="shared" si="38"/>
        <v>2375.0193305853522</v>
      </c>
      <c r="W39" s="85">
        <f t="shared" si="38"/>
        <v>2379.3420450587214</v>
      </c>
      <c r="X39" s="85">
        <f t="shared" si="38"/>
        <v>2392.7557148964797</v>
      </c>
      <c r="Y39" s="85">
        <f t="shared" si="38"/>
        <v>2392.7557148964797</v>
      </c>
      <c r="Z39" s="85">
        <f t="shared" si="38"/>
        <v>2380.8266934584612</v>
      </c>
      <c r="AA39" s="85">
        <f t="shared" si="38"/>
        <v>2386.5933658787444</v>
      </c>
      <c r="AB39" s="85">
        <f t="shared" si="38"/>
        <v>2390.360038299028</v>
      </c>
      <c r="AC39" s="85">
        <f t="shared" si="38"/>
        <v>2392.9933749217125</v>
      </c>
      <c r="AD39" s="85">
        <f t="shared" si="38"/>
        <v>2392.9933749217125</v>
      </c>
      <c r="AE39" s="85">
        <f t="shared" si="38"/>
        <v>2392.9933749217125</v>
      </c>
      <c r="AF39" s="85">
        <f t="shared" si="38"/>
        <v>2396.9099544453129</v>
      </c>
      <c r="AG39" s="85">
        <f t="shared" si="38"/>
        <v>2396.9099544453129</v>
      </c>
      <c r="AH39" s="85">
        <f t="shared" si="38"/>
        <v>2396.9099544453129</v>
      </c>
      <c r="AI39" s="85">
        <f t="shared" si="38"/>
        <v>2396.9099544453129</v>
      </c>
      <c r="AJ39" s="85">
        <f t="shared" si="38"/>
        <v>2396.9099544453129</v>
      </c>
      <c r="AK39" s="85">
        <f t="shared" si="38"/>
        <v>2406.2432998799436</v>
      </c>
      <c r="AL39" s="85">
        <f t="shared" si="38"/>
        <v>2406.2432998799436</v>
      </c>
      <c r="AM39" s="85">
        <f t="shared" si="38"/>
        <v>2406.2432998799436</v>
      </c>
      <c r="AN39" s="85">
        <f t="shared" si="38"/>
        <v>2406.2432998799436</v>
      </c>
      <c r="AO39" s="85">
        <f t="shared" si="38"/>
        <v>2423.2433190219913</v>
      </c>
      <c r="AP39" s="87">
        <f t="shared" si="38"/>
        <v>2423.2433190219913</v>
      </c>
    </row>
    <row r="40" spans="1:42" ht="15.75" customHeight="1">
      <c r="A40" s="66"/>
      <c r="B40" s="66"/>
      <c r="C40" s="66"/>
      <c r="D40" s="66"/>
      <c r="E40" s="66"/>
      <c r="F40" s="66"/>
      <c r="G40" s="66"/>
      <c r="H40" s="66"/>
      <c r="I40" s="66"/>
      <c r="J40" s="2"/>
      <c r="K40" s="2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</row>
    <row r="41" spans="1:42" ht="15.75" customHeight="1">
      <c r="A41" s="3" t="s">
        <v>69</v>
      </c>
      <c r="B41" s="66"/>
      <c r="C41" s="66"/>
      <c r="D41" s="66"/>
      <c r="E41" s="66"/>
      <c r="F41" s="66"/>
      <c r="G41" s="66"/>
      <c r="H41" s="66"/>
      <c r="I41" s="66"/>
      <c r="J41" s="2"/>
      <c r="K41" s="2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</row>
    <row r="42" spans="1:42" ht="15.75" customHeight="1">
      <c r="A42" s="57" t="s">
        <v>70</v>
      </c>
      <c r="B42" s="23"/>
      <c r="C42" s="23"/>
      <c r="D42" s="23"/>
      <c r="E42" s="23"/>
      <c r="F42" s="23"/>
      <c r="G42" s="23"/>
      <c r="H42" s="23"/>
      <c r="I42" s="23"/>
      <c r="J42" s="23"/>
      <c r="K42" s="23">
        <f>'Mitigation Data Scenario 3 '!K29</f>
        <v>0</v>
      </c>
      <c r="L42" s="25">
        <f>'Mitigation Data Scenario 3 '!L29</f>
        <v>723</v>
      </c>
      <c r="M42" s="25">
        <f>'Mitigation Data Scenario 3 '!M29</f>
        <v>0</v>
      </c>
      <c r="N42" s="25">
        <f>'Mitigation Data Scenario 3 '!N29</f>
        <v>0</v>
      </c>
      <c r="O42" s="25">
        <f>'Mitigation Data Scenario 3 '!O29</f>
        <v>0</v>
      </c>
      <c r="P42" s="25">
        <f>'Mitigation Data Scenario 3 '!P29</f>
        <v>0</v>
      </c>
      <c r="Q42" s="25">
        <f>'Mitigation Data Scenario 3 '!Q29</f>
        <v>0</v>
      </c>
      <c r="R42" s="25">
        <f>'Mitigation Data Scenario 3 '!R29</f>
        <v>0</v>
      </c>
      <c r="S42" s="25">
        <f>'Mitigation Data Scenario 3 '!S29</f>
        <v>0</v>
      </c>
      <c r="T42" s="25">
        <f>'Mitigation Data Scenario 3 '!T29</f>
        <v>6761</v>
      </c>
      <c r="U42" s="25">
        <f>'Mitigation Data Scenario 3 '!U29</f>
        <v>0</v>
      </c>
      <c r="V42" s="25">
        <f>'Mitigation Data Scenario 3 '!V29</f>
        <v>-6</v>
      </c>
      <c r="W42" s="25">
        <f>'Mitigation Data Scenario 3 '!W29</f>
        <v>-6</v>
      </c>
      <c r="X42" s="25">
        <f>'Mitigation Data Scenario 3 '!X29</f>
        <v>104</v>
      </c>
      <c r="Y42" s="25">
        <f>'Mitigation Data Scenario 3 '!Y29</f>
        <v>0</v>
      </c>
      <c r="Z42" s="25">
        <f>'Mitigation Data Scenario 3 '!Z29</f>
        <v>-469</v>
      </c>
      <c r="AA42" s="25">
        <f>'Mitigation Data Scenario 3 '!AA29</f>
        <v>87</v>
      </c>
      <c r="AB42" s="25">
        <f>'Mitigation Data Scenario 3 '!AB29</f>
        <v>88</v>
      </c>
      <c r="AC42" s="25">
        <f>'Mitigation Data Scenario 3 '!AC29</f>
        <v>50</v>
      </c>
      <c r="AD42" s="25">
        <f>'Mitigation Data Scenario 3 '!AD29</f>
        <v>0</v>
      </c>
      <c r="AE42" s="25">
        <f>'Mitigation Data Scenario 3 '!AE29</f>
        <v>0</v>
      </c>
      <c r="AF42" s="25">
        <f>'Mitigation Data Scenario 3 '!AF29</f>
        <v>1</v>
      </c>
      <c r="AG42" s="25">
        <f>'Mitigation Data Scenario 3 '!AG29</f>
        <v>0</v>
      </c>
      <c r="AH42" s="25">
        <f>'Mitigation Data Scenario 3 '!AH29</f>
        <v>0</v>
      </c>
      <c r="AI42" s="25">
        <f>'Mitigation Data Scenario 3 '!AI29</f>
        <v>0</v>
      </c>
      <c r="AJ42" s="25">
        <f>'Mitigation Data Scenario 3 '!AJ29</f>
        <v>0</v>
      </c>
      <c r="AK42" s="25">
        <f>'Mitigation Data Scenario 3 '!AK29</f>
        <v>184</v>
      </c>
      <c r="AL42" s="25">
        <f>'Mitigation Data Scenario 3 '!AL29</f>
        <v>0</v>
      </c>
      <c r="AM42" s="25">
        <f>'Mitigation Data Scenario 3 '!AM29</f>
        <v>0</v>
      </c>
      <c r="AN42" s="25">
        <f>'Mitigation Data Scenario 3 '!AN29</f>
        <v>0</v>
      </c>
      <c r="AO42" s="25">
        <f>'Mitigation Data Scenario 3 '!AO29</f>
        <v>290</v>
      </c>
      <c r="AP42" s="27">
        <f>'Mitigation Data Scenario 3 '!AP29</f>
        <v>0</v>
      </c>
    </row>
    <row r="43" spans="1:42">
      <c r="A43" s="47" t="s">
        <v>71</v>
      </c>
      <c r="B43" s="2"/>
      <c r="C43" s="2"/>
      <c r="D43" s="2"/>
      <c r="E43" s="2"/>
      <c r="F43" s="2"/>
      <c r="G43" s="2"/>
      <c r="H43" s="2"/>
      <c r="I43" s="2"/>
      <c r="J43" s="2"/>
      <c r="K43" s="2">
        <f>'Mitigation Data Scenario 3 '!K30</f>
        <v>0</v>
      </c>
      <c r="L43" s="12">
        <f>'Mitigation Data Scenario 3 '!L30</f>
        <v>723</v>
      </c>
      <c r="M43" s="12">
        <f>'Mitigation Data Scenario 3 '!M30</f>
        <v>723</v>
      </c>
      <c r="N43" s="12">
        <f>'Mitigation Data Scenario 3 '!N30</f>
        <v>723</v>
      </c>
      <c r="O43" s="12">
        <f>'Mitigation Data Scenario 3 '!O30</f>
        <v>723</v>
      </c>
      <c r="P43" s="12">
        <f>'Mitigation Data Scenario 3 '!P30</f>
        <v>723</v>
      </c>
      <c r="Q43" s="12">
        <f>'Mitigation Data Scenario 3 '!Q30</f>
        <v>723</v>
      </c>
      <c r="R43" s="12">
        <f>'Mitigation Data Scenario 3 '!R30</f>
        <v>723</v>
      </c>
      <c r="S43" s="12">
        <f>'Mitigation Data Scenario 3 '!S30</f>
        <v>723</v>
      </c>
      <c r="T43" s="12">
        <f>'Mitigation Data Scenario 3 '!T30</f>
        <v>7484</v>
      </c>
      <c r="U43" s="12">
        <f>'Mitigation Data Scenario 3 '!U30</f>
        <v>7484</v>
      </c>
      <c r="V43" s="12">
        <f>'Mitigation Data Scenario 3 '!V30</f>
        <v>7478</v>
      </c>
      <c r="W43" s="12">
        <f>'Mitigation Data Scenario 3 '!W30</f>
        <v>7472</v>
      </c>
      <c r="X43" s="12">
        <f>'Mitigation Data Scenario 3 '!X30</f>
        <v>7576</v>
      </c>
      <c r="Y43" s="12">
        <f>'Mitigation Data Scenario 3 '!Y30</f>
        <v>7576</v>
      </c>
      <c r="Z43" s="12">
        <f>'Mitigation Data Scenario 3 '!Z30</f>
        <v>7107</v>
      </c>
      <c r="AA43" s="12">
        <f>'Mitigation Data Scenario 3 '!AA30</f>
        <v>7194</v>
      </c>
      <c r="AB43" s="12">
        <f>'Mitigation Data Scenario 3 '!AB30</f>
        <v>7282</v>
      </c>
      <c r="AC43" s="12">
        <f>'Mitigation Data Scenario 3 '!AC30</f>
        <v>7332</v>
      </c>
      <c r="AD43" s="12">
        <f>'Mitigation Data Scenario 3 '!AD30</f>
        <v>7332</v>
      </c>
      <c r="AE43" s="12">
        <f>'Mitigation Data Scenario 3 '!AE30</f>
        <v>7332</v>
      </c>
      <c r="AF43" s="12">
        <f>'Mitigation Data Scenario 3 '!AF30</f>
        <v>7333</v>
      </c>
      <c r="AG43" s="12">
        <f>'Mitigation Data Scenario 3 '!AG30</f>
        <v>7333</v>
      </c>
      <c r="AH43" s="12">
        <f>'Mitigation Data Scenario 3 '!AH30</f>
        <v>7333</v>
      </c>
      <c r="AI43" s="12">
        <f>'Mitigation Data Scenario 3 '!AI30</f>
        <v>7333</v>
      </c>
      <c r="AJ43" s="12">
        <f>'Mitigation Data Scenario 3 '!AJ30</f>
        <v>7333</v>
      </c>
      <c r="AK43" s="12">
        <f>'Mitigation Data Scenario 3 '!AK30</f>
        <v>7517</v>
      </c>
      <c r="AL43" s="12">
        <f>'Mitigation Data Scenario 3 '!AL30</f>
        <v>7517</v>
      </c>
      <c r="AM43" s="12">
        <f>'Mitigation Data Scenario 3 '!AM30</f>
        <v>7517</v>
      </c>
      <c r="AN43" s="12">
        <f>'Mitigation Data Scenario 3 '!AN30</f>
        <v>7517</v>
      </c>
      <c r="AO43" s="12">
        <f>'Mitigation Data Scenario 3 '!AO30</f>
        <v>7807</v>
      </c>
      <c r="AP43" s="30">
        <f>'Mitigation Data Scenario 3 '!AP30</f>
        <v>7807</v>
      </c>
    </row>
    <row r="44" spans="1:42" ht="5.25" customHeight="1">
      <c r="A44" s="4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32"/>
    </row>
    <row r="45" spans="1:42">
      <c r="A45" s="47" t="s">
        <v>72</v>
      </c>
      <c r="B45" s="2"/>
      <c r="C45" s="2"/>
      <c r="D45" s="2"/>
      <c r="E45" s="2"/>
      <c r="F45" s="2"/>
      <c r="G45" s="2"/>
      <c r="H45" s="2"/>
      <c r="I45" s="2"/>
      <c r="J45" s="2"/>
      <c r="K45" s="2">
        <f>'Mitigation Data Scenario 3 '!K32</f>
        <v>0</v>
      </c>
      <c r="L45" s="12">
        <f>'Mitigation Data Scenario 3 '!L32+7431</f>
        <v>8486</v>
      </c>
      <c r="M45" s="12">
        <f>'Mitigation Data Scenario 3 '!M32-169</f>
        <v>-29</v>
      </c>
      <c r="N45" s="2">
        <v>0</v>
      </c>
      <c r="O45" s="2">
        <v>0</v>
      </c>
      <c r="P45" s="2">
        <f>349-83</f>
        <v>266</v>
      </c>
      <c r="Q45" s="2">
        <v>0</v>
      </c>
      <c r="R45" s="2">
        <v>0</v>
      </c>
      <c r="S45" s="2">
        <f>-174-83</f>
        <v>-257</v>
      </c>
      <c r="T45" s="2">
        <f>337-83</f>
        <v>254</v>
      </c>
      <c r="U45" s="2">
        <v>0</v>
      </c>
      <c r="V45" s="2">
        <v>-6</v>
      </c>
      <c r="W45" s="2">
        <v>-8</v>
      </c>
      <c r="X45" s="2">
        <v>120</v>
      </c>
      <c r="Y45" s="2">
        <v>0</v>
      </c>
      <c r="Z45" s="2">
        <v>-536</v>
      </c>
      <c r="AA45" s="2">
        <v>99</v>
      </c>
      <c r="AB45" s="2">
        <v>100</v>
      </c>
      <c r="AC45" s="2">
        <v>57</v>
      </c>
      <c r="AD45" s="2">
        <v>0</v>
      </c>
      <c r="AE45" s="2">
        <v>0</v>
      </c>
      <c r="AF45" s="2">
        <v>2</v>
      </c>
      <c r="AG45" s="2">
        <v>0</v>
      </c>
      <c r="AH45" s="2">
        <v>0</v>
      </c>
      <c r="AI45" s="2">
        <v>0</v>
      </c>
      <c r="AJ45" s="2">
        <v>0</v>
      </c>
      <c r="AK45" s="2">
        <v>210</v>
      </c>
      <c r="AL45" s="2">
        <v>0</v>
      </c>
      <c r="AM45" s="2">
        <v>0</v>
      </c>
      <c r="AN45" s="2">
        <v>0</v>
      </c>
      <c r="AO45" s="2">
        <v>331</v>
      </c>
      <c r="AP45" s="32">
        <v>0</v>
      </c>
    </row>
    <row r="46" spans="1:42" ht="15.75" customHeight="1">
      <c r="A46" s="52" t="s">
        <v>73</v>
      </c>
      <c r="B46" s="33"/>
      <c r="C46" s="33"/>
      <c r="D46" s="33"/>
      <c r="E46" s="33"/>
      <c r="F46" s="33"/>
      <c r="G46" s="33"/>
      <c r="H46" s="33"/>
      <c r="I46" s="33"/>
      <c r="J46" s="33"/>
      <c r="K46" s="33">
        <f>'Mitigation Data Scenario 3 '!K33</f>
        <v>0</v>
      </c>
      <c r="L46" s="38">
        <f>L45</f>
        <v>8486</v>
      </c>
      <c r="M46" s="38">
        <f t="shared" ref="M46:AP46" si="39">L46+M45</f>
        <v>8457</v>
      </c>
      <c r="N46" s="38">
        <f t="shared" si="39"/>
        <v>8457</v>
      </c>
      <c r="O46" s="38">
        <f t="shared" si="39"/>
        <v>8457</v>
      </c>
      <c r="P46" s="38">
        <f t="shared" si="39"/>
        <v>8723</v>
      </c>
      <c r="Q46" s="38">
        <f t="shared" si="39"/>
        <v>8723</v>
      </c>
      <c r="R46" s="38">
        <f t="shared" si="39"/>
        <v>8723</v>
      </c>
      <c r="S46" s="38">
        <f t="shared" si="39"/>
        <v>8466</v>
      </c>
      <c r="T46" s="94">
        <f t="shared" si="39"/>
        <v>8720</v>
      </c>
      <c r="U46" s="94">
        <f t="shared" si="39"/>
        <v>8720</v>
      </c>
      <c r="V46" s="94">
        <f t="shared" si="39"/>
        <v>8714</v>
      </c>
      <c r="W46" s="94">
        <f t="shared" si="39"/>
        <v>8706</v>
      </c>
      <c r="X46" s="94">
        <f t="shared" si="39"/>
        <v>8826</v>
      </c>
      <c r="Y46" s="94">
        <f t="shared" si="39"/>
        <v>8826</v>
      </c>
      <c r="Z46" s="94">
        <f t="shared" si="39"/>
        <v>8290</v>
      </c>
      <c r="AA46" s="94">
        <f t="shared" si="39"/>
        <v>8389</v>
      </c>
      <c r="AB46" s="94">
        <f t="shared" si="39"/>
        <v>8489</v>
      </c>
      <c r="AC46" s="94">
        <f t="shared" si="39"/>
        <v>8546</v>
      </c>
      <c r="AD46" s="94">
        <f t="shared" si="39"/>
        <v>8546</v>
      </c>
      <c r="AE46" s="94">
        <f t="shared" si="39"/>
        <v>8546</v>
      </c>
      <c r="AF46" s="94">
        <f t="shared" si="39"/>
        <v>8548</v>
      </c>
      <c r="AG46" s="94">
        <f t="shared" si="39"/>
        <v>8548</v>
      </c>
      <c r="AH46" s="94">
        <f t="shared" si="39"/>
        <v>8548</v>
      </c>
      <c r="AI46" s="94">
        <f t="shared" si="39"/>
        <v>8548</v>
      </c>
      <c r="AJ46" s="94">
        <f t="shared" si="39"/>
        <v>8548</v>
      </c>
      <c r="AK46" s="94">
        <f t="shared" si="39"/>
        <v>8758</v>
      </c>
      <c r="AL46" s="94">
        <f t="shared" si="39"/>
        <v>8758</v>
      </c>
      <c r="AM46" s="94">
        <f t="shared" si="39"/>
        <v>8758</v>
      </c>
      <c r="AN46" s="94">
        <f t="shared" si="39"/>
        <v>8758</v>
      </c>
      <c r="AO46" s="94">
        <f t="shared" si="39"/>
        <v>9089</v>
      </c>
      <c r="AP46" s="95">
        <f t="shared" si="39"/>
        <v>9089</v>
      </c>
    </row>
    <row r="47" spans="1:42" ht="4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</row>
    <row r="48" spans="1:42">
      <c r="A48" s="66"/>
      <c r="B48" s="66"/>
      <c r="C48" s="66"/>
      <c r="D48" s="66"/>
      <c r="E48" s="66"/>
      <c r="F48" s="66"/>
      <c r="G48" s="66"/>
      <c r="H48" s="66"/>
      <c r="I48" s="66"/>
      <c r="J48" s="2"/>
      <c r="K48" s="2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</row>
    <row r="49" spans="1:42" ht="15.75" customHeight="1">
      <c r="A49" s="3" t="s">
        <v>12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</row>
    <row r="50" spans="1:42" ht="15.75" customHeight="1">
      <c r="A50" s="57" t="s">
        <v>13</v>
      </c>
      <c r="B50" s="24">
        <v>1538247</v>
      </c>
      <c r="C50" s="25">
        <f>B50</f>
        <v>1538247</v>
      </c>
      <c r="D50" s="25">
        <f>B50</f>
        <v>1538247</v>
      </c>
      <c r="E50" s="25">
        <f t="shared" ref="E50:K50" si="40">D50</f>
        <v>1538247</v>
      </c>
      <c r="F50" s="25">
        <f t="shared" si="40"/>
        <v>1538247</v>
      </c>
      <c r="G50" s="25">
        <f t="shared" si="40"/>
        <v>1538247</v>
      </c>
      <c r="H50" s="25">
        <f t="shared" si="40"/>
        <v>1538247</v>
      </c>
      <c r="I50" s="25">
        <f t="shared" si="40"/>
        <v>1538247</v>
      </c>
      <c r="J50" s="26">
        <f t="shared" si="40"/>
        <v>1538247</v>
      </c>
      <c r="K50" s="88">
        <f t="shared" si="40"/>
        <v>1538247</v>
      </c>
      <c r="L50" s="25">
        <f t="shared" ref="L50:AP50" si="41">L65</f>
        <v>1538247</v>
      </c>
      <c r="M50" s="25">
        <f t="shared" si="41"/>
        <v>1545747</v>
      </c>
      <c r="N50" s="25">
        <f t="shared" si="41"/>
        <v>1545747</v>
      </c>
      <c r="O50" s="25">
        <f t="shared" si="41"/>
        <v>1545747</v>
      </c>
      <c r="P50" s="25">
        <f t="shared" si="41"/>
        <v>1615622</v>
      </c>
      <c r="Q50" s="25">
        <f t="shared" si="41"/>
        <v>1615622</v>
      </c>
      <c r="R50" s="25">
        <f t="shared" si="41"/>
        <v>1615622</v>
      </c>
      <c r="S50" s="25">
        <f t="shared" si="41"/>
        <v>1577352</v>
      </c>
      <c r="T50" s="25">
        <f t="shared" si="41"/>
        <v>1682582</v>
      </c>
      <c r="U50" s="25">
        <f t="shared" si="41"/>
        <v>1682582</v>
      </c>
      <c r="V50" s="25">
        <f t="shared" si="41"/>
        <v>1698732</v>
      </c>
      <c r="W50" s="25">
        <f t="shared" si="41"/>
        <v>1720732</v>
      </c>
      <c r="X50" s="25">
        <f t="shared" si="41"/>
        <v>1794595</v>
      </c>
      <c r="Y50" s="25">
        <f t="shared" si="41"/>
        <v>1794595</v>
      </c>
      <c r="Z50" s="25">
        <f t="shared" si="41"/>
        <v>1729329</v>
      </c>
      <c r="AA50" s="25">
        <f t="shared" si="41"/>
        <v>1755479</v>
      </c>
      <c r="AB50" s="25">
        <f t="shared" si="41"/>
        <v>1781629</v>
      </c>
      <c r="AC50" s="25">
        <f t="shared" si="41"/>
        <v>1796579</v>
      </c>
      <c r="AD50" s="25">
        <f t="shared" si="41"/>
        <v>1796579</v>
      </c>
      <c r="AE50" s="25">
        <f t="shared" si="41"/>
        <v>1796579</v>
      </c>
      <c r="AF50" s="25">
        <f t="shared" si="41"/>
        <v>1811788</v>
      </c>
      <c r="AG50" s="25">
        <f t="shared" si="41"/>
        <v>1811788</v>
      </c>
      <c r="AH50" s="25">
        <f t="shared" si="41"/>
        <v>1811788</v>
      </c>
      <c r="AI50" s="25">
        <f t="shared" si="41"/>
        <v>1811788</v>
      </c>
      <c r="AJ50" s="25">
        <f t="shared" si="41"/>
        <v>1811788</v>
      </c>
      <c r="AK50" s="25">
        <f t="shared" si="41"/>
        <v>1866788</v>
      </c>
      <c r="AL50" s="25">
        <f t="shared" si="41"/>
        <v>1866788</v>
      </c>
      <c r="AM50" s="25">
        <f t="shared" si="41"/>
        <v>1866788</v>
      </c>
      <c r="AN50" s="25">
        <f t="shared" si="41"/>
        <v>1866788</v>
      </c>
      <c r="AO50" s="25">
        <f t="shared" si="41"/>
        <v>1953788</v>
      </c>
      <c r="AP50" s="27">
        <f t="shared" si="41"/>
        <v>1953788</v>
      </c>
    </row>
    <row r="51" spans="1:42">
      <c r="A51" s="47" t="s">
        <v>14</v>
      </c>
      <c r="B51" s="28">
        <f t="shared" ref="B51:J51" si="42">B39/B50</f>
        <v>1.2704201600913248E-2</v>
      </c>
      <c r="C51" s="28">
        <f t="shared" si="42"/>
        <v>1.2463082976921131E-2</v>
      </c>
      <c r="D51" s="28">
        <f t="shared" si="42"/>
        <v>1.260564785759374E-2</v>
      </c>
      <c r="E51" s="28">
        <f t="shared" si="42"/>
        <v>1.3585659520220094E-2</v>
      </c>
      <c r="F51" s="28">
        <f t="shared" si="42"/>
        <v>1.3350261693993228E-2</v>
      </c>
      <c r="G51" s="28">
        <f t="shared" si="42"/>
        <v>1.2842475883261921E-2</v>
      </c>
      <c r="H51" s="28">
        <f t="shared" si="42"/>
        <v>1.1940605117383618E-2</v>
      </c>
      <c r="I51" s="28">
        <f t="shared" si="42"/>
        <v>1.1189360356301687E-2</v>
      </c>
      <c r="J51" s="29">
        <f t="shared" si="42"/>
        <v>1.2030057591531137E-2</v>
      </c>
      <c r="K51" s="89">
        <f t="shared" ref="K51:AP51" si="43">K50*$B$52</f>
        <v>19264.211111111112</v>
      </c>
      <c r="L51" s="12">
        <f t="shared" si="43"/>
        <v>19264.211111111112</v>
      </c>
      <c r="M51" s="12">
        <f t="shared" si="43"/>
        <v>19358.137238276213</v>
      </c>
      <c r="N51" s="12">
        <f t="shared" si="43"/>
        <v>19358.137238276213</v>
      </c>
      <c r="O51" s="12">
        <f t="shared" si="43"/>
        <v>19358.137238276213</v>
      </c>
      <c r="P51" s="12">
        <f t="shared" si="43"/>
        <v>20233.215656364391</v>
      </c>
      <c r="Q51" s="12">
        <f t="shared" si="43"/>
        <v>20233.215656364391</v>
      </c>
      <c r="R51" s="12">
        <f t="shared" si="43"/>
        <v>20233.215656364391</v>
      </c>
      <c r="S51" s="12">
        <f t="shared" si="43"/>
        <v>19753.941938149943</v>
      </c>
      <c r="T51" s="12">
        <f t="shared" si="43"/>
        <v>21071.788119694404</v>
      </c>
      <c r="U51" s="12">
        <f t="shared" si="43"/>
        <v>21071.788119694404</v>
      </c>
      <c r="V51" s="12">
        <f t="shared" si="43"/>
        <v>21274.04238018992</v>
      </c>
      <c r="W51" s="12">
        <f t="shared" si="43"/>
        <v>21549.55901987421</v>
      </c>
      <c r="X51" s="12">
        <f t="shared" si="43"/>
        <v>22474.581090646981</v>
      </c>
      <c r="Y51" s="12">
        <f t="shared" si="43"/>
        <v>22474.581090646981</v>
      </c>
      <c r="Z51" s="12">
        <f t="shared" si="43"/>
        <v>21657.22340857266</v>
      </c>
      <c r="AA51" s="12">
        <f t="shared" si="43"/>
        <v>21984.712505288309</v>
      </c>
      <c r="AB51" s="12">
        <f t="shared" si="43"/>
        <v>22312.201602003955</v>
      </c>
      <c r="AC51" s="12">
        <f t="shared" si="43"/>
        <v>22499.427682153055</v>
      </c>
      <c r="AD51" s="12">
        <f t="shared" si="43"/>
        <v>22499.427682153055</v>
      </c>
      <c r="AE51" s="12">
        <f t="shared" si="43"/>
        <v>22499.427682153055</v>
      </c>
      <c r="AF51" s="12">
        <f t="shared" si="43"/>
        <v>22689.897344560257</v>
      </c>
      <c r="AG51" s="12">
        <f t="shared" si="43"/>
        <v>22689.897344560257</v>
      </c>
      <c r="AH51" s="12">
        <f t="shared" si="43"/>
        <v>22689.897344560257</v>
      </c>
      <c r="AI51" s="12">
        <f t="shared" si="43"/>
        <v>22689.897344560257</v>
      </c>
      <c r="AJ51" s="12">
        <f t="shared" si="43"/>
        <v>22689.897344560257</v>
      </c>
      <c r="AK51" s="12">
        <f t="shared" si="43"/>
        <v>23378.688943770987</v>
      </c>
      <c r="AL51" s="12">
        <f t="shared" si="43"/>
        <v>23378.688943770987</v>
      </c>
      <c r="AM51" s="12">
        <f t="shared" si="43"/>
        <v>23378.688943770987</v>
      </c>
      <c r="AN51" s="12">
        <f t="shared" si="43"/>
        <v>23378.688943770987</v>
      </c>
      <c r="AO51" s="12">
        <f t="shared" si="43"/>
        <v>24468.232018886145</v>
      </c>
      <c r="AP51" s="30">
        <f t="shared" si="43"/>
        <v>24468.232018886145</v>
      </c>
    </row>
    <row r="52" spans="1:42">
      <c r="A52" s="47" t="s">
        <v>15</v>
      </c>
      <c r="B52" s="31">
        <f>AVERAGE(B51:J51)</f>
        <v>1.2523483622013313E-2</v>
      </c>
      <c r="C52" s="2"/>
      <c r="D52" s="2"/>
      <c r="E52" s="2"/>
      <c r="F52" s="2"/>
      <c r="G52" s="2"/>
      <c r="H52" s="2"/>
      <c r="I52" s="2"/>
      <c r="J52" s="20"/>
      <c r="K52" s="9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32"/>
    </row>
    <row r="53" spans="1:42">
      <c r="A53" s="47" t="s">
        <v>16</v>
      </c>
      <c r="B53" s="12">
        <v>179849</v>
      </c>
      <c r="C53" s="2"/>
      <c r="D53" s="2"/>
      <c r="E53" s="2"/>
      <c r="F53" s="2"/>
      <c r="G53" s="2"/>
      <c r="H53" s="2"/>
      <c r="I53" s="2"/>
      <c r="J53" s="20"/>
      <c r="K53" s="9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32"/>
    </row>
    <row r="54" spans="1:42" ht="15.75" customHeight="1">
      <c r="A54" s="52" t="s">
        <v>17</v>
      </c>
      <c r="B54" s="34">
        <f>(B53*1000)/B50</f>
        <v>116.91815423660829</v>
      </c>
      <c r="C54" s="33"/>
      <c r="D54" s="33"/>
      <c r="E54" s="33"/>
      <c r="F54" s="33"/>
      <c r="G54" s="33"/>
      <c r="H54" s="33"/>
      <c r="I54" s="33"/>
      <c r="J54" s="35"/>
      <c r="K54" s="91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6"/>
    </row>
    <row r="55" spans="1:42" ht="15.75" customHeight="1">
      <c r="A55" s="2"/>
      <c r="B55" s="3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5.75" customHeight="1">
      <c r="A56" s="3" t="s">
        <v>18</v>
      </c>
      <c r="B56" s="3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5.75" customHeight="1">
      <c r="A57" s="92" t="s">
        <v>19</v>
      </c>
      <c r="B57" s="25">
        <f>B50</f>
        <v>1538247</v>
      </c>
      <c r="C57" s="25">
        <f t="shared" ref="C57:L57" si="44">B57</f>
        <v>1538247</v>
      </c>
      <c r="D57" s="25">
        <f t="shared" si="44"/>
        <v>1538247</v>
      </c>
      <c r="E57" s="25">
        <f t="shared" si="44"/>
        <v>1538247</v>
      </c>
      <c r="F57" s="25">
        <f t="shared" si="44"/>
        <v>1538247</v>
      </c>
      <c r="G57" s="25">
        <f t="shared" si="44"/>
        <v>1538247</v>
      </c>
      <c r="H57" s="25">
        <f t="shared" si="44"/>
        <v>1538247</v>
      </c>
      <c r="I57" s="25">
        <f t="shared" si="44"/>
        <v>1538247</v>
      </c>
      <c r="J57" s="25">
        <f t="shared" si="44"/>
        <v>1538247</v>
      </c>
      <c r="K57" s="25">
        <f t="shared" si="44"/>
        <v>1538247</v>
      </c>
      <c r="L57" s="25">
        <f t="shared" si="44"/>
        <v>1538247</v>
      </c>
      <c r="M57" s="25">
        <f t="shared" ref="M57:AP57" si="45">$B$57+M58-M59-M60-M61</f>
        <v>1505247</v>
      </c>
      <c r="N57" s="25">
        <f t="shared" si="45"/>
        <v>1505247</v>
      </c>
      <c r="O57" s="25">
        <f t="shared" si="45"/>
        <v>1505247</v>
      </c>
      <c r="P57" s="25">
        <f t="shared" si="45"/>
        <v>1505247</v>
      </c>
      <c r="Q57" s="25">
        <f t="shared" si="45"/>
        <v>1505247</v>
      </c>
      <c r="R57" s="25">
        <f t="shared" si="45"/>
        <v>1505247</v>
      </c>
      <c r="S57" s="25">
        <f t="shared" si="45"/>
        <v>1441977</v>
      </c>
      <c r="T57" s="25">
        <f t="shared" si="45"/>
        <v>1358332</v>
      </c>
      <c r="U57" s="25">
        <f t="shared" si="45"/>
        <v>1358332</v>
      </c>
      <c r="V57" s="25">
        <f t="shared" si="45"/>
        <v>1319832</v>
      </c>
      <c r="W57" s="25">
        <f t="shared" si="45"/>
        <v>1267994</v>
      </c>
      <c r="X57" s="25">
        <f t="shared" si="45"/>
        <v>1175768</v>
      </c>
      <c r="Y57" s="25">
        <f t="shared" si="45"/>
        <v>1175768</v>
      </c>
      <c r="Z57" s="25">
        <f t="shared" si="45"/>
        <v>1012591</v>
      </c>
      <c r="AA57" s="25">
        <f t="shared" si="45"/>
        <v>1012591</v>
      </c>
      <c r="AB57" s="25">
        <f t="shared" si="45"/>
        <v>1012591</v>
      </c>
      <c r="AC57" s="25">
        <f t="shared" si="45"/>
        <v>1012591</v>
      </c>
      <c r="AD57" s="25">
        <f t="shared" si="45"/>
        <v>1012591</v>
      </c>
      <c r="AE57" s="25">
        <f t="shared" si="45"/>
        <v>1012591</v>
      </c>
      <c r="AF57" s="25">
        <f t="shared" si="45"/>
        <v>980879</v>
      </c>
      <c r="AG57" s="25">
        <f t="shared" si="45"/>
        <v>980879</v>
      </c>
      <c r="AH57" s="25">
        <f t="shared" si="45"/>
        <v>980879</v>
      </c>
      <c r="AI57" s="25">
        <f t="shared" si="45"/>
        <v>980879</v>
      </c>
      <c r="AJ57" s="25">
        <f t="shared" si="45"/>
        <v>980879</v>
      </c>
      <c r="AK57" s="25">
        <f t="shared" si="45"/>
        <v>980879</v>
      </c>
      <c r="AL57" s="25">
        <f t="shared" si="45"/>
        <v>980879</v>
      </c>
      <c r="AM57" s="25">
        <f t="shared" si="45"/>
        <v>980879</v>
      </c>
      <c r="AN57" s="25">
        <f t="shared" si="45"/>
        <v>980879</v>
      </c>
      <c r="AO57" s="25">
        <f t="shared" si="45"/>
        <v>980879</v>
      </c>
      <c r="AP57" s="27">
        <f t="shared" si="45"/>
        <v>980879</v>
      </c>
    </row>
    <row r="58" spans="1:42">
      <c r="A58" s="93" t="s">
        <v>20</v>
      </c>
      <c r="B58" s="12"/>
      <c r="C58" s="12"/>
      <c r="D58" s="12"/>
      <c r="E58" s="12"/>
      <c r="F58" s="12"/>
      <c r="G58" s="12"/>
      <c r="H58" s="12"/>
      <c r="I58" s="12"/>
      <c r="J58" s="12"/>
      <c r="K58" s="12">
        <f>'Mitigation Data Scenario 3 '!K45</f>
        <v>0</v>
      </c>
      <c r="L58" s="12">
        <f>'Mitigation Data Scenario 3 '!L45</f>
        <v>0</v>
      </c>
      <c r="M58" s="12">
        <f>'Mitigation Data Scenario 3 '!M45</f>
        <v>0</v>
      </c>
      <c r="N58" s="12">
        <f>'Mitigation Data Scenario 3 '!N45</f>
        <v>0</v>
      </c>
      <c r="O58" s="12">
        <f>'Mitigation Data Scenario 3 '!O45</f>
        <v>0</v>
      </c>
      <c r="P58" s="12">
        <f>'Mitigation Data Scenario 3 '!P45</f>
        <v>0</v>
      </c>
      <c r="Q58" s="12">
        <f>'Mitigation Data Scenario 3 '!Q45</f>
        <v>0</v>
      </c>
      <c r="R58" s="12">
        <f>'Mitigation Data Scenario 3 '!R45</f>
        <v>0</v>
      </c>
      <c r="S58" s="12">
        <f>'Mitigation Data Scenario 3 '!S45</f>
        <v>-38270</v>
      </c>
      <c r="T58" s="12">
        <f>'Mitigation Data Scenario 3 '!T45</f>
        <v>-121915</v>
      </c>
      <c r="U58" s="12">
        <f>'Mitigation Data Scenario 3 '!U45</f>
        <v>-121915</v>
      </c>
      <c r="V58" s="12">
        <f>'Mitigation Data Scenario 3 '!V45</f>
        <v>-121915</v>
      </c>
      <c r="W58" s="12">
        <f>'Mitigation Data Scenario 3 '!W45</f>
        <v>-121915</v>
      </c>
      <c r="X58" s="12">
        <f>'Mitigation Data Scenario 3 '!X45</f>
        <v>-183052</v>
      </c>
      <c r="Y58" s="12">
        <f>'Mitigation Data Scenario 3 '!Y45</f>
        <v>-183052</v>
      </c>
      <c r="Z58" s="12">
        <f>'Mitigation Data Scenario 3 '!Z45</f>
        <v>-248318</v>
      </c>
      <c r="AA58" s="12">
        <f>'Mitigation Data Scenario 3 '!AA45</f>
        <v>-248318</v>
      </c>
      <c r="AB58" s="12">
        <f>'Mitigation Data Scenario 3 '!AB45</f>
        <v>-248318</v>
      </c>
      <c r="AC58" s="12">
        <f>'Mitigation Data Scenario 3 '!AC45</f>
        <v>-248318</v>
      </c>
      <c r="AD58" s="12">
        <f>'Mitigation Data Scenario 3 '!AD45</f>
        <v>-248318</v>
      </c>
      <c r="AE58" s="12">
        <f>'Mitigation Data Scenario 3 '!AE45</f>
        <v>-248318</v>
      </c>
      <c r="AF58" s="12">
        <f>'Mitigation Data Scenario 3 '!AF45</f>
        <v>-248318</v>
      </c>
      <c r="AG58" s="12">
        <f>'Mitigation Data Scenario 3 '!AG45</f>
        <v>-248318</v>
      </c>
      <c r="AH58" s="12">
        <f>'Mitigation Data Scenario 3 '!AH45</f>
        <v>-248318</v>
      </c>
      <c r="AI58" s="12">
        <f>'Mitigation Data Scenario 3 '!AI45</f>
        <v>-248318</v>
      </c>
      <c r="AJ58" s="12">
        <f>'Mitigation Data Scenario 3 '!AJ45</f>
        <v>-248318</v>
      </c>
      <c r="AK58" s="12">
        <f>'Mitigation Data Scenario 3 '!AK45</f>
        <v>-248318</v>
      </c>
      <c r="AL58" s="12">
        <f>'Mitigation Data Scenario 3 '!AL45</f>
        <v>-248318</v>
      </c>
      <c r="AM58" s="12">
        <f>'Mitigation Data Scenario 3 '!AM45</f>
        <v>-248318</v>
      </c>
      <c r="AN58" s="12">
        <f>'Mitigation Data Scenario 3 '!AN45</f>
        <v>-248318</v>
      </c>
      <c r="AO58" s="12">
        <f>'Mitigation Data Scenario 3 '!AO45</f>
        <v>-248318</v>
      </c>
      <c r="AP58" s="30">
        <f>'Mitigation Data Scenario 3 '!AP45</f>
        <v>-248318</v>
      </c>
    </row>
    <row r="59" spans="1:42">
      <c r="A59" s="93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>
        <f>'Mitigation Data Scenario 3 '!K46</f>
        <v>0</v>
      </c>
      <c r="L59" s="12">
        <f>'Mitigation Data Scenario 3 '!L46</f>
        <v>0</v>
      </c>
      <c r="M59" s="12">
        <f>'Mitigation Data Scenario 3 '!M46</f>
        <v>33000</v>
      </c>
      <c r="N59" s="12">
        <f>'Mitigation Data Scenario 3 '!N46</f>
        <v>33000</v>
      </c>
      <c r="O59" s="12">
        <f>'Mitigation Data Scenario 3 '!O46</f>
        <v>33000</v>
      </c>
      <c r="P59" s="12">
        <f>'Mitigation Data Scenario 3 '!P46</f>
        <v>33000</v>
      </c>
      <c r="Q59" s="12">
        <f>'Mitigation Data Scenario 3 '!Q46</f>
        <v>33000</v>
      </c>
      <c r="R59" s="12">
        <f>'Mitigation Data Scenario 3 '!R46</f>
        <v>33000</v>
      </c>
      <c r="S59" s="12">
        <f>'Mitigation Data Scenario 3 '!S46</f>
        <v>58000</v>
      </c>
      <c r="T59" s="12">
        <f>'Mitigation Data Scenario 3 '!T46</f>
        <v>58000</v>
      </c>
      <c r="U59" s="12">
        <f>'Mitigation Data Scenario 3 '!U46</f>
        <v>58000</v>
      </c>
      <c r="V59" s="12">
        <f>'Mitigation Data Scenario 3 '!V46</f>
        <v>96500</v>
      </c>
      <c r="W59" s="12">
        <f>'Mitigation Data Scenario 3 '!W46</f>
        <v>148338</v>
      </c>
      <c r="X59" s="12">
        <f>'Mitigation Data Scenario 3 '!X46</f>
        <v>179427</v>
      </c>
      <c r="Y59" s="12">
        <f>'Mitigation Data Scenario 3 '!Y46</f>
        <v>179427</v>
      </c>
      <c r="Z59" s="12">
        <f>'Mitigation Data Scenario 3 '!Z46</f>
        <v>249827</v>
      </c>
      <c r="AA59" s="12">
        <f>'Mitigation Data Scenario 3 '!AA46</f>
        <v>249827</v>
      </c>
      <c r="AB59" s="12">
        <f>'Mitigation Data Scenario 3 '!AB46</f>
        <v>249827</v>
      </c>
      <c r="AC59" s="12">
        <f>'Mitigation Data Scenario 3 '!AC46</f>
        <v>249827</v>
      </c>
      <c r="AD59" s="12">
        <f>'Mitigation Data Scenario 3 '!AD46</f>
        <v>249827</v>
      </c>
      <c r="AE59" s="12">
        <f>'Mitigation Data Scenario 3 '!AE46</f>
        <v>249827</v>
      </c>
      <c r="AF59" s="12">
        <f>'Mitigation Data Scenario 3 '!AF46</f>
        <v>281539</v>
      </c>
      <c r="AG59" s="12">
        <f>'Mitigation Data Scenario 3 '!AG46</f>
        <v>281539</v>
      </c>
      <c r="AH59" s="12">
        <f>'Mitigation Data Scenario 3 '!AH46</f>
        <v>281539</v>
      </c>
      <c r="AI59" s="12">
        <f>'Mitigation Data Scenario 3 '!AI46</f>
        <v>281539</v>
      </c>
      <c r="AJ59" s="12">
        <f>'Mitigation Data Scenario 3 '!AJ46</f>
        <v>281539</v>
      </c>
      <c r="AK59" s="12">
        <f>'Mitigation Data Scenario 3 '!AK46</f>
        <v>281539</v>
      </c>
      <c r="AL59" s="12">
        <f>'Mitigation Data Scenario 3 '!AL46</f>
        <v>281539</v>
      </c>
      <c r="AM59" s="12">
        <f>'Mitigation Data Scenario 3 '!AM46</f>
        <v>281539</v>
      </c>
      <c r="AN59" s="12">
        <f>'Mitigation Data Scenario 3 '!AN46</f>
        <v>281539</v>
      </c>
      <c r="AO59" s="12">
        <f>'Mitigation Data Scenario 3 '!AO46</f>
        <v>281539</v>
      </c>
      <c r="AP59" s="30">
        <f>'Mitigation Data Scenario 3 '!AP46</f>
        <v>281539</v>
      </c>
    </row>
    <row r="60" spans="1:42">
      <c r="A60" s="93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>
        <f>'Mitigation Data Scenario 3 '!K47</f>
        <v>0</v>
      </c>
      <c r="L60" s="12">
        <f>'Mitigation Data Scenario 3 '!L47</f>
        <v>0</v>
      </c>
      <c r="M60" s="12">
        <f>'Mitigation Data Scenario 3 '!M47</f>
        <v>0</v>
      </c>
      <c r="N60" s="12">
        <f>'Mitigation Data Scenario 3 '!N47</f>
        <v>0</v>
      </c>
      <c r="O60" s="12">
        <f>'Mitigation Data Scenario 3 '!O47</f>
        <v>0</v>
      </c>
      <c r="P60" s="12">
        <f>'Mitigation Data Scenario 3 '!P47</f>
        <v>0</v>
      </c>
      <c r="Q60" s="12">
        <f>'Mitigation Data Scenario 3 '!Q47</f>
        <v>0</v>
      </c>
      <c r="R60" s="12">
        <f>'Mitigation Data Scenario 3 '!R47</f>
        <v>0</v>
      </c>
      <c r="S60" s="12">
        <f>'Mitigation Data Scenario 3 '!S47</f>
        <v>0</v>
      </c>
      <c r="T60" s="12">
        <f>'Mitigation Data Scenario 3 '!T47</f>
        <v>0</v>
      </c>
      <c r="U60" s="12">
        <f>'Mitigation Data Scenario 3 '!U47</f>
        <v>0</v>
      </c>
      <c r="V60" s="12">
        <f>'Mitigation Data Scenario 3 '!V47</f>
        <v>0</v>
      </c>
      <c r="W60" s="12">
        <f>'Mitigation Data Scenario 3 '!W47</f>
        <v>0</v>
      </c>
      <c r="X60" s="12">
        <f>'Mitigation Data Scenario 3 '!X47</f>
        <v>0</v>
      </c>
      <c r="Y60" s="12">
        <f>'Mitigation Data Scenario 3 '!Y47</f>
        <v>0</v>
      </c>
      <c r="Z60" s="12">
        <f>'Mitigation Data Scenario 3 '!Z47</f>
        <v>27511</v>
      </c>
      <c r="AA60" s="12">
        <f>'Mitigation Data Scenario 3 '!AA47</f>
        <v>27511</v>
      </c>
      <c r="AB60" s="12">
        <f>'Mitigation Data Scenario 3 '!AB47</f>
        <v>27511</v>
      </c>
      <c r="AC60" s="12">
        <f>'Mitigation Data Scenario 3 '!AC47</f>
        <v>27511</v>
      </c>
      <c r="AD60" s="12">
        <f>'Mitigation Data Scenario 3 '!AD47</f>
        <v>27511</v>
      </c>
      <c r="AE60" s="12">
        <f>'Mitigation Data Scenario 3 '!AE47</f>
        <v>27511</v>
      </c>
      <c r="AF60" s="12">
        <f>'Mitigation Data Scenario 3 '!AF47</f>
        <v>27511</v>
      </c>
      <c r="AG60" s="12">
        <f>'Mitigation Data Scenario 3 '!AG47</f>
        <v>27511</v>
      </c>
      <c r="AH60" s="12">
        <f>'Mitigation Data Scenario 3 '!AH47</f>
        <v>27511</v>
      </c>
      <c r="AI60" s="12">
        <f>'Mitigation Data Scenario 3 '!AI47</f>
        <v>27511</v>
      </c>
      <c r="AJ60" s="12">
        <f>'Mitigation Data Scenario 3 '!AJ47</f>
        <v>27511</v>
      </c>
      <c r="AK60" s="12">
        <f>'Mitigation Data Scenario 3 '!AK47</f>
        <v>27511</v>
      </c>
      <c r="AL60" s="12">
        <f>'Mitigation Data Scenario 3 '!AL47</f>
        <v>27511</v>
      </c>
      <c r="AM60" s="12">
        <f>'Mitigation Data Scenario 3 '!AM47</f>
        <v>27511</v>
      </c>
      <c r="AN60" s="12">
        <f>'Mitigation Data Scenario 3 '!AN47</f>
        <v>27511</v>
      </c>
      <c r="AO60" s="12">
        <f>'Mitigation Data Scenario 3 '!AO47</f>
        <v>27511</v>
      </c>
      <c r="AP60" s="30">
        <f>'Mitigation Data Scenario 3 '!AP47</f>
        <v>27511</v>
      </c>
    </row>
    <row r="61" spans="1:42">
      <c r="A61" s="93" t="s">
        <v>76</v>
      </c>
      <c r="B61" s="12"/>
      <c r="C61" s="12"/>
      <c r="D61" s="12"/>
      <c r="E61" s="12"/>
      <c r="F61" s="12"/>
      <c r="G61" s="12"/>
      <c r="H61" s="12"/>
      <c r="I61" s="12"/>
      <c r="J61" s="12"/>
      <c r="K61" s="12">
        <f>'Mitigation Data Scenario 3 '!K48</f>
        <v>0</v>
      </c>
      <c r="L61" s="12">
        <f>'Mitigation Data Scenario 3 '!L48</f>
        <v>0</v>
      </c>
      <c r="M61" s="12">
        <f>'Mitigation Data Scenario 3 '!M48</f>
        <v>0</v>
      </c>
      <c r="N61" s="12">
        <f>'Mitigation Data Scenario 3 '!N48</f>
        <v>0</v>
      </c>
      <c r="O61" s="12">
        <f>'Mitigation Data Scenario 3 '!O48</f>
        <v>0</v>
      </c>
      <c r="P61" s="12">
        <f>'Mitigation Data Scenario 3 '!P48</f>
        <v>0</v>
      </c>
      <c r="Q61" s="12">
        <f>'Mitigation Data Scenario 3 '!Q48</f>
        <v>0</v>
      </c>
      <c r="R61" s="12">
        <f>'Mitigation Data Scenario 3 '!R48</f>
        <v>0</v>
      </c>
      <c r="S61" s="12">
        <f>'Mitigation Data Scenario 3 '!S48</f>
        <v>0</v>
      </c>
      <c r="T61" s="12">
        <f>'Mitigation Data Scenario 3 '!T48</f>
        <v>0</v>
      </c>
      <c r="U61" s="12">
        <f>'Mitigation Data Scenario 3 '!U48</f>
        <v>0</v>
      </c>
      <c r="V61" s="12">
        <f>'Mitigation Data Scenario 3 '!V48</f>
        <v>0</v>
      </c>
      <c r="W61" s="12">
        <f>'Mitigation Data Scenario 3 '!W48</f>
        <v>0</v>
      </c>
      <c r="X61" s="12">
        <f>'Mitigation Data Scenario 3 '!X48</f>
        <v>0</v>
      </c>
      <c r="Y61" s="12">
        <f>'Mitigation Data Scenario 3 '!Y48</f>
        <v>0</v>
      </c>
      <c r="Z61" s="12">
        <f>'Mitigation Data Scenario 3 '!Z48</f>
        <v>0</v>
      </c>
      <c r="AA61" s="12">
        <f>'Mitigation Data Scenario 3 '!AA48</f>
        <v>0</v>
      </c>
      <c r="AB61" s="12">
        <f>'Mitigation Data Scenario 3 '!AB48</f>
        <v>0</v>
      </c>
      <c r="AC61" s="12">
        <f>'Mitigation Data Scenario 3 '!AC48</f>
        <v>0</v>
      </c>
      <c r="AD61" s="12">
        <f>'Mitigation Data Scenario 3 '!AD48</f>
        <v>0</v>
      </c>
      <c r="AE61" s="12">
        <f>'Mitigation Data Scenario 3 '!AE48</f>
        <v>0</v>
      </c>
      <c r="AF61" s="12">
        <f>'Mitigation Data Scenario 3 '!AF48</f>
        <v>0</v>
      </c>
      <c r="AG61" s="12">
        <f>'Mitigation Data Scenario 3 '!AG48</f>
        <v>0</v>
      </c>
      <c r="AH61" s="12">
        <f>'Mitigation Data Scenario 3 '!AH48</f>
        <v>0</v>
      </c>
      <c r="AI61" s="12">
        <f>'Mitigation Data Scenario 3 '!AI48</f>
        <v>0</v>
      </c>
      <c r="AJ61" s="12">
        <f>'Mitigation Data Scenario 3 '!AJ48</f>
        <v>0</v>
      </c>
      <c r="AK61" s="12">
        <f>'Mitigation Data Scenario 3 '!AK48</f>
        <v>0</v>
      </c>
      <c r="AL61" s="12">
        <f>'Mitigation Data Scenario 3 '!AL48</f>
        <v>0</v>
      </c>
      <c r="AM61" s="12">
        <f>'Mitigation Data Scenario 3 '!AM48</f>
        <v>0</v>
      </c>
      <c r="AN61" s="12">
        <f>'Mitigation Data Scenario 3 '!AN48</f>
        <v>0</v>
      </c>
      <c r="AO61" s="12">
        <f>'Mitigation Data Scenario 3 '!AO48</f>
        <v>0</v>
      </c>
      <c r="AP61" s="30">
        <f>'Mitigation Data Scenario 3 '!AP48</f>
        <v>0</v>
      </c>
    </row>
    <row r="62" spans="1:42">
      <c r="A62" s="93" t="s">
        <v>77</v>
      </c>
      <c r="B62" s="12"/>
      <c r="C62" s="12"/>
      <c r="D62" s="12"/>
      <c r="E62" s="12"/>
      <c r="F62" s="12"/>
      <c r="G62" s="12"/>
      <c r="H62" s="12"/>
      <c r="I62" s="12"/>
      <c r="J62" s="12"/>
      <c r="K62" s="12">
        <f>'Mitigation Data Scenario 3 '!K50</f>
        <v>0</v>
      </c>
      <c r="L62" s="12">
        <f>'Mitigation Data Scenario 3 '!L50</f>
        <v>0</v>
      </c>
      <c r="M62" s="12">
        <f>'Mitigation Data Scenario 3 '!M49</f>
        <v>7500</v>
      </c>
      <c r="N62" s="12">
        <f>'Mitigation Data Scenario 3 '!N49</f>
        <v>7500</v>
      </c>
      <c r="O62" s="12">
        <f>'Mitigation Data Scenario 3 '!O49</f>
        <v>7500</v>
      </c>
      <c r="P62" s="12">
        <f>'Mitigation Data Scenario 3 '!P49</f>
        <v>77375</v>
      </c>
      <c r="Q62" s="12">
        <f>'Mitigation Data Scenario 3 '!Q49</f>
        <v>77375</v>
      </c>
      <c r="R62" s="12">
        <f>'Mitigation Data Scenario 3 '!R49</f>
        <v>77375</v>
      </c>
      <c r="S62" s="12">
        <f>'Mitigation Data Scenario 3 '!S49</f>
        <v>77375</v>
      </c>
      <c r="T62" s="12">
        <f>'Mitigation Data Scenario 3 '!T49</f>
        <v>266250</v>
      </c>
      <c r="U62" s="12">
        <f>'Mitigation Data Scenario 3 '!U49</f>
        <v>266250</v>
      </c>
      <c r="V62" s="12">
        <f>'Mitigation Data Scenario 3 '!V49</f>
        <v>282400</v>
      </c>
      <c r="W62" s="12">
        <f>'Mitigation Data Scenario 3 '!W49</f>
        <v>304400</v>
      </c>
      <c r="X62" s="12">
        <f>'Mitigation Data Scenario 3 '!X49</f>
        <v>304400</v>
      </c>
      <c r="Y62" s="12">
        <f>'Mitigation Data Scenario 3 '!Y49</f>
        <v>304400</v>
      </c>
      <c r="Z62" s="12">
        <f>'Mitigation Data Scenario 3 '!Z49</f>
        <v>304400</v>
      </c>
      <c r="AA62" s="12">
        <f>'Mitigation Data Scenario 3 '!AA49</f>
        <v>330550</v>
      </c>
      <c r="AB62" s="12">
        <f>'Mitigation Data Scenario 3 '!AB49</f>
        <v>356700</v>
      </c>
      <c r="AC62" s="12">
        <f>'Mitigation Data Scenario 3 '!AC49</f>
        <v>371650</v>
      </c>
      <c r="AD62" s="12">
        <f>'Mitigation Data Scenario 3 '!AD49</f>
        <v>371650</v>
      </c>
      <c r="AE62" s="12">
        <f>'Mitigation Data Scenario 3 '!AE49</f>
        <v>371650</v>
      </c>
      <c r="AF62" s="12">
        <f>'Mitigation Data Scenario 3 '!AF49</f>
        <v>386859</v>
      </c>
      <c r="AG62" s="12">
        <f>'Mitigation Data Scenario 3 '!AG49</f>
        <v>386859</v>
      </c>
      <c r="AH62" s="12">
        <f>'Mitigation Data Scenario 3 '!AH49</f>
        <v>386859</v>
      </c>
      <c r="AI62" s="12">
        <f>'Mitigation Data Scenario 3 '!AI49</f>
        <v>386859</v>
      </c>
      <c r="AJ62" s="12">
        <f>'Mitigation Data Scenario 3 '!AJ49</f>
        <v>386859</v>
      </c>
      <c r="AK62" s="12">
        <f>'Mitigation Data Scenario 3 '!AK49</f>
        <v>441859</v>
      </c>
      <c r="AL62" s="12">
        <f>'Mitigation Data Scenario 3 '!AL49</f>
        <v>441859</v>
      </c>
      <c r="AM62" s="12">
        <f>'Mitigation Data Scenario 3 '!AM49</f>
        <v>441859</v>
      </c>
      <c r="AN62" s="12">
        <f>'Mitigation Data Scenario 3 '!AN49</f>
        <v>441859</v>
      </c>
      <c r="AO62" s="12">
        <f>'Mitigation Data Scenario 3 '!AO49</f>
        <v>528859</v>
      </c>
      <c r="AP62" s="12">
        <f>'Mitigation Data Scenario 3 '!AP49</f>
        <v>528859</v>
      </c>
    </row>
    <row r="63" spans="1:42">
      <c r="A63" s="93" t="s">
        <v>78</v>
      </c>
      <c r="B63" s="12"/>
      <c r="C63" s="12"/>
      <c r="D63" s="12"/>
      <c r="E63" s="12"/>
      <c r="F63" s="12"/>
      <c r="G63" s="12"/>
      <c r="H63" s="12"/>
      <c r="I63" s="12"/>
      <c r="J63" s="12"/>
      <c r="K63" s="12">
        <f>'Mitigation Data Scenario 3 '!K50</f>
        <v>0</v>
      </c>
      <c r="L63" s="12">
        <f>'Mitigation Data Scenario 3 '!L50</f>
        <v>0</v>
      </c>
      <c r="M63" s="12">
        <f>'Mitigation Data Scenario 3 '!M50</f>
        <v>0</v>
      </c>
      <c r="N63" s="12">
        <f>'Mitigation Data Scenario 3 '!N50</f>
        <v>0</v>
      </c>
      <c r="O63" s="12">
        <f>'Mitigation Data Scenario 3 '!O50</f>
        <v>0</v>
      </c>
      <c r="P63" s="12">
        <f>'Mitigation Data Scenario 3 '!P50</f>
        <v>0</v>
      </c>
      <c r="Q63" s="12">
        <f>'Mitigation Data Scenario 3 '!Q50</f>
        <v>0</v>
      </c>
      <c r="R63" s="12">
        <f>'Mitigation Data Scenario 3 '!R50</f>
        <v>0</v>
      </c>
      <c r="S63" s="12">
        <f>'Mitigation Data Scenario 3 '!S50</f>
        <v>0</v>
      </c>
      <c r="T63" s="12">
        <f>'Mitigation Data Scenario 3 '!T50</f>
        <v>0</v>
      </c>
      <c r="U63" s="12">
        <f>'Mitigation Data Scenario 3 '!U50</f>
        <v>0</v>
      </c>
      <c r="V63" s="12">
        <f>'Mitigation Data Scenario 3 '!V50</f>
        <v>0</v>
      </c>
      <c r="W63" s="12">
        <f>'Mitigation Data Scenario 3 '!W50</f>
        <v>0</v>
      </c>
      <c r="X63" s="12">
        <f>'Mitigation Data Scenario 3 '!X50</f>
        <v>0</v>
      </c>
      <c r="Y63" s="12">
        <f>'Mitigation Data Scenario 3 '!Y50</f>
        <v>0</v>
      </c>
      <c r="Z63" s="12">
        <f>'Mitigation Data Scenario 3 '!Z50</f>
        <v>0</v>
      </c>
      <c r="AA63" s="12">
        <f>'Mitigation Data Scenario 3 '!AA50</f>
        <v>0</v>
      </c>
      <c r="AB63" s="12">
        <f>'Mitigation Data Scenario 3 '!AB50</f>
        <v>0</v>
      </c>
      <c r="AC63" s="12">
        <f>'Mitigation Data Scenario 3 '!AC50</f>
        <v>0</v>
      </c>
      <c r="AD63" s="12">
        <f>'Mitigation Data Scenario 3 '!AD50</f>
        <v>0</v>
      </c>
      <c r="AE63" s="12">
        <f>'Mitigation Data Scenario 3 '!AE50</f>
        <v>0</v>
      </c>
      <c r="AF63" s="12">
        <f>'Mitigation Data Scenario 3 '!AF50</f>
        <v>0</v>
      </c>
      <c r="AG63" s="12">
        <f>'Mitigation Data Scenario 3 '!AG50</f>
        <v>0</v>
      </c>
      <c r="AH63" s="12">
        <f>'Mitigation Data Scenario 3 '!AH50</f>
        <v>0</v>
      </c>
      <c r="AI63" s="12">
        <f>'Mitigation Data Scenario 3 '!AI50</f>
        <v>0</v>
      </c>
      <c r="AJ63" s="12">
        <f>'Mitigation Data Scenario 3 '!AJ50</f>
        <v>0</v>
      </c>
      <c r="AK63" s="12">
        <f>'Mitigation Data Scenario 3 '!AK50</f>
        <v>0</v>
      </c>
      <c r="AL63" s="12">
        <f>'Mitigation Data Scenario 3 '!AL50</f>
        <v>0</v>
      </c>
      <c r="AM63" s="12">
        <f>'Mitigation Data Scenario 3 '!AM50</f>
        <v>0</v>
      </c>
      <c r="AN63" s="12">
        <f>'Mitigation Data Scenario 3 '!AN50</f>
        <v>0</v>
      </c>
      <c r="AO63" s="12">
        <f>'Mitigation Data Scenario 3 '!AO50</f>
        <v>0</v>
      </c>
      <c r="AP63" s="30">
        <f>'Mitigation Data Scenario 3 '!AP50</f>
        <v>0</v>
      </c>
    </row>
    <row r="64" spans="1:42">
      <c r="A64" s="93" t="s">
        <v>79</v>
      </c>
      <c r="B64" s="12"/>
      <c r="C64" s="12"/>
      <c r="D64" s="12"/>
      <c r="E64" s="12"/>
      <c r="F64" s="12"/>
      <c r="G64" s="12"/>
      <c r="H64" s="12"/>
      <c r="I64" s="12"/>
      <c r="J64" s="12"/>
      <c r="K64" s="12">
        <f>'Mitigation Data Scenario 3 '!K51</f>
        <v>0</v>
      </c>
      <c r="L64" s="12">
        <f>'Mitigation Data Scenario 3 '!L51</f>
        <v>0</v>
      </c>
      <c r="M64" s="12">
        <f>'Mitigation Data Scenario 3 '!M51</f>
        <v>0</v>
      </c>
      <c r="N64" s="12">
        <f>'Mitigation Data Scenario 3 '!N51</f>
        <v>0</v>
      </c>
      <c r="O64" s="12">
        <f>'Mitigation Data Scenario 3 '!O51</f>
        <v>0</v>
      </c>
      <c r="P64" s="12">
        <f>'Mitigation Data Scenario 3 '!P51</f>
        <v>0</v>
      </c>
      <c r="Q64" s="12">
        <f>'Mitigation Data Scenario 3 '!Q51</f>
        <v>0</v>
      </c>
      <c r="R64" s="12">
        <f>'Mitigation Data Scenario 3 '!R51</f>
        <v>0</v>
      </c>
      <c r="S64" s="12">
        <f>'Mitigation Data Scenario 3 '!S51</f>
        <v>0</v>
      </c>
      <c r="T64" s="12">
        <f>'Mitigation Data Scenario 3 '!T51</f>
        <v>0</v>
      </c>
      <c r="U64" s="12">
        <f>'Mitigation Data Scenario 3 '!U51</f>
        <v>0</v>
      </c>
      <c r="V64" s="12">
        <f>'Mitigation Data Scenario 3 '!V51</f>
        <v>0</v>
      </c>
      <c r="W64" s="12">
        <f>'Mitigation Data Scenario 3 '!W51</f>
        <v>0</v>
      </c>
      <c r="X64" s="12">
        <f>'Mitigation Data Scenario 3 '!X51</f>
        <v>135000</v>
      </c>
      <c r="Y64" s="12">
        <f>'Mitigation Data Scenario 3 '!Y51</f>
        <v>135000</v>
      </c>
      <c r="Z64" s="12">
        <f>'Mitigation Data Scenario 3 '!Z51</f>
        <v>135000</v>
      </c>
      <c r="AA64" s="12">
        <f>'Mitigation Data Scenario 3 '!AA51</f>
        <v>135000</v>
      </c>
      <c r="AB64" s="12">
        <f>'Mitigation Data Scenario 3 '!AB51</f>
        <v>135000</v>
      </c>
      <c r="AC64" s="12">
        <f>'Mitigation Data Scenario 3 '!AC51</f>
        <v>135000</v>
      </c>
      <c r="AD64" s="12">
        <f>'Mitigation Data Scenario 3 '!AD51</f>
        <v>135000</v>
      </c>
      <c r="AE64" s="12">
        <f>'Mitigation Data Scenario 3 '!AE51</f>
        <v>135000</v>
      </c>
      <c r="AF64" s="12">
        <f>'Mitigation Data Scenario 3 '!AF51</f>
        <v>135000</v>
      </c>
      <c r="AG64" s="12">
        <f>'Mitigation Data Scenario 3 '!AG51</f>
        <v>135000</v>
      </c>
      <c r="AH64" s="12">
        <f>'Mitigation Data Scenario 3 '!AH51</f>
        <v>135000</v>
      </c>
      <c r="AI64" s="12">
        <f>'Mitigation Data Scenario 3 '!AI51</f>
        <v>135000</v>
      </c>
      <c r="AJ64" s="12">
        <f>'Mitigation Data Scenario 3 '!AJ51</f>
        <v>135000</v>
      </c>
      <c r="AK64" s="12">
        <f>'Mitigation Data Scenario 3 '!AK51</f>
        <v>135000</v>
      </c>
      <c r="AL64" s="12">
        <f>'Mitigation Data Scenario 3 '!AL51</f>
        <v>135000</v>
      </c>
      <c r="AM64" s="12">
        <f>'Mitigation Data Scenario 3 '!AM51</f>
        <v>135000</v>
      </c>
      <c r="AN64" s="12">
        <f>'Mitigation Data Scenario 3 '!AN51</f>
        <v>135000</v>
      </c>
      <c r="AO64" s="12">
        <f>'Mitigation Data Scenario 3 '!AO51</f>
        <v>135000</v>
      </c>
      <c r="AP64" s="30">
        <f>'Mitigation Data Scenario 3 '!AP51</f>
        <v>135000</v>
      </c>
    </row>
    <row r="65" spans="1:42" ht="15.75" customHeight="1">
      <c r="A65" s="96" t="s">
        <v>24</v>
      </c>
      <c r="B65" s="38">
        <f t="shared" ref="B65:J65" si="46">SUM(B57:B64)</f>
        <v>1538247</v>
      </c>
      <c r="C65" s="38">
        <f t="shared" si="46"/>
        <v>1538247</v>
      </c>
      <c r="D65" s="38">
        <f t="shared" si="46"/>
        <v>1538247</v>
      </c>
      <c r="E65" s="38">
        <f t="shared" si="46"/>
        <v>1538247</v>
      </c>
      <c r="F65" s="38">
        <f t="shared" si="46"/>
        <v>1538247</v>
      </c>
      <c r="G65" s="38">
        <f t="shared" si="46"/>
        <v>1538247</v>
      </c>
      <c r="H65" s="38">
        <f t="shared" si="46"/>
        <v>1538247</v>
      </c>
      <c r="I65" s="38">
        <f t="shared" si="46"/>
        <v>1538247</v>
      </c>
      <c r="J65" s="38">
        <f t="shared" si="46"/>
        <v>1538247</v>
      </c>
      <c r="K65" s="38">
        <f t="shared" ref="K65:AP65" si="47">SUM(K59:K64)+K57</f>
        <v>1538247</v>
      </c>
      <c r="L65" s="38">
        <f t="shared" si="47"/>
        <v>1538247</v>
      </c>
      <c r="M65" s="38">
        <f t="shared" si="47"/>
        <v>1545747</v>
      </c>
      <c r="N65" s="38">
        <f t="shared" si="47"/>
        <v>1545747</v>
      </c>
      <c r="O65" s="38">
        <f t="shared" si="47"/>
        <v>1545747</v>
      </c>
      <c r="P65" s="38">
        <f t="shared" si="47"/>
        <v>1615622</v>
      </c>
      <c r="Q65" s="38">
        <f t="shared" si="47"/>
        <v>1615622</v>
      </c>
      <c r="R65" s="38">
        <f t="shared" si="47"/>
        <v>1615622</v>
      </c>
      <c r="S65" s="38">
        <f t="shared" si="47"/>
        <v>1577352</v>
      </c>
      <c r="T65" s="38">
        <f t="shared" si="47"/>
        <v>1682582</v>
      </c>
      <c r="U65" s="38">
        <f t="shared" si="47"/>
        <v>1682582</v>
      </c>
      <c r="V65" s="38">
        <f t="shared" si="47"/>
        <v>1698732</v>
      </c>
      <c r="W65" s="38">
        <f t="shared" si="47"/>
        <v>1720732</v>
      </c>
      <c r="X65" s="38">
        <f t="shared" si="47"/>
        <v>1794595</v>
      </c>
      <c r="Y65" s="38">
        <f t="shared" si="47"/>
        <v>1794595</v>
      </c>
      <c r="Z65" s="38">
        <f t="shared" si="47"/>
        <v>1729329</v>
      </c>
      <c r="AA65" s="38">
        <f t="shared" si="47"/>
        <v>1755479</v>
      </c>
      <c r="AB65" s="38">
        <f t="shared" si="47"/>
        <v>1781629</v>
      </c>
      <c r="AC65" s="38">
        <f t="shared" si="47"/>
        <v>1796579</v>
      </c>
      <c r="AD65" s="38">
        <f t="shared" si="47"/>
        <v>1796579</v>
      </c>
      <c r="AE65" s="38">
        <f t="shared" si="47"/>
        <v>1796579</v>
      </c>
      <c r="AF65" s="38">
        <f t="shared" si="47"/>
        <v>1811788</v>
      </c>
      <c r="AG65" s="38">
        <f t="shared" si="47"/>
        <v>1811788</v>
      </c>
      <c r="AH65" s="38">
        <f t="shared" si="47"/>
        <v>1811788</v>
      </c>
      <c r="AI65" s="38">
        <f t="shared" si="47"/>
        <v>1811788</v>
      </c>
      <c r="AJ65" s="38">
        <f t="shared" si="47"/>
        <v>1811788</v>
      </c>
      <c r="AK65" s="38">
        <f t="shared" si="47"/>
        <v>1866788</v>
      </c>
      <c r="AL65" s="38">
        <f t="shared" si="47"/>
        <v>1866788</v>
      </c>
      <c r="AM65" s="38">
        <f t="shared" si="47"/>
        <v>1866788</v>
      </c>
      <c r="AN65" s="38">
        <f t="shared" si="47"/>
        <v>1866788</v>
      </c>
      <c r="AO65" s="38">
        <f t="shared" si="47"/>
        <v>1953788</v>
      </c>
      <c r="AP65" s="39">
        <f t="shared" si="47"/>
        <v>1953788</v>
      </c>
    </row>
    <row r="66" spans="1:42" ht="15.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</row>
    <row r="67" spans="1:42" ht="15.75" customHeight="1">
      <c r="A67" s="21" t="s">
        <v>80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</row>
    <row r="68" spans="1:42" ht="15.75" customHeight="1">
      <c r="A68" s="92" t="s">
        <v>26</v>
      </c>
      <c r="B68" s="25">
        <f t="shared" ref="B68:AP68" si="48">B57*$B$80</f>
        <v>179849000</v>
      </c>
      <c r="C68" s="25">
        <f t="shared" si="48"/>
        <v>179849000</v>
      </c>
      <c r="D68" s="25">
        <f t="shared" si="48"/>
        <v>179849000</v>
      </c>
      <c r="E68" s="25">
        <f t="shared" si="48"/>
        <v>179849000</v>
      </c>
      <c r="F68" s="25">
        <f t="shared" si="48"/>
        <v>179849000</v>
      </c>
      <c r="G68" s="25">
        <f t="shared" si="48"/>
        <v>179849000</v>
      </c>
      <c r="H68" s="25">
        <f t="shared" si="48"/>
        <v>179849000</v>
      </c>
      <c r="I68" s="25">
        <f t="shared" si="48"/>
        <v>179849000</v>
      </c>
      <c r="J68" s="25">
        <f t="shared" si="48"/>
        <v>179849000</v>
      </c>
      <c r="K68" s="25">
        <f t="shared" si="48"/>
        <v>179849000</v>
      </c>
      <c r="L68" s="25">
        <f t="shared" si="48"/>
        <v>179849000</v>
      </c>
      <c r="M68" s="25">
        <f t="shared" si="48"/>
        <v>175990700.91019192</v>
      </c>
      <c r="N68" s="25">
        <f t="shared" si="48"/>
        <v>175990700.91019192</v>
      </c>
      <c r="O68" s="25">
        <f t="shared" si="48"/>
        <v>175990700.91019192</v>
      </c>
      <c r="P68" s="25">
        <f t="shared" si="48"/>
        <v>175990700.91019192</v>
      </c>
      <c r="Q68" s="25">
        <f t="shared" si="48"/>
        <v>175990700.91019192</v>
      </c>
      <c r="R68" s="25">
        <f t="shared" si="48"/>
        <v>175990700.91019192</v>
      </c>
      <c r="S68" s="25">
        <f t="shared" si="48"/>
        <v>168593289.29164171</v>
      </c>
      <c r="T68" s="25">
        <f t="shared" si="48"/>
        <v>158813670.28052062</v>
      </c>
      <c r="U68" s="25">
        <f t="shared" si="48"/>
        <v>158813670.28052062</v>
      </c>
      <c r="V68" s="25">
        <f t="shared" si="48"/>
        <v>154312321.34241119</v>
      </c>
      <c r="W68" s="25">
        <f t="shared" si="48"/>
        <v>148251518.0630939</v>
      </c>
      <c r="X68" s="25">
        <f t="shared" si="48"/>
        <v>137468624.37046847</v>
      </c>
      <c r="Y68" s="25">
        <f t="shared" si="48"/>
        <v>137468624.37046847</v>
      </c>
      <c r="Z68" s="25">
        <f t="shared" si="48"/>
        <v>118390270.71660142</v>
      </c>
      <c r="AA68" s="25">
        <f t="shared" si="48"/>
        <v>118390270.71660142</v>
      </c>
      <c r="AB68" s="25">
        <f t="shared" si="48"/>
        <v>118390270.71660142</v>
      </c>
      <c r="AC68" s="25">
        <f t="shared" si="48"/>
        <v>118390270.71660142</v>
      </c>
      <c r="AD68" s="25">
        <f t="shared" si="48"/>
        <v>118390270.71660142</v>
      </c>
      <c r="AE68" s="25">
        <f t="shared" si="48"/>
        <v>118390270.71660142</v>
      </c>
      <c r="AF68" s="25">
        <f t="shared" si="48"/>
        <v>114682562.2094501</v>
      </c>
      <c r="AG68" s="25">
        <f t="shared" si="48"/>
        <v>114682562.2094501</v>
      </c>
      <c r="AH68" s="25">
        <f t="shared" si="48"/>
        <v>114682562.2094501</v>
      </c>
      <c r="AI68" s="25">
        <f t="shared" si="48"/>
        <v>114682562.2094501</v>
      </c>
      <c r="AJ68" s="25">
        <f t="shared" si="48"/>
        <v>114682562.2094501</v>
      </c>
      <c r="AK68" s="25">
        <f t="shared" si="48"/>
        <v>114682562.2094501</v>
      </c>
      <c r="AL68" s="25">
        <f t="shared" si="48"/>
        <v>114682562.2094501</v>
      </c>
      <c r="AM68" s="25">
        <f t="shared" si="48"/>
        <v>114682562.2094501</v>
      </c>
      <c r="AN68" s="25">
        <f t="shared" si="48"/>
        <v>114682562.2094501</v>
      </c>
      <c r="AO68" s="25">
        <f t="shared" si="48"/>
        <v>114682562.2094501</v>
      </c>
      <c r="AP68" s="27">
        <f t="shared" si="48"/>
        <v>114682562.2094501</v>
      </c>
    </row>
    <row r="69" spans="1:42">
      <c r="A69" s="93" t="s">
        <v>81</v>
      </c>
      <c r="B69" s="12"/>
      <c r="C69" s="12"/>
      <c r="D69" s="12"/>
      <c r="E69" s="12"/>
      <c r="F69" s="12"/>
      <c r="G69" s="12"/>
      <c r="H69" s="12"/>
      <c r="I69" s="12"/>
      <c r="J69" s="12"/>
      <c r="K69" s="12">
        <f t="shared" ref="K69:AP69" si="49">K59*$B$81</f>
        <v>0</v>
      </c>
      <c r="L69" s="12">
        <f t="shared" si="49"/>
        <v>0</v>
      </c>
      <c r="M69" s="12">
        <f t="shared" si="49"/>
        <v>2640000</v>
      </c>
      <c r="N69" s="12">
        <f t="shared" si="49"/>
        <v>2640000</v>
      </c>
      <c r="O69" s="12">
        <f t="shared" si="49"/>
        <v>2640000</v>
      </c>
      <c r="P69" s="12">
        <f t="shared" si="49"/>
        <v>2640000</v>
      </c>
      <c r="Q69" s="12">
        <f t="shared" si="49"/>
        <v>2640000</v>
      </c>
      <c r="R69" s="12">
        <f t="shared" si="49"/>
        <v>2640000</v>
      </c>
      <c r="S69" s="12">
        <f t="shared" si="49"/>
        <v>4640000</v>
      </c>
      <c r="T69" s="12">
        <f t="shared" si="49"/>
        <v>4640000</v>
      </c>
      <c r="U69" s="12">
        <f t="shared" si="49"/>
        <v>4640000</v>
      </c>
      <c r="V69" s="12">
        <f t="shared" si="49"/>
        <v>7720000</v>
      </c>
      <c r="W69" s="12">
        <f t="shared" si="49"/>
        <v>11867040</v>
      </c>
      <c r="X69" s="12">
        <f t="shared" si="49"/>
        <v>14354160</v>
      </c>
      <c r="Y69" s="12">
        <f t="shared" si="49"/>
        <v>14354160</v>
      </c>
      <c r="Z69" s="12">
        <f t="shared" si="49"/>
        <v>19986160</v>
      </c>
      <c r="AA69" s="12">
        <f t="shared" si="49"/>
        <v>19986160</v>
      </c>
      <c r="AB69" s="12">
        <f t="shared" si="49"/>
        <v>19986160</v>
      </c>
      <c r="AC69" s="12">
        <f t="shared" si="49"/>
        <v>19986160</v>
      </c>
      <c r="AD69" s="12">
        <f t="shared" si="49"/>
        <v>19986160</v>
      </c>
      <c r="AE69" s="12">
        <f t="shared" si="49"/>
        <v>19986160</v>
      </c>
      <c r="AF69" s="12">
        <f t="shared" si="49"/>
        <v>22523120</v>
      </c>
      <c r="AG69" s="12">
        <f t="shared" si="49"/>
        <v>22523120</v>
      </c>
      <c r="AH69" s="12">
        <f t="shared" si="49"/>
        <v>22523120</v>
      </c>
      <c r="AI69" s="12">
        <f t="shared" si="49"/>
        <v>22523120</v>
      </c>
      <c r="AJ69" s="12">
        <f t="shared" si="49"/>
        <v>22523120</v>
      </c>
      <c r="AK69" s="12">
        <f t="shared" si="49"/>
        <v>22523120</v>
      </c>
      <c r="AL69" s="12">
        <f t="shared" si="49"/>
        <v>22523120</v>
      </c>
      <c r="AM69" s="12">
        <f t="shared" si="49"/>
        <v>22523120</v>
      </c>
      <c r="AN69" s="12">
        <f t="shared" si="49"/>
        <v>22523120</v>
      </c>
      <c r="AO69" s="12">
        <f t="shared" si="49"/>
        <v>22523120</v>
      </c>
      <c r="AP69" s="30">
        <f t="shared" si="49"/>
        <v>22523120</v>
      </c>
    </row>
    <row r="70" spans="1:42">
      <c r="A70" s="93" t="s">
        <v>82</v>
      </c>
      <c r="B70" s="12"/>
      <c r="C70" s="12"/>
      <c r="D70" s="12"/>
      <c r="E70" s="12"/>
      <c r="F70" s="12"/>
      <c r="G70" s="12"/>
      <c r="H70" s="12"/>
      <c r="I70" s="12"/>
      <c r="J70" s="12"/>
      <c r="K70" s="12">
        <f t="shared" ref="K70:AP70" si="50">K60*$B$82</f>
        <v>0</v>
      </c>
      <c r="L70" s="12">
        <f t="shared" si="50"/>
        <v>0</v>
      </c>
      <c r="M70" s="12">
        <f t="shared" si="50"/>
        <v>0</v>
      </c>
      <c r="N70" s="12">
        <f t="shared" si="50"/>
        <v>0</v>
      </c>
      <c r="O70" s="12">
        <f t="shared" si="50"/>
        <v>0</v>
      </c>
      <c r="P70" s="12">
        <f t="shared" si="50"/>
        <v>0</v>
      </c>
      <c r="Q70" s="12">
        <f t="shared" si="50"/>
        <v>0</v>
      </c>
      <c r="R70" s="12">
        <f t="shared" si="50"/>
        <v>0</v>
      </c>
      <c r="S70" s="12">
        <f t="shared" si="50"/>
        <v>0</v>
      </c>
      <c r="T70" s="12">
        <f t="shared" si="50"/>
        <v>0</v>
      </c>
      <c r="U70" s="12">
        <f t="shared" si="50"/>
        <v>0</v>
      </c>
      <c r="V70" s="12">
        <f t="shared" si="50"/>
        <v>0</v>
      </c>
      <c r="W70" s="12">
        <f t="shared" si="50"/>
        <v>0</v>
      </c>
      <c r="X70" s="12">
        <f t="shared" si="50"/>
        <v>0</v>
      </c>
      <c r="Y70" s="12">
        <f t="shared" si="50"/>
        <v>0</v>
      </c>
      <c r="Z70" s="12">
        <f t="shared" si="50"/>
        <v>2200880</v>
      </c>
      <c r="AA70" s="12">
        <f t="shared" si="50"/>
        <v>2200880</v>
      </c>
      <c r="AB70" s="12">
        <f t="shared" si="50"/>
        <v>2200880</v>
      </c>
      <c r="AC70" s="12">
        <f t="shared" si="50"/>
        <v>2200880</v>
      </c>
      <c r="AD70" s="12">
        <f t="shared" si="50"/>
        <v>2200880</v>
      </c>
      <c r="AE70" s="12">
        <f t="shared" si="50"/>
        <v>2200880</v>
      </c>
      <c r="AF70" s="12">
        <f t="shared" si="50"/>
        <v>2200880</v>
      </c>
      <c r="AG70" s="12">
        <f t="shared" si="50"/>
        <v>2200880</v>
      </c>
      <c r="AH70" s="12">
        <f t="shared" si="50"/>
        <v>2200880</v>
      </c>
      <c r="AI70" s="12">
        <f t="shared" si="50"/>
        <v>2200880</v>
      </c>
      <c r="AJ70" s="12">
        <f t="shared" si="50"/>
        <v>2200880</v>
      </c>
      <c r="AK70" s="12">
        <f t="shared" si="50"/>
        <v>2200880</v>
      </c>
      <c r="AL70" s="12">
        <f t="shared" si="50"/>
        <v>2200880</v>
      </c>
      <c r="AM70" s="12">
        <f t="shared" si="50"/>
        <v>2200880</v>
      </c>
      <c r="AN70" s="12">
        <f t="shared" si="50"/>
        <v>2200880</v>
      </c>
      <c r="AO70" s="12">
        <f t="shared" si="50"/>
        <v>2200880</v>
      </c>
      <c r="AP70" s="30">
        <f t="shared" si="50"/>
        <v>2200880</v>
      </c>
    </row>
    <row r="71" spans="1:42">
      <c r="A71" s="93" t="s">
        <v>83</v>
      </c>
      <c r="B71" s="12"/>
      <c r="C71" s="12"/>
      <c r="D71" s="12"/>
      <c r="E71" s="12"/>
      <c r="F71" s="12"/>
      <c r="G71" s="12"/>
      <c r="H71" s="12"/>
      <c r="I71" s="12"/>
      <c r="J71" s="12"/>
      <c r="K71" s="12">
        <f t="shared" ref="K71:AP71" si="51">K61*$B$83</f>
        <v>0</v>
      </c>
      <c r="L71" s="12">
        <f t="shared" si="51"/>
        <v>0</v>
      </c>
      <c r="M71" s="12">
        <f t="shared" si="51"/>
        <v>0</v>
      </c>
      <c r="N71" s="12">
        <f t="shared" si="51"/>
        <v>0</v>
      </c>
      <c r="O71" s="12">
        <f t="shared" si="51"/>
        <v>0</v>
      </c>
      <c r="P71" s="12">
        <f t="shared" si="51"/>
        <v>0</v>
      </c>
      <c r="Q71" s="12">
        <f t="shared" si="51"/>
        <v>0</v>
      </c>
      <c r="R71" s="12">
        <f t="shared" si="51"/>
        <v>0</v>
      </c>
      <c r="S71" s="12">
        <f t="shared" si="51"/>
        <v>0</v>
      </c>
      <c r="T71" s="12">
        <f t="shared" si="51"/>
        <v>0</v>
      </c>
      <c r="U71" s="12">
        <f t="shared" si="51"/>
        <v>0</v>
      </c>
      <c r="V71" s="12">
        <f t="shared" si="51"/>
        <v>0</v>
      </c>
      <c r="W71" s="12">
        <f t="shared" si="51"/>
        <v>0</v>
      </c>
      <c r="X71" s="12">
        <f t="shared" si="51"/>
        <v>0</v>
      </c>
      <c r="Y71" s="12">
        <f t="shared" si="51"/>
        <v>0</v>
      </c>
      <c r="Z71" s="12">
        <f t="shared" si="51"/>
        <v>0</v>
      </c>
      <c r="AA71" s="12">
        <f t="shared" si="51"/>
        <v>0</v>
      </c>
      <c r="AB71" s="12">
        <f t="shared" si="51"/>
        <v>0</v>
      </c>
      <c r="AC71" s="12">
        <f t="shared" si="51"/>
        <v>0</v>
      </c>
      <c r="AD71" s="12">
        <f t="shared" si="51"/>
        <v>0</v>
      </c>
      <c r="AE71" s="12">
        <f t="shared" si="51"/>
        <v>0</v>
      </c>
      <c r="AF71" s="12">
        <f t="shared" si="51"/>
        <v>0</v>
      </c>
      <c r="AG71" s="12">
        <f t="shared" si="51"/>
        <v>0</v>
      </c>
      <c r="AH71" s="12">
        <f t="shared" si="51"/>
        <v>0</v>
      </c>
      <c r="AI71" s="12">
        <f t="shared" si="51"/>
        <v>0</v>
      </c>
      <c r="AJ71" s="12">
        <f t="shared" si="51"/>
        <v>0</v>
      </c>
      <c r="AK71" s="12">
        <f t="shared" si="51"/>
        <v>0</v>
      </c>
      <c r="AL71" s="12">
        <f t="shared" si="51"/>
        <v>0</v>
      </c>
      <c r="AM71" s="12">
        <f t="shared" si="51"/>
        <v>0</v>
      </c>
      <c r="AN71" s="12">
        <f t="shared" si="51"/>
        <v>0</v>
      </c>
      <c r="AO71" s="12">
        <f t="shared" si="51"/>
        <v>0</v>
      </c>
      <c r="AP71" s="30">
        <f t="shared" si="51"/>
        <v>0</v>
      </c>
    </row>
    <row r="72" spans="1:42">
      <c r="A72" s="93" t="s">
        <v>84</v>
      </c>
      <c r="B72" s="12"/>
      <c r="C72" s="12"/>
      <c r="D72" s="12"/>
      <c r="E72" s="12"/>
      <c r="F72" s="12"/>
      <c r="G72" s="12"/>
      <c r="H72" s="12"/>
      <c r="I72" s="12"/>
      <c r="J72" s="12"/>
      <c r="K72" s="12">
        <f t="shared" ref="K72:AP72" si="52">K62*$B$84</f>
        <v>0</v>
      </c>
      <c r="L72" s="12">
        <f t="shared" si="52"/>
        <v>0</v>
      </c>
      <c r="M72" s="12">
        <f t="shared" si="52"/>
        <v>600000</v>
      </c>
      <c r="N72" s="12">
        <f t="shared" si="52"/>
        <v>600000</v>
      </c>
      <c r="O72" s="12">
        <f t="shared" si="52"/>
        <v>600000</v>
      </c>
      <c r="P72" s="12">
        <f t="shared" si="52"/>
        <v>6190000</v>
      </c>
      <c r="Q72" s="12">
        <f t="shared" si="52"/>
        <v>6190000</v>
      </c>
      <c r="R72" s="12">
        <f t="shared" si="52"/>
        <v>6190000</v>
      </c>
      <c r="S72" s="12">
        <f t="shared" si="52"/>
        <v>6190000</v>
      </c>
      <c r="T72" s="12">
        <f t="shared" si="52"/>
        <v>21300000</v>
      </c>
      <c r="U72" s="12">
        <f t="shared" si="52"/>
        <v>21300000</v>
      </c>
      <c r="V72" s="12">
        <f t="shared" si="52"/>
        <v>22592000</v>
      </c>
      <c r="W72" s="12">
        <f t="shared" si="52"/>
        <v>24352000</v>
      </c>
      <c r="X72" s="12">
        <f t="shared" si="52"/>
        <v>24352000</v>
      </c>
      <c r="Y72" s="12">
        <f t="shared" si="52"/>
        <v>24352000</v>
      </c>
      <c r="Z72" s="12">
        <f t="shared" si="52"/>
        <v>24352000</v>
      </c>
      <c r="AA72" s="12">
        <f t="shared" si="52"/>
        <v>26444000</v>
      </c>
      <c r="AB72" s="12">
        <f t="shared" si="52"/>
        <v>28536000</v>
      </c>
      <c r="AC72" s="12">
        <f t="shared" si="52"/>
        <v>29732000</v>
      </c>
      <c r="AD72" s="12">
        <f t="shared" si="52"/>
        <v>29732000</v>
      </c>
      <c r="AE72" s="12">
        <f t="shared" si="52"/>
        <v>29732000</v>
      </c>
      <c r="AF72" s="12">
        <f t="shared" si="52"/>
        <v>30948720</v>
      </c>
      <c r="AG72" s="12">
        <f t="shared" si="52"/>
        <v>30948720</v>
      </c>
      <c r="AH72" s="12">
        <f t="shared" si="52"/>
        <v>30948720</v>
      </c>
      <c r="AI72" s="12">
        <f t="shared" si="52"/>
        <v>30948720</v>
      </c>
      <c r="AJ72" s="12">
        <f t="shared" si="52"/>
        <v>30948720</v>
      </c>
      <c r="AK72" s="12">
        <f t="shared" si="52"/>
        <v>35348720</v>
      </c>
      <c r="AL72" s="12">
        <f t="shared" si="52"/>
        <v>35348720</v>
      </c>
      <c r="AM72" s="12">
        <f t="shared" si="52"/>
        <v>35348720</v>
      </c>
      <c r="AN72" s="12">
        <f t="shared" si="52"/>
        <v>35348720</v>
      </c>
      <c r="AO72" s="12">
        <f t="shared" si="52"/>
        <v>42308720</v>
      </c>
      <c r="AP72" s="30">
        <f t="shared" si="52"/>
        <v>42308720</v>
      </c>
    </row>
    <row r="73" spans="1:42">
      <c r="A73" s="93" t="s">
        <v>85</v>
      </c>
      <c r="B73" s="12"/>
      <c r="C73" s="12"/>
      <c r="D73" s="12"/>
      <c r="E73" s="12"/>
      <c r="F73" s="12"/>
      <c r="G73" s="12"/>
      <c r="H73" s="12"/>
      <c r="I73" s="12"/>
      <c r="J73" s="12"/>
      <c r="K73" s="12">
        <f t="shared" ref="K73:AP73" si="53">K63*$B$85</f>
        <v>0</v>
      </c>
      <c r="L73" s="12">
        <f t="shared" si="53"/>
        <v>0</v>
      </c>
      <c r="M73" s="12">
        <f t="shared" si="53"/>
        <v>0</v>
      </c>
      <c r="N73" s="12">
        <f t="shared" si="53"/>
        <v>0</v>
      </c>
      <c r="O73" s="12">
        <f t="shared" si="53"/>
        <v>0</v>
      </c>
      <c r="P73" s="12">
        <f t="shared" si="53"/>
        <v>0</v>
      </c>
      <c r="Q73" s="12">
        <f t="shared" si="53"/>
        <v>0</v>
      </c>
      <c r="R73" s="12">
        <f t="shared" si="53"/>
        <v>0</v>
      </c>
      <c r="S73" s="12">
        <f t="shared" si="53"/>
        <v>0</v>
      </c>
      <c r="T73" s="12">
        <f t="shared" si="53"/>
        <v>0</v>
      </c>
      <c r="U73" s="12">
        <f t="shared" si="53"/>
        <v>0</v>
      </c>
      <c r="V73" s="12">
        <f t="shared" si="53"/>
        <v>0</v>
      </c>
      <c r="W73" s="12">
        <f t="shared" si="53"/>
        <v>0</v>
      </c>
      <c r="X73" s="12">
        <f t="shared" si="53"/>
        <v>0</v>
      </c>
      <c r="Y73" s="12">
        <f t="shared" si="53"/>
        <v>0</v>
      </c>
      <c r="Z73" s="12">
        <f t="shared" si="53"/>
        <v>0</v>
      </c>
      <c r="AA73" s="12">
        <f t="shared" si="53"/>
        <v>0</v>
      </c>
      <c r="AB73" s="12">
        <f t="shared" si="53"/>
        <v>0</v>
      </c>
      <c r="AC73" s="12">
        <f t="shared" si="53"/>
        <v>0</v>
      </c>
      <c r="AD73" s="12">
        <f t="shared" si="53"/>
        <v>0</v>
      </c>
      <c r="AE73" s="12">
        <f t="shared" si="53"/>
        <v>0</v>
      </c>
      <c r="AF73" s="12">
        <f t="shared" si="53"/>
        <v>0</v>
      </c>
      <c r="AG73" s="12">
        <f t="shared" si="53"/>
        <v>0</v>
      </c>
      <c r="AH73" s="12">
        <f t="shared" si="53"/>
        <v>0</v>
      </c>
      <c r="AI73" s="12">
        <f t="shared" si="53"/>
        <v>0</v>
      </c>
      <c r="AJ73" s="12">
        <f t="shared" si="53"/>
        <v>0</v>
      </c>
      <c r="AK73" s="12">
        <f t="shared" si="53"/>
        <v>0</v>
      </c>
      <c r="AL73" s="12">
        <f t="shared" si="53"/>
        <v>0</v>
      </c>
      <c r="AM73" s="12">
        <f t="shared" si="53"/>
        <v>0</v>
      </c>
      <c r="AN73" s="12">
        <f t="shared" si="53"/>
        <v>0</v>
      </c>
      <c r="AO73" s="12">
        <f t="shared" si="53"/>
        <v>0</v>
      </c>
      <c r="AP73" s="30">
        <f t="shared" si="53"/>
        <v>0</v>
      </c>
    </row>
    <row r="74" spans="1:42">
      <c r="A74" s="93" t="s">
        <v>86</v>
      </c>
      <c r="B74" s="12"/>
      <c r="C74" s="12"/>
      <c r="D74" s="12"/>
      <c r="E74" s="12"/>
      <c r="F74" s="12"/>
      <c r="G74" s="12"/>
      <c r="H74" s="12"/>
      <c r="I74" s="12"/>
      <c r="J74" s="12"/>
      <c r="K74" s="12">
        <f t="shared" ref="K74:AP74" si="54">K64*$B$86</f>
        <v>0</v>
      </c>
      <c r="L74" s="12">
        <f t="shared" si="54"/>
        <v>0</v>
      </c>
      <c r="M74" s="12">
        <f t="shared" si="54"/>
        <v>0</v>
      </c>
      <c r="N74" s="12">
        <f t="shared" si="54"/>
        <v>0</v>
      </c>
      <c r="O74" s="12">
        <f t="shared" si="54"/>
        <v>0</v>
      </c>
      <c r="P74" s="12">
        <f t="shared" si="54"/>
        <v>0</v>
      </c>
      <c r="Q74" s="12">
        <f t="shared" si="54"/>
        <v>0</v>
      </c>
      <c r="R74" s="12">
        <f t="shared" si="54"/>
        <v>0</v>
      </c>
      <c r="S74" s="12">
        <f t="shared" si="54"/>
        <v>0</v>
      </c>
      <c r="T74" s="12">
        <f t="shared" si="54"/>
        <v>0</v>
      </c>
      <c r="U74" s="12">
        <f t="shared" si="54"/>
        <v>0</v>
      </c>
      <c r="V74" s="12">
        <f t="shared" si="54"/>
        <v>0</v>
      </c>
      <c r="W74" s="12">
        <f t="shared" si="54"/>
        <v>0</v>
      </c>
      <c r="X74" s="12">
        <f t="shared" si="54"/>
        <v>10800000</v>
      </c>
      <c r="Y74" s="12">
        <f t="shared" si="54"/>
        <v>10800000</v>
      </c>
      <c r="Z74" s="12">
        <f t="shared" si="54"/>
        <v>10800000</v>
      </c>
      <c r="AA74" s="12">
        <f t="shared" si="54"/>
        <v>10800000</v>
      </c>
      <c r="AB74" s="12">
        <f t="shared" si="54"/>
        <v>10800000</v>
      </c>
      <c r="AC74" s="12">
        <f t="shared" si="54"/>
        <v>10800000</v>
      </c>
      <c r="AD74" s="12">
        <f t="shared" si="54"/>
        <v>10800000</v>
      </c>
      <c r="AE74" s="12">
        <f t="shared" si="54"/>
        <v>10800000</v>
      </c>
      <c r="AF74" s="12">
        <f t="shared" si="54"/>
        <v>10800000</v>
      </c>
      <c r="AG74" s="12">
        <f t="shared" si="54"/>
        <v>10800000</v>
      </c>
      <c r="AH74" s="12">
        <f t="shared" si="54"/>
        <v>10800000</v>
      </c>
      <c r="AI74" s="12">
        <f t="shared" si="54"/>
        <v>10800000</v>
      </c>
      <c r="AJ74" s="12">
        <f t="shared" si="54"/>
        <v>10800000</v>
      </c>
      <c r="AK74" s="12">
        <f t="shared" si="54"/>
        <v>10800000</v>
      </c>
      <c r="AL74" s="12">
        <f t="shared" si="54"/>
        <v>10800000</v>
      </c>
      <c r="AM74" s="12">
        <f t="shared" si="54"/>
        <v>10800000</v>
      </c>
      <c r="AN74" s="12">
        <f t="shared" si="54"/>
        <v>10800000</v>
      </c>
      <c r="AO74" s="12">
        <f t="shared" si="54"/>
        <v>10800000</v>
      </c>
      <c r="AP74" s="30">
        <f t="shared" si="54"/>
        <v>10800000</v>
      </c>
    </row>
    <row r="75" spans="1:42" ht="15.75" customHeight="1">
      <c r="A75" s="96" t="s">
        <v>30</v>
      </c>
      <c r="B75" s="38">
        <f t="shared" ref="B75:AP75" si="55">SUM(B68:B74)</f>
        <v>179849000</v>
      </c>
      <c r="C75" s="38">
        <f t="shared" si="55"/>
        <v>179849000</v>
      </c>
      <c r="D75" s="38">
        <f t="shared" si="55"/>
        <v>179849000</v>
      </c>
      <c r="E75" s="38">
        <f t="shared" si="55"/>
        <v>179849000</v>
      </c>
      <c r="F75" s="38">
        <f t="shared" si="55"/>
        <v>179849000</v>
      </c>
      <c r="G75" s="38">
        <f t="shared" si="55"/>
        <v>179849000</v>
      </c>
      <c r="H75" s="38">
        <f t="shared" si="55"/>
        <v>179849000</v>
      </c>
      <c r="I75" s="38">
        <f t="shared" si="55"/>
        <v>179849000</v>
      </c>
      <c r="J75" s="38">
        <f t="shared" si="55"/>
        <v>179849000</v>
      </c>
      <c r="K75" s="38">
        <f t="shared" si="55"/>
        <v>179849000</v>
      </c>
      <c r="L75" s="38">
        <f t="shared" si="55"/>
        <v>179849000</v>
      </c>
      <c r="M75" s="38">
        <f t="shared" si="55"/>
        <v>179230700.91019192</v>
      </c>
      <c r="N75" s="38">
        <f t="shared" si="55"/>
        <v>179230700.91019192</v>
      </c>
      <c r="O75" s="38">
        <f t="shared" si="55"/>
        <v>179230700.91019192</v>
      </c>
      <c r="P75" s="38">
        <f t="shared" si="55"/>
        <v>184820700.91019192</v>
      </c>
      <c r="Q75" s="38">
        <f t="shared" si="55"/>
        <v>184820700.91019192</v>
      </c>
      <c r="R75" s="38">
        <f t="shared" si="55"/>
        <v>184820700.91019192</v>
      </c>
      <c r="S75" s="38">
        <f t="shared" si="55"/>
        <v>179423289.29164171</v>
      </c>
      <c r="T75" s="38">
        <f t="shared" si="55"/>
        <v>184753670.28052062</v>
      </c>
      <c r="U75" s="38">
        <f t="shared" si="55"/>
        <v>184753670.28052062</v>
      </c>
      <c r="V75" s="38">
        <f t="shared" si="55"/>
        <v>184624321.34241119</v>
      </c>
      <c r="W75" s="38">
        <f t="shared" si="55"/>
        <v>184470558.0630939</v>
      </c>
      <c r="X75" s="38">
        <f t="shared" si="55"/>
        <v>186974784.37046847</v>
      </c>
      <c r="Y75" s="38">
        <f t="shared" si="55"/>
        <v>186974784.37046847</v>
      </c>
      <c r="Z75" s="38">
        <f t="shared" si="55"/>
        <v>175729310.71660143</v>
      </c>
      <c r="AA75" s="38">
        <f t="shared" si="55"/>
        <v>177821310.71660143</v>
      </c>
      <c r="AB75" s="38">
        <f t="shared" si="55"/>
        <v>179913310.71660143</v>
      </c>
      <c r="AC75" s="38">
        <f t="shared" si="55"/>
        <v>181109310.71660143</v>
      </c>
      <c r="AD75" s="38">
        <f t="shared" si="55"/>
        <v>181109310.71660143</v>
      </c>
      <c r="AE75" s="38">
        <f t="shared" si="55"/>
        <v>181109310.71660143</v>
      </c>
      <c r="AF75" s="38">
        <f t="shared" si="55"/>
        <v>181155282.2094501</v>
      </c>
      <c r="AG75" s="38">
        <f t="shared" si="55"/>
        <v>181155282.2094501</v>
      </c>
      <c r="AH75" s="38">
        <f t="shared" si="55"/>
        <v>181155282.2094501</v>
      </c>
      <c r="AI75" s="38">
        <f t="shared" si="55"/>
        <v>181155282.2094501</v>
      </c>
      <c r="AJ75" s="38">
        <f t="shared" si="55"/>
        <v>181155282.2094501</v>
      </c>
      <c r="AK75" s="38">
        <f t="shared" si="55"/>
        <v>185555282.2094501</v>
      </c>
      <c r="AL75" s="38">
        <f t="shared" si="55"/>
        <v>185555282.2094501</v>
      </c>
      <c r="AM75" s="38">
        <f t="shared" si="55"/>
        <v>185555282.2094501</v>
      </c>
      <c r="AN75" s="38">
        <f t="shared" si="55"/>
        <v>185555282.2094501</v>
      </c>
      <c r="AO75" s="38">
        <f t="shared" si="55"/>
        <v>192515282.2094501</v>
      </c>
      <c r="AP75" s="39">
        <f t="shared" si="55"/>
        <v>192515282.2094501</v>
      </c>
    </row>
    <row r="76" spans="1:42" ht="15.75" customHeight="1">
      <c r="A76" s="66"/>
      <c r="B76" s="40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</row>
    <row r="77" spans="1:42" ht="15.75" customHeight="1">
      <c r="A77" s="41" t="s">
        <v>31</v>
      </c>
      <c r="B77" s="40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</row>
    <row r="78" spans="1:42" ht="15.75" customHeight="1">
      <c r="A78" s="57" t="s">
        <v>32</v>
      </c>
      <c r="B78" s="42">
        <f>(131543*1000)/B50</f>
        <v>85.514875049325624</v>
      </c>
      <c r="C78" s="66"/>
      <c r="D78" s="43" t="s">
        <v>33</v>
      </c>
      <c r="E78" s="44"/>
      <c r="F78" s="44"/>
      <c r="G78" s="45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</row>
    <row r="79" spans="1:42">
      <c r="A79" s="47" t="s">
        <v>34</v>
      </c>
      <c r="B79" s="46">
        <f>(48306*1000)/B50</f>
        <v>31.403279187282667</v>
      </c>
      <c r="C79" s="66"/>
      <c r="D79" s="47" t="s">
        <v>5</v>
      </c>
      <c r="E79" s="48">
        <f t="shared" ref="E79:G79" si="56">I32/I39</f>
        <v>7.1055077852660931E-3</v>
      </c>
      <c r="F79" s="48">
        <f t="shared" si="56"/>
        <v>7.0412640771242698E-3</v>
      </c>
      <c r="G79" s="49">
        <f t="shared" si="56"/>
        <v>6.8805095707562035E-3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</row>
    <row r="80" spans="1:42">
      <c r="A80" s="47" t="s">
        <v>35</v>
      </c>
      <c r="B80" s="46">
        <f>B54</f>
        <v>116.91815423660829</v>
      </c>
      <c r="C80" s="66"/>
      <c r="D80" s="47" t="s">
        <v>36</v>
      </c>
      <c r="E80" s="50">
        <f t="shared" ref="E80:G80" si="57">I33/I39</f>
        <v>9.2958401115500813E-3</v>
      </c>
      <c r="F80" s="50">
        <f t="shared" si="57"/>
        <v>8.6462183602446889E-3</v>
      </c>
      <c r="G80" s="51">
        <f t="shared" si="57"/>
        <v>8.6957466928988363E-3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</row>
    <row r="81" spans="1:42" ht="15.75" customHeight="1">
      <c r="A81" s="47" t="s">
        <v>87</v>
      </c>
      <c r="B81" s="46">
        <v>80</v>
      </c>
      <c r="C81" s="66"/>
      <c r="D81" s="52" t="s">
        <v>38</v>
      </c>
      <c r="E81" s="53">
        <f t="shared" ref="E81:G81" si="58">I34/I39</f>
        <v>1.6837090402045087E-2</v>
      </c>
      <c r="F81" s="53">
        <f t="shared" si="58"/>
        <v>1.609277392300543E-2</v>
      </c>
      <c r="G81" s="54">
        <f t="shared" si="58"/>
        <v>1.5983869389884674E-2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</row>
    <row r="82" spans="1:42" ht="15.75" customHeight="1">
      <c r="A82" s="47" t="s">
        <v>88</v>
      </c>
      <c r="B82" s="46">
        <v>80</v>
      </c>
      <c r="C82" s="66"/>
      <c r="D82" s="2"/>
      <c r="E82" s="55"/>
      <c r="F82" s="55"/>
      <c r="G82" s="55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</row>
    <row r="83" spans="1:42">
      <c r="A83" s="47" t="s">
        <v>89</v>
      </c>
      <c r="B83" s="46">
        <v>80</v>
      </c>
      <c r="C83" s="66"/>
      <c r="D83" s="2"/>
      <c r="E83" s="55"/>
      <c r="F83" s="55"/>
      <c r="G83" s="55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</row>
    <row r="84" spans="1:42">
      <c r="A84" s="47" t="s">
        <v>90</v>
      </c>
      <c r="B84" s="46">
        <v>80</v>
      </c>
      <c r="C84" s="66"/>
      <c r="D84" s="2"/>
      <c r="E84" s="55"/>
      <c r="F84" s="55"/>
      <c r="G84" s="55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</row>
    <row r="85" spans="1:42">
      <c r="A85" s="47" t="s">
        <v>91</v>
      </c>
      <c r="B85" s="46">
        <f>B80*2.5</f>
        <v>292.2953855915207</v>
      </c>
      <c r="C85" s="66"/>
      <c r="D85" s="2"/>
      <c r="E85" s="55"/>
      <c r="F85" s="55"/>
      <c r="G85" s="55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</row>
    <row r="86" spans="1:42">
      <c r="A86" s="47" t="s">
        <v>92</v>
      </c>
      <c r="B86" s="46">
        <v>80</v>
      </c>
      <c r="C86" s="66"/>
      <c r="D86" s="2"/>
      <c r="E86" s="55"/>
      <c r="F86" s="55"/>
      <c r="G86" s="55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</row>
    <row r="87" spans="1:42">
      <c r="A87" s="47" t="s">
        <v>39</v>
      </c>
      <c r="B87" s="49">
        <f>B78/B80</f>
        <v>0.73140801450105364</v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</row>
    <row r="88" spans="1:42" ht="15.75" customHeight="1">
      <c r="A88" s="47" t="s">
        <v>40</v>
      </c>
      <c r="B88" s="49">
        <f>B79/B80</f>
        <v>0.26859198549894636</v>
      </c>
      <c r="C88" s="66"/>
      <c r="D88" s="66"/>
      <c r="E88" s="66"/>
      <c r="F88" s="7">
        <v>2009</v>
      </c>
      <c r="G88" s="4">
        <v>2010</v>
      </c>
      <c r="H88" s="4">
        <v>2011</v>
      </c>
      <c r="I88" s="4">
        <v>2012</v>
      </c>
      <c r="J88" s="4">
        <v>2013</v>
      </c>
      <c r="K88" s="4">
        <v>2014</v>
      </c>
      <c r="L88" s="4">
        <v>2015</v>
      </c>
      <c r="M88" s="4">
        <v>2016</v>
      </c>
      <c r="N88" s="4">
        <v>2017</v>
      </c>
      <c r="O88" s="4">
        <v>2018</v>
      </c>
      <c r="P88" s="4">
        <v>2019</v>
      </c>
      <c r="Q88" s="4">
        <v>2020</v>
      </c>
      <c r="R88" s="4">
        <v>2021</v>
      </c>
      <c r="S88" s="4">
        <v>2022</v>
      </c>
      <c r="T88" s="4">
        <v>2023</v>
      </c>
      <c r="U88" s="4">
        <v>2024</v>
      </c>
      <c r="V88" s="4">
        <v>2025</v>
      </c>
      <c r="W88" s="4">
        <v>2026</v>
      </c>
      <c r="X88" s="4">
        <v>2027</v>
      </c>
      <c r="Y88" s="4">
        <v>2028</v>
      </c>
      <c r="Z88" s="4">
        <v>2029</v>
      </c>
      <c r="AA88" s="4">
        <v>2030</v>
      </c>
      <c r="AB88" s="4">
        <v>2031</v>
      </c>
      <c r="AC88" s="4">
        <v>2032</v>
      </c>
      <c r="AD88" s="4">
        <v>2033</v>
      </c>
      <c r="AE88" s="4">
        <v>2034</v>
      </c>
      <c r="AF88" s="4">
        <v>2035</v>
      </c>
      <c r="AG88" s="4">
        <v>2036</v>
      </c>
      <c r="AH88" s="4">
        <v>2037</v>
      </c>
      <c r="AI88" s="4">
        <v>2038</v>
      </c>
      <c r="AJ88" s="4">
        <v>2039</v>
      </c>
      <c r="AK88" s="4">
        <v>2040</v>
      </c>
      <c r="AL88" s="66"/>
      <c r="AM88" s="66"/>
      <c r="AN88" s="66"/>
      <c r="AO88" s="66"/>
      <c r="AP88" s="66"/>
    </row>
    <row r="89" spans="1:42" ht="15.75" customHeight="1">
      <c r="A89" s="47" t="s">
        <v>41</v>
      </c>
      <c r="B89" s="56">
        <f>K31/(B75*B87)</f>
        <v>5.7030780809317106E-5</v>
      </c>
      <c r="C89" s="66"/>
      <c r="D89" s="57"/>
      <c r="E89" s="23"/>
      <c r="F89" s="58" t="s">
        <v>42</v>
      </c>
      <c r="G89" s="23"/>
      <c r="H89" s="23"/>
      <c r="I89" s="23"/>
      <c r="J89" s="59"/>
      <c r="K89" s="60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61"/>
      <c r="AK89" s="66"/>
      <c r="AL89" s="66"/>
      <c r="AM89" s="66"/>
      <c r="AN89" s="66"/>
      <c r="AO89" s="66"/>
      <c r="AP89" s="66"/>
    </row>
    <row r="90" spans="1:42">
      <c r="A90" s="47" t="s">
        <v>43</v>
      </c>
      <c r="B90" s="56">
        <f>K35/(B75*B88)</f>
        <v>1.7738997226017471E-4</v>
      </c>
      <c r="C90" s="66"/>
      <c r="D90" s="47" t="s">
        <v>44</v>
      </c>
      <c r="E90" s="2" t="s">
        <v>45</v>
      </c>
      <c r="F90" s="62">
        <f t="shared" ref="F90:AJ90" si="59">(L31+L32+L33+L34+L36+L37)*4.5</f>
        <v>39695.4</v>
      </c>
      <c r="G90" s="62">
        <f t="shared" si="59"/>
        <v>39585.628809187489</v>
      </c>
      <c r="H90" s="62">
        <f t="shared" si="59"/>
        <v>39574.179255690557</v>
      </c>
      <c r="I90" s="62">
        <f t="shared" si="59"/>
        <v>39574.179255690557</v>
      </c>
      <c r="J90" s="62">
        <f t="shared" si="59"/>
        <v>40681.531147097303</v>
      </c>
      <c r="K90" s="62">
        <f t="shared" si="59"/>
        <v>40681.531147097303</v>
      </c>
      <c r="L90" s="62">
        <f t="shared" si="59"/>
        <v>40681.531147097303</v>
      </c>
      <c r="M90" s="62">
        <f t="shared" si="59"/>
        <v>39636.593754977468</v>
      </c>
      <c r="N90" s="62">
        <f t="shared" si="59"/>
        <v>10300.093747481325</v>
      </c>
      <c r="O90" s="62">
        <f t="shared" si="59"/>
        <v>10300.093747481325</v>
      </c>
      <c r="P90" s="62">
        <f t="shared" si="59"/>
        <v>10316.234874894806</v>
      </c>
      <c r="Q90" s="62">
        <f t="shared" si="59"/>
        <v>10332.654684685567</v>
      </c>
      <c r="R90" s="62">
        <f t="shared" si="59"/>
        <v>10396.097903465832</v>
      </c>
      <c r="S90" s="62">
        <f t="shared" si="59"/>
        <v>10396.097903465832</v>
      </c>
      <c r="T90" s="62">
        <f t="shared" si="59"/>
        <v>10341.501532261171</v>
      </c>
      <c r="U90" s="62">
        <f t="shared" si="59"/>
        <v>10364.416587148991</v>
      </c>
      <c r="V90" s="62">
        <f t="shared" si="59"/>
        <v>10382.831642036814</v>
      </c>
      <c r="W90" s="62">
        <f t="shared" si="59"/>
        <v>10394.753442058722</v>
      </c>
      <c r="X90" s="62">
        <f t="shared" si="59"/>
        <v>10394.753442058722</v>
      </c>
      <c r="Y90" s="62">
        <f t="shared" si="59"/>
        <v>10394.753442058722</v>
      </c>
      <c r="Z90" s="62">
        <f t="shared" si="59"/>
        <v>10411.521538341371</v>
      </c>
      <c r="AA90" s="62">
        <f t="shared" si="59"/>
        <v>10411.521538341371</v>
      </c>
      <c r="AB90" s="62">
        <f t="shared" si="59"/>
        <v>10411.521538341371</v>
      </c>
      <c r="AC90" s="62">
        <f t="shared" si="59"/>
        <v>10411.521538341371</v>
      </c>
      <c r="AD90" s="62">
        <f t="shared" si="59"/>
        <v>10411.521538341371</v>
      </c>
      <c r="AE90" s="62">
        <f t="shared" si="59"/>
        <v>10455.14020062933</v>
      </c>
      <c r="AF90" s="62">
        <f t="shared" si="59"/>
        <v>10455.14020062933</v>
      </c>
      <c r="AG90" s="62">
        <f t="shared" si="59"/>
        <v>10455.14020062933</v>
      </c>
      <c r="AH90" s="62">
        <f t="shared" si="59"/>
        <v>10455.14020062933</v>
      </c>
      <c r="AI90" s="62">
        <f t="shared" si="59"/>
        <v>10528.882448248463</v>
      </c>
      <c r="AJ90" s="63">
        <f t="shared" si="59"/>
        <v>10528.882448248463</v>
      </c>
      <c r="AK90" s="66"/>
      <c r="AL90" s="66"/>
      <c r="AM90" s="66"/>
      <c r="AN90" s="66"/>
      <c r="AO90" s="66"/>
      <c r="AP90" s="66"/>
    </row>
    <row r="91" spans="1:42">
      <c r="A91" s="47"/>
      <c r="B91" s="32"/>
      <c r="C91" s="66"/>
      <c r="D91" s="47"/>
      <c r="E91" s="2" t="s">
        <v>46</v>
      </c>
      <c r="F91" s="62">
        <f t="shared" ref="F91:AJ91" si="60">(L35/0.682)*3</f>
        <v>365.10263929618765</v>
      </c>
      <c r="G91" s="62">
        <f t="shared" si="60"/>
        <v>363.08276545825925</v>
      </c>
      <c r="H91" s="62">
        <f t="shared" si="60"/>
        <v>363.08276545825925</v>
      </c>
      <c r="I91" s="62">
        <f t="shared" si="60"/>
        <v>363.08276545825925</v>
      </c>
      <c r="J91" s="62">
        <f t="shared" si="60"/>
        <v>364.57169779150769</v>
      </c>
      <c r="K91" s="62">
        <f t="shared" si="60"/>
        <v>364.57169779150769</v>
      </c>
      <c r="L91" s="62">
        <f t="shared" si="60"/>
        <v>364.57169779150769</v>
      </c>
      <c r="M91" s="62">
        <f t="shared" si="60"/>
        <v>363.85684690486619</v>
      </c>
      <c r="N91" s="62">
        <f t="shared" si="60"/>
        <v>363.71960307516122</v>
      </c>
      <c r="O91" s="62">
        <f t="shared" si="60"/>
        <v>363.71960307516122</v>
      </c>
      <c r="P91" s="62">
        <f t="shared" si="60"/>
        <v>363.00304275589315</v>
      </c>
      <c r="Q91" s="62">
        <f t="shared" si="60"/>
        <v>365.96727084914886</v>
      </c>
      <c r="R91" s="62">
        <f t="shared" si="60"/>
        <v>362.95485197294835</v>
      </c>
      <c r="S91" s="62">
        <f t="shared" si="60"/>
        <v>362.95485197294835</v>
      </c>
      <c r="T91" s="62">
        <f t="shared" si="60"/>
        <v>363.85003744076704</v>
      </c>
      <c r="U91" s="62">
        <f t="shared" si="60"/>
        <v>366.81677351452493</v>
      </c>
      <c r="V91" s="62">
        <f t="shared" si="60"/>
        <v>365.38468260881064</v>
      </c>
      <c r="W91" s="62">
        <f t="shared" si="60"/>
        <v>365.31451132843165</v>
      </c>
      <c r="X91" s="62">
        <f t="shared" si="60"/>
        <v>365.31451132843165</v>
      </c>
      <c r="Y91" s="62">
        <f t="shared" si="60"/>
        <v>365.31451132843165</v>
      </c>
      <c r="Z91" s="62">
        <f t="shared" si="60"/>
        <v>366.15176604353701</v>
      </c>
      <c r="AA91" s="62">
        <f t="shared" si="60"/>
        <v>366.15176604353701</v>
      </c>
      <c r="AB91" s="62">
        <f t="shared" si="60"/>
        <v>366.15176604353701</v>
      </c>
      <c r="AC91" s="62">
        <f t="shared" si="60"/>
        <v>366.15176604353701</v>
      </c>
      <c r="AD91" s="62">
        <f t="shared" si="60"/>
        <v>366.15176604353701</v>
      </c>
      <c r="AE91" s="62">
        <f t="shared" si="60"/>
        <v>364.56954919884248</v>
      </c>
      <c r="AF91" s="62">
        <f t="shared" si="60"/>
        <v>364.56954919884248</v>
      </c>
      <c r="AG91" s="62">
        <f t="shared" si="60"/>
        <v>364.56954919884248</v>
      </c>
      <c r="AH91" s="62">
        <f t="shared" si="60"/>
        <v>364.56954919884248</v>
      </c>
      <c r="AI91" s="62">
        <f t="shared" si="60"/>
        <v>367.26538352932278</v>
      </c>
      <c r="AJ91" s="63">
        <f t="shared" si="60"/>
        <v>367.26538352932278</v>
      </c>
      <c r="AK91" s="66"/>
      <c r="AL91" s="66"/>
      <c r="AM91" s="66"/>
      <c r="AN91" s="66"/>
      <c r="AO91" s="66"/>
      <c r="AP91" s="66"/>
    </row>
    <row r="92" spans="1:42">
      <c r="A92" s="47" t="s">
        <v>47</v>
      </c>
      <c r="B92" s="32">
        <f>K32/B50</f>
        <v>8.2301476940959407E-5</v>
      </c>
      <c r="C92" s="66"/>
      <c r="D92" s="47" t="s">
        <v>48</v>
      </c>
      <c r="E92" s="2" t="s">
        <v>49</v>
      </c>
      <c r="F92" s="62">
        <f t="shared" ref="F92:AJ92" si="61">(L31+L32+L33+L34+L36+L37)*16</f>
        <v>141139.20000000001</v>
      </c>
      <c r="G92" s="62">
        <f t="shared" si="61"/>
        <v>140748.90243266663</v>
      </c>
      <c r="H92" s="62">
        <f t="shared" si="61"/>
        <v>140708.19290912198</v>
      </c>
      <c r="I92" s="62">
        <f t="shared" si="61"/>
        <v>140708.19290912198</v>
      </c>
      <c r="J92" s="62">
        <f t="shared" si="61"/>
        <v>144645.44407856819</v>
      </c>
      <c r="K92" s="62">
        <f t="shared" si="61"/>
        <v>144645.44407856819</v>
      </c>
      <c r="L92" s="62">
        <f t="shared" si="61"/>
        <v>144645.44407856819</v>
      </c>
      <c r="M92" s="62">
        <f t="shared" si="61"/>
        <v>140930.11112880878</v>
      </c>
      <c r="N92" s="62">
        <f t="shared" si="61"/>
        <v>36622.55554660027</v>
      </c>
      <c r="O92" s="62">
        <f t="shared" si="61"/>
        <v>36622.55554660027</v>
      </c>
      <c r="P92" s="62">
        <f t="shared" si="61"/>
        <v>36679.9462218482</v>
      </c>
      <c r="Q92" s="62">
        <f t="shared" si="61"/>
        <v>36738.327767770905</v>
      </c>
      <c r="R92" s="62">
        <f t="shared" si="61"/>
        <v>36963.903656767405</v>
      </c>
      <c r="S92" s="62">
        <f t="shared" si="61"/>
        <v>36963.903656767405</v>
      </c>
      <c r="T92" s="62">
        <f t="shared" si="61"/>
        <v>36769.783225817497</v>
      </c>
      <c r="U92" s="62">
        <f t="shared" si="61"/>
        <v>36851.258976529745</v>
      </c>
      <c r="V92" s="62">
        <f t="shared" si="61"/>
        <v>36916.734727242001</v>
      </c>
      <c r="W92" s="62">
        <f t="shared" si="61"/>
        <v>36959.123349542118</v>
      </c>
      <c r="X92" s="62">
        <f t="shared" si="61"/>
        <v>36959.123349542118</v>
      </c>
      <c r="Y92" s="62">
        <f t="shared" si="61"/>
        <v>36959.123349542118</v>
      </c>
      <c r="Z92" s="62">
        <f t="shared" si="61"/>
        <v>37018.743247435981</v>
      </c>
      <c r="AA92" s="62">
        <f t="shared" si="61"/>
        <v>37018.743247435981</v>
      </c>
      <c r="AB92" s="62">
        <f t="shared" si="61"/>
        <v>37018.743247435981</v>
      </c>
      <c r="AC92" s="62">
        <f t="shared" si="61"/>
        <v>37018.743247435981</v>
      </c>
      <c r="AD92" s="62">
        <f t="shared" si="61"/>
        <v>37018.743247435981</v>
      </c>
      <c r="AE92" s="62">
        <f t="shared" si="61"/>
        <v>37173.831824459841</v>
      </c>
      <c r="AF92" s="62">
        <f t="shared" si="61"/>
        <v>37173.831824459841</v>
      </c>
      <c r="AG92" s="62">
        <f t="shared" si="61"/>
        <v>37173.831824459841</v>
      </c>
      <c r="AH92" s="62">
        <f t="shared" si="61"/>
        <v>37173.831824459841</v>
      </c>
      <c r="AI92" s="62">
        <f t="shared" si="61"/>
        <v>37436.026482661204</v>
      </c>
      <c r="AJ92" s="63">
        <f t="shared" si="61"/>
        <v>37436.026482661204</v>
      </c>
      <c r="AK92" s="66"/>
      <c r="AL92" s="66"/>
      <c r="AM92" s="66"/>
      <c r="AN92" s="66"/>
      <c r="AO92" s="66"/>
      <c r="AP92" s="66"/>
    </row>
    <row r="93" spans="1:42" ht="15.75" customHeight="1">
      <c r="A93" s="52" t="s">
        <v>50</v>
      </c>
      <c r="B93" s="36">
        <f>K33/B50</f>
        <v>1.0401450482269753E-4</v>
      </c>
      <c r="C93" s="66"/>
      <c r="D93" s="52"/>
      <c r="E93" s="33" t="s">
        <v>46</v>
      </c>
      <c r="F93" s="64">
        <f t="shared" ref="F93:AJ93" si="62">(L35/0.682)*6</f>
        <v>730.20527859237529</v>
      </c>
      <c r="G93" s="64">
        <f t="shared" si="62"/>
        <v>726.16553091651849</v>
      </c>
      <c r="H93" s="64">
        <f t="shared" si="62"/>
        <v>726.16553091651849</v>
      </c>
      <c r="I93" s="64">
        <f t="shared" si="62"/>
        <v>726.16553091651849</v>
      </c>
      <c r="J93" s="64">
        <f t="shared" si="62"/>
        <v>729.14339558301538</v>
      </c>
      <c r="K93" s="64">
        <f t="shared" si="62"/>
        <v>729.14339558301538</v>
      </c>
      <c r="L93" s="64">
        <f t="shared" si="62"/>
        <v>729.14339558301538</v>
      </c>
      <c r="M93" s="64">
        <f t="shared" si="62"/>
        <v>727.71369380973238</v>
      </c>
      <c r="N93" s="64">
        <f t="shared" si="62"/>
        <v>727.43920615032243</v>
      </c>
      <c r="O93" s="64">
        <f t="shared" si="62"/>
        <v>727.43920615032243</v>
      </c>
      <c r="P93" s="64">
        <f t="shared" si="62"/>
        <v>726.0060855117863</v>
      </c>
      <c r="Q93" s="64">
        <f t="shared" si="62"/>
        <v>731.93454169829772</v>
      </c>
      <c r="R93" s="64">
        <f t="shared" si="62"/>
        <v>725.90970394589669</v>
      </c>
      <c r="S93" s="64">
        <f t="shared" si="62"/>
        <v>725.90970394589669</v>
      </c>
      <c r="T93" s="64">
        <f t="shared" si="62"/>
        <v>727.70007488153408</v>
      </c>
      <c r="U93" s="64">
        <f t="shared" si="62"/>
        <v>733.63354702904985</v>
      </c>
      <c r="V93" s="64">
        <f t="shared" si="62"/>
        <v>730.76936521762127</v>
      </c>
      <c r="W93" s="64">
        <f t="shared" si="62"/>
        <v>730.6290226568633</v>
      </c>
      <c r="X93" s="64">
        <f t="shared" si="62"/>
        <v>730.6290226568633</v>
      </c>
      <c r="Y93" s="64">
        <f t="shared" si="62"/>
        <v>730.6290226568633</v>
      </c>
      <c r="Z93" s="64">
        <f t="shared" si="62"/>
        <v>732.30353208707402</v>
      </c>
      <c r="AA93" s="64">
        <f t="shared" si="62"/>
        <v>732.30353208707402</v>
      </c>
      <c r="AB93" s="64">
        <f t="shared" si="62"/>
        <v>732.30353208707402</v>
      </c>
      <c r="AC93" s="64">
        <f t="shared" si="62"/>
        <v>732.30353208707402</v>
      </c>
      <c r="AD93" s="64">
        <f t="shared" si="62"/>
        <v>732.30353208707402</v>
      </c>
      <c r="AE93" s="64">
        <f t="shared" si="62"/>
        <v>729.13909839768496</v>
      </c>
      <c r="AF93" s="64">
        <f t="shared" si="62"/>
        <v>729.13909839768496</v>
      </c>
      <c r="AG93" s="64">
        <f t="shared" si="62"/>
        <v>729.13909839768496</v>
      </c>
      <c r="AH93" s="64">
        <f t="shared" si="62"/>
        <v>729.13909839768496</v>
      </c>
      <c r="AI93" s="64">
        <f t="shared" si="62"/>
        <v>734.53076705864555</v>
      </c>
      <c r="AJ93" s="65">
        <f t="shared" si="62"/>
        <v>734.53076705864555</v>
      </c>
      <c r="AK93" s="66"/>
      <c r="AL93" s="66"/>
      <c r="AM93" s="66"/>
      <c r="AN93" s="66"/>
      <c r="AO93" s="66"/>
      <c r="AP93" s="66"/>
    </row>
    <row r="94" spans="1:42" ht="15.75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</row>
    <row r="95" spans="1:42">
      <c r="A95" s="66"/>
      <c r="B95" s="66"/>
      <c r="C95" s="66"/>
      <c r="D95" s="14" t="s">
        <v>93</v>
      </c>
      <c r="E95" s="14" t="s">
        <v>94</v>
      </c>
      <c r="F95" s="14" t="s">
        <v>95</v>
      </c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</row>
    <row r="96" spans="1:42">
      <c r="A96" s="66"/>
      <c r="B96" s="66"/>
      <c r="C96" s="66"/>
      <c r="D96" s="97">
        <f>E96/(F96/1000)</f>
        <v>0.61062836516506114</v>
      </c>
      <c r="E96" s="18">
        <f>AVERAGE(I35:K35)</f>
        <v>8370.4</v>
      </c>
      <c r="F96" s="98">
        <f>AVERAGE(F97:F99)</f>
        <v>13707846.666666666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</row>
    <row r="97" spans="1:42">
      <c r="A97" s="66"/>
      <c r="B97" s="66"/>
      <c r="C97" s="66"/>
      <c r="D97" s="14"/>
      <c r="E97" s="14"/>
      <c r="F97" s="99">
        <v>13811482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</row>
    <row r="98" spans="1:42">
      <c r="A98" s="66"/>
      <c r="B98" s="66"/>
      <c r="C98" s="66"/>
      <c r="D98" s="14"/>
      <c r="E98" s="14"/>
      <c r="F98" s="99">
        <v>13275754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</row>
    <row r="99" spans="1:42">
      <c r="A99" s="66"/>
      <c r="B99" s="48"/>
      <c r="C99" s="66"/>
      <c r="D99" s="14"/>
      <c r="E99" s="14"/>
      <c r="F99" s="99">
        <v>14036304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</row>
    <row r="100" spans="1:4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</row>
    <row r="101" spans="1:4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</row>
    <row r="102" spans="1:4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</row>
    <row r="103" spans="1:4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</row>
    <row r="104" spans="1:4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</row>
    <row r="105" spans="1:4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</row>
    <row r="106" spans="1:4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</row>
    <row r="107" spans="1:4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</row>
    <row r="108" spans="1:4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</row>
    <row r="109" spans="1:4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</row>
    <row r="110" spans="1:4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</row>
    <row r="111" spans="1:4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</row>
    <row r="112" spans="1:4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</row>
    <row r="113" spans="1:4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</row>
    <row r="114" spans="1:4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</row>
    <row r="115" spans="1:4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</row>
    <row r="116" spans="1:4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</row>
    <row r="117" spans="1:4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</row>
    <row r="118" spans="1:4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</row>
    <row r="119" spans="1:4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</row>
    <row r="120" spans="1:4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</row>
    <row r="121" spans="1:4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</row>
    <row r="122" spans="1:4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</row>
    <row r="123" spans="1:4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</row>
    <row r="124" spans="1:4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</row>
    <row r="125" spans="1:4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</row>
    <row r="126" spans="1:4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</row>
    <row r="127" spans="1:4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</row>
    <row r="128" spans="1:4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</row>
    <row r="129" spans="1:4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</row>
    <row r="130" spans="1:4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</row>
    <row r="131" spans="1:4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</row>
    <row r="132" spans="1:4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</row>
    <row r="133" spans="1:4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</row>
    <row r="134" spans="1:4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</row>
    <row r="135" spans="1:4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</row>
    <row r="136" spans="1:4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</row>
    <row r="137" spans="1:4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</row>
    <row r="138" spans="1:4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</row>
    <row r="139" spans="1:4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</row>
    <row r="140" spans="1:4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</row>
    <row r="141" spans="1:4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</row>
    <row r="142" spans="1:4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</row>
    <row r="143" spans="1:4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</row>
    <row r="144" spans="1:4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</row>
    <row r="145" spans="1:4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</row>
    <row r="146" spans="1:4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</row>
    <row r="147" spans="1:4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</row>
    <row r="148" spans="1:4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</row>
    <row r="149" spans="1:4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</row>
    <row r="150" spans="1:4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</row>
    <row r="151" spans="1:4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</row>
    <row r="152" spans="1:4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</row>
    <row r="153" spans="1:4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</row>
    <row r="154" spans="1:4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</row>
    <row r="155" spans="1:4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</row>
    <row r="156" spans="1:4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</row>
    <row r="157" spans="1:4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</row>
    <row r="158" spans="1:4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</row>
    <row r="159" spans="1:4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</row>
    <row r="160" spans="1:4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</row>
    <row r="161" spans="1:4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</row>
    <row r="162" spans="1:4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</row>
    <row r="163" spans="1:42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</row>
    <row r="164" spans="1:42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</row>
    <row r="165" spans="1:42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</row>
    <row r="166" spans="1:4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</row>
    <row r="167" spans="1:42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</row>
    <row r="168" spans="1:4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</row>
    <row r="169" spans="1:42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</row>
    <row r="170" spans="1:42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</row>
    <row r="171" spans="1:4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</row>
    <row r="172" spans="1:4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</row>
    <row r="173" spans="1:42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</row>
    <row r="174" spans="1:42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</row>
    <row r="175" spans="1:42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</row>
    <row r="176" spans="1:42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</row>
    <row r="177" spans="1:4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</row>
    <row r="178" spans="1:4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</row>
    <row r="179" spans="1:42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</row>
    <row r="180" spans="1:42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</row>
    <row r="181" spans="1:42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</row>
    <row r="182" spans="1:4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</row>
    <row r="183" spans="1:42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</row>
    <row r="184" spans="1:42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</row>
    <row r="185" spans="1:42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</row>
    <row r="186" spans="1:42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</row>
    <row r="187" spans="1:4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</row>
    <row r="188" spans="1:4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</row>
    <row r="189" spans="1:42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</row>
    <row r="190" spans="1:42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</row>
    <row r="191" spans="1:42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</row>
    <row r="192" spans="1:4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</row>
    <row r="193" spans="1:4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</row>
    <row r="194" spans="1:4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</row>
    <row r="195" spans="1:4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</row>
    <row r="196" spans="1:42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</row>
    <row r="197" spans="1:4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</row>
    <row r="198" spans="1:42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</row>
    <row r="199" spans="1:4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</row>
    <row r="200" spans="1:4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</row>
    <row r="201" spans="1:4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</row>
    <row r="202" spans="1:4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</row>
    <row r="203" spans="1:42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</row>
    <row r="204" spans="1:42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</row>
    <row r="205" spans="1:42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</row>
    <row r="206" spans="1:42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</row>
    <row r="207" spans="1:42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</row>
    <row r="208" spans="1:42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</row>
    <row r="209" spans="1:42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</row>
    <row r="210" spans="1:42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</row>
    <row r="211" spans="1:42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</row>
    <row r="212" spans="1:4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</row>
    <row r="213" spans="1:42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</row>
    <row r="214" spans="1:42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</row>
    <row r="215" spans="1:42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</row>
    <row r="216" spans="1:42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</row>
    <row r="217" spans="1:42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</row>
    <row r="218" spans="1:42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</row>
    <row r="219" spans="1:42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</row>
    <row r="220" spans="1:42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</row>
    <row r="221" spans="1:42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</row>
    <row r="222" spans="1:4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</row>
    <row r="223" spans="1:42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</row>
    <row r="224" spans="1:42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</row>
    <row r="225" spans="1:42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</row>
    <row r="226" spans="1:42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</row>
    <row r="227" spans="1:42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</row>
    <row r="228" spans="1:42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</row>
    <row r="229" spans="1:42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</row>
    <row r="230" spans="1:42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</row>
    <row r="231" spans="1:42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</row>
    <row r="232" spans="1:4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</row>
    <row r="233" spans="1:42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</row>
    <row r="234" spans="1:42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</row>
    <row r="235" spans="1:42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</row>
    <row r="236" spans="1:42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</row>
    <row r="237" spans="1:4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</row>
    <row r="238" spans="1:42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</row>
    <row r="239" spans="1:42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</row>
    <row r="240" spans="1:42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</row>
    <row r="241" spans="1:42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</row>
    <row r="242" spans="1:4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</row>
    <row r="243" spans="1:42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</row>
    <row r="244" spans="1:42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</row>
    <row r="245" spans="1:42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</row>
    <row r="246" spans="1:42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</row>
    <row r="247" spans="1:42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</row>
    <row r="248" spans="1:42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</row>
    <row r="249" spans="1:42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</row>
    <row r="250" spans="1:42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</row>
    <row r="251" spans="1:42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</row>
    <row r="252" spans="1:4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</row>
    <row r="253" spans="1:42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</row>
    <row r="254" spans="1:42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</row>
    <row r="255" spans="1:42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</row>
    <row r="256" spans="1:42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</row>
    <row r="257" spans="1:4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</row>
    <row r="258" spans="1:42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</row>
    <row r="259" spans="1:42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</row>
    <row r="260" spans="1:42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</row>
    <row r="261" spans="1:42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</row>
    <row r="262" spans="1:4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</row>
    <row r="263" spans="1:42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</row>
    <row r="264" spans="1:42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</row>
    <row r="265" spans="1:42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</row>
    <row r="266" spans="1:42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</row>
    <row r="267" spans="1:42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</row>
    <row r="268" spans="1:42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</row>
    <row r="269" spans="1:42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</row>
    <row r="270" spans="1:42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</row>
    <row r="271" spans="1:42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</row>
    <row r="272" spans="1:4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</row>
    <row r="273" spans="1:4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</row>
    <row r="274" spans="1:4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</row>
    <row r="275" spans="1:4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</row>
    <row r="276" spans="1:42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</row>
    <row r="277" spans="1:42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</row>
    <row r="278" spans="1:42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</row>
    <row r="279" spans="1:42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</row>
    <row r="280" spans="1:42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</row>
    <row r="281" spans="1:42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</row>
    <row r="282" spans="1:4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</row>
    <row r="283" spans="1:42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</row>
    <row r="284" spans="1:42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</row>
    <row r="285" spans="1:42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</row>
    <row r="286" spans="1:42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</row>
    <row r="287" spans="1:42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</row>
    <row r="288" spans="1:42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</row>
    <row r="289" spans="1:42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</row>
    <row r="290" spans="1:42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</row>
    <row r="291" spans="1:42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</row>
    <row r="292" spans="1:4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</row>
    <row r="293" spans="1:42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</row>
    <row r="294" spans="1:42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</row>
    <row r="295" spans="1:42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</row>
    <row r="296" spans="1:42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</row>
    <row r="297" spans="1:42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</row>
    <row r="298" spans="1:42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</row>
    <row r="299" spans="1:42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</row>
    <row r="300" spans="1:42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</row>
    <row r="301" spans="1:42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</row>
    <row r="302" spans="1:4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</row>
    <row r="303" spans="1:42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</row>
    <row r="304" spans="1:42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</row>
    <row r="305" spans="1:42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</row>
    <row r="306" spans="1:42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</row>
    <row r="307" spans="1:42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</row>
    <row r="308" spans="1:42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</row>
    <row r="309" spans="1:42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</row>
    <row r="310" spans="1:42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</row>
    <row r="311" spans="1:42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</row>
    <row r="312" spans="1:4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</row>
    <row r="313" spans="1:42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</row>
    <row r="314" spans="1:42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</row>
    <row r="315" spans="1:42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</row>
    <row r="316" spans="1:42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</row>
    <row r="317" spans="1:42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</row>
    <row r="318" spans="1:42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</row>
    <row r="319" spans="1:4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</row>
    <row r="320" spans="1:4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</row>
    <row r="321" spans="1:42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</row>
    <row r="322" spans="1:4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</row>
    <row r="323" spans="1:42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</row>
    <row r="324" spans="1:42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</row>
    <row r="325" spans="1:42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</row>
    <row r="326" spans="1:42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</row>
    <row r="327" spans="1:42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</row>
    <row r="328" spans="1:42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</row>
    <row r="329" spans="1:42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</row>
    <row r="330" spans="1:42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</row>
    <row r="331" spans="1:42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</row>
    <row r="332" spans="1:4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</row>
    <row r="333" spans="1:42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</row>
    <row r="334" spans="1:42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</row>
    <row r="335" spans="1:42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</row>
    <row r="336" spans="1:42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</row>
    <row r="337" spans="1:42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</row>
    <row r="338" spans="1:42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</row>
    <row r="339" spans="1:42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</row>
    <row r="340" spans="1:42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</row>
    <row r="341" spans="1:42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</row>
    <row r="342" spans="1:4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</row>
    <row r="343" spans="1:42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</row>
    <row r="344" spans="1:42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</row>
    <row r="345" spans="1:42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</row>
    <row r="346" spans="1:42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</row>
    <row r="347" spans="1:42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</row>
    <row r="348" spans="1:42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</row>
    <row r="349" spans="1:42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</row>
    <row r="350" spans="1:42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</row>
    <row r="351" spans="1:42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</row>
    <row r="352" spans="1:4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</row>
    <row r="353" spans="1:4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</row>
    <row r="354" spans="1:42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</row>
    <row r="355" spans="1:42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</row>
    <row r="356" spans="1:42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</row>
    <row r="357" spans="1:42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</row>
    <row r="358" spans="1:42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</row>
    <row r="359" spans="1:42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</row>
    <row r="360" spans="1:42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</row>
    <row r="361" spans="1:42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</row>
    <row r="362" spans="1:4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</row>
    <row r="363" spans="1:42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</row>
    <row r="364" spans="1:4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</row>
    <row r="365" spans="1:4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</row>
    <row r="366" spans="1:4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</row>
    <row r="367" spans="1:42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</row>
    <row r="368" spans="1:42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</row>
    <row r="369" spans="1:42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</row>
    <row r="370" spans="1:42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</row>
    <row r="371" spans="1:42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</row>
    <row r="372" spans="1:4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</row>
    <row r="373" spans="1:42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</row>
    <row r="374" spans="1:42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</row>
    <row r="375" spans="1:42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</row>
    <row r="376" spans="1:42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</row>
    <row r="377" spans="1:42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</row>
    <row r="378" spans="1:42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</row>
    <row r="379" spans="1:42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</row>
    <row r="380" spans="1:42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</row>
    <row r="381" spans="1:42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</row>
    <row r="382" spans="1:4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</row>
    <row r="383" spans="1:42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</row>
    <row r="384" spans="1:42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</row>
    <row r="385" spans="1:42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</row>
    <row r="386" spans="1:42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</row>
    <row r="387" spans="1:42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</row>
    <row r="388" spans="1:4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</row>
    <row r="389" spans="1:42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</row>
    <row r="390" spans="1:42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</row>
    <row r="391" spans="1:42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</row>
    <row r="392" spans="1:4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</row>
    <row r="393" spans="1:42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</row>
    <row r="394" spans="1:42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</row>
    <row r="395" spans="1:42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</row>
    <row r="396" spans="1:42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</row>
    <row r="397" spans="1:42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</row>
    <row r="398" spans="1:42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</row>
    <row r="399" spans="1:42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</row>
    <row r="400" spans="1:42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</row>
    <row r="401" spans="1:42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</row>
    <row r="402" spans="1:4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</row>
    <row r="403" spans="1:42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</row>
    <row r="404" spans="1:42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</row>
    <row r="405" spans="1:42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</row>
    <row r="406" spans="1:42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</row>
    <row r="407" spans="1:42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</row>
    <row r="408" spans="1:42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</row>
    <row r="409" spans="1:4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</row>
    <row r="410" spans="1:42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</row>
    <row r="411" spans="1:42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</row>
    <row r="412" spans="1:42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</row>
    <row r="413" spans="1:42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</row>
    <row r="414" spans="1:42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</row>
    <row r="415" spans="1:42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</row>
    <row r="416" spans="1:42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</row>
    <row r="417" spans="1:42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</row>
    <row r="418" spans="1:42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</row>
    <row r="419" spans="1:42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</row>
    <row r="420" spans="1:42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</row>
    <row r="421" spans="1:42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</row>
    <row r="422" spans="1:42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</row>
    <row r="423" spans="1:42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</row>
    <row r="424" spans="1:42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</row>
    <row r="425" spans="1:42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</row>
    <row r="426" spans="1:42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</row>
    <row r="427" spans="1:42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</row>
    <row r="428" spans="1:42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</row>
    <row r="429" spans="1:42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</row>
    <row r="430" spans="1:42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</row>
    <row r="431" spans="1:42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</row>
    <row r="432" spans="1:4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</row>
    <row r="433" spans="1:42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</row>
    <row r="434" spans="1:42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</row>
    <row r="435" spans="1:42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</row>
    <row r="436" spans="1:42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</row>
    <row r="437" spans="1:42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</row>
    <row r="438" spans="1:42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</row>
    <row r="439" spans="1:42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</row>
    <row r="440" spans="1:42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</row>
    <row r="441" spans="1:42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</row>
    <row r="442" spans="1:42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</row>
    <row r="443" spans="1:42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</row>
    <row r="444" spans="1:42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</row>
    <row r="445" spans="1:42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</row>
    <row r="446" spans="1:42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</row>
    <row r="447" spans="1:42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</row>
    <row r="448" spans="1:42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</row>
    <row r="449" spans="1:42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</row>
    <row r="450" spans="1:42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</row>
    <row r="451" spans="1:42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</row>
    <row r="452" spans="1:42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</row>
    <row r="453" spans="1:42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</row>
    <row r="454" spans="1:42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</row>
    <row r="455" spans="1:42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</row>
    <row r="456" spans="1:42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</row>
    <row r="457" spans="1:42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</row>
    <row r="458" spans="1:42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</row>
    <row r="459" spans="1:42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</row>
    <row r="460" spans="1:42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</row>
    <row r="461" spans="1:42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</row>
    <row r="462" spans="1:42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</row>
    <row r="463" spans="1:42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</row>
    <row r="464" spans="1:42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</row>
    <row r="465" spans="1:42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</row>
    <row r="466" spans="1:42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</row>
    <row r="467" spans="1:42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</row>
    <row r="468" spans="1:42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</row>
    <row r="469" spans="1:42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</row>
    <row r="470" spans="1:42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</row>
    <row r="471" spans="1:4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</row>
    <row r="472" spans="1:42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</row>
    <row r="473" spans="1:42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</row>
    <row r="474" spans="1:42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</row>
    <row r="475" spans="1:42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</row>
    <row r="476" spans="1:42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</row>
    <row r="477" spans="1:42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</row>
    <row r="478" spans="1:42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</row>
    <row r="479" spans="1:42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</row>
    <row r="480" spans="1:42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</row>
    <row r="481" spans="1:42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</row>
    <row r="482" spans="1:42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</row>
    <row r="483" spans="1:42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</row>
    <row r="484" spans="1:42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</row>
    <row r="485" spans="1:42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</row>
    <row r="486" spans="1:42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</row>
    <row r="487" spans="1:42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</row>
    <row r="488" spans="1:42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</row>
    <row r="489" spans="1:42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</row>
    <row r="490" spans="1:42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</row>
    <row r="491" spans="1:42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</row>
    <row r="492" spans="1:4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</row>
    <row r="493" spans="1:42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</row>
    <row r="494" spans="1:42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</row>
    <row r="495" spans="1:42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</row>
    <row r="496" spans="1:42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</row>
    <row r="497" spans="1:42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</row>
    <row r="498" spans="1:42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</row>
    <row r="499" spans="1:42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</row>
    <row r="500" spans="1:42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</row>
    <row r="501" spans="1:42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</row>
    <row r="502" spans="1:42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</row>
    <row r="503" spans="1:42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</row>
    <row r="504" spans="1:42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</row>
    <row r="505" spans="1:42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</row>
    <row r="506" spans="1:42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</row>
    <row r="507" spans="1:42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</row>
    <row r="508" spans="1:42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</row>
    <row r="509" spans="1:42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</row>
    <row r="510" spans="1:42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</row>
    <row r="511" spans="1:42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</row>
    <row r="512" spans="1:42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</row>
    <row r="513" spans="1:42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</row>
    <row r="514" spans="1:42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</row>
    <row r="515" spans="1:42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</row>
    <row r="516" spans="1:42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</row>
    <row r="517" spans="1:42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</row>
    <row r="518" spans="1:42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</row>
    <row r="519" spans="1:42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</row>
    <row r="520" spans="1:42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</row>
    <row r="521" spans="1:42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</row>
    <row r="522" spans="1:42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</row>
    <row r="523" spans="1:42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</row>
    <row r="524" spans="1:42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</row>
    <row r="525" spans="1:42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</row>
    <row r="526" spans="1:42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</row>
    <row r="527" spans="1:42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</row>
    <row r="528" spans="1:42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</row>
    <row r="529" spans="1:42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</row>
    <row r="530" spans="1:42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</row>
    <row r="531" spans="1:42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</row>
    <row r="532" spans="1:42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</row>
    <row r="533" spans="1:42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</row>
    <row r="534" spans="1:42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</row>
    <row r="535" spans="1:42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</row>
    <row r="536" spans="1:42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</row>
    <row r="537" spans="1:42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</row>
    <row r="538" spans="1:42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</row>
    <row r="539" spans="1:42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</row>
    <row r="540" spans="1:42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</row>
    <row r="541" spans="1:42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</row>
    <row r="542" spans="1:4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</row>
    <row r="543" spans="1:42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</row>
    <row r="544" spans="1:42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</row>
    <row r="545" spans="1:42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</row>
    <row r="546" spans="1:42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</row>
    <row r="547" spans="1:42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</row>
    <row r="548" spans="1:42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</row>
    <row r="549" spans="1:42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</row>
    <row r="550" spans="1:42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</row>
    <row r="551" spans="1:42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</row>
    <row r="552" spans="1:42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</row>
    <row r="553" spans="1:42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</row>
    <row r="554" spans="1:42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</row>
    <row r="555" spans="1:42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</row>
    <row r="556" spans="1:42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</row>
    <row r="557" spans="1:42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</row>
    <row r="558" spans="1:42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</row>
    <row r="559" spans="1:42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</row>
    <row r="560" spans="1:42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</row>
    <row r="561" spans="1:42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</row>
    <row r="562" spans="1:42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</row>
    <row r="563" spans="1:42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</row>
    <row r="564" spans="1:42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</row>
    <row r="565" spans="1:42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</row>
    <row r="566" spans="1:42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</row>
    <row r="567" spans="1:42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</row>
    <row r="568" spans="1:42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</row>
    <row r="569" spans="1:42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</row>
    <row r="570" spans="1:42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</row>
    <row r="571" spans="1:42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</row>
    <row r="572" spans="1:42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</row>
    <row r="573" spans="1:42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</row>
    <row r="574" spans="1:42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</row>
    <row r="575" spans="1:42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</row>
    <row r="576" spans="1:42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</row>
    <row r="577" spans="1:42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</row>
    <row r="578" spans="1:42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</row>
    <row r="579" spans="1:42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</row>
    <row r="580" spans="1:42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</row>
    <row r="581" spans="1:42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</row>
    <row r="582" spans="1:42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</row>
    <row r="583" spans="1:42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</row>
    <row r="584" spans="1:42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</row>
    <row r="585" spans="1:42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</row>
    <row r="586" spans="1:42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</row>
    <row r="587" spans="1:42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</row>
    <row r="588" spans="1:42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</row>
    <row r="589" spans="1:42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</row>
    <row r="590" spans="1:42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</row>
    <row r="591" spans="1:42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</row>
    <row r="592" spans="1:42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</row>
    <row r="593" spans="1:42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</row>
    <row r="594" spans="1:42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</row>
    <row r="595" spans="1:42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</row>
    <row r="596" spans="1:42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</row>
    <row r="597" spans="1:42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</row>
    <row r="598" spans="1:42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</row>
    <row r="599" spans="1:42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</row>
    <row r="600" spans="1:42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</row>
    <row r="601" spans="1:42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</row>
    <row r="602" spans="1:42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</row>
    <row r="603" spans="1:42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</row>
    <row r="604" spans="1:42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</row>
    <row r="605" spans="1:42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</row>
    <row r="606" spans="1:42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</row>
    <row r="607" spans="1:42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</row>
    <row r="608" spans="1:42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</row>
    <row r="609" spans="1:42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</row>
    <row r="610" spans="1:42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</row>
    <row r="611" spans="1:42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</row>
    <row r="612" spans="1:42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</row>
    <row r="613" spans="1:42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</row>
    <row r="614" spans="1:42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</row>
    <row r="615" spans="1:42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</row>
    <row r="616" spans="1:42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</row>
    <row r="617" spans="1:42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</row>
    <row r="618" spans="1:42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</row>
    <row r="619" spans="1:42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</row>
    <row r="620" spans="1:42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</row>
    <row r="621" spans="1:42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</row>
    <row r="622" spans="1:42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</row>
    <row r="623" spans="1:42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</row>
    <row r="624" spans="1:42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</row>
    <row r="625" spans="1:42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</row>
    <row r="626" spans="1:42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</row>
    <row r="627" spans="1:42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</row>
    <row r="628" spans="1:42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</row>
    <row r="629" spans="1:42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</row>
    <row r="630" spans="1:42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</row>
    <row r="631" spans="1:42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</row>
    <row r="632" spans="1:42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</row>
    <row r="633" spans="1:42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</row>
    <row r="634" spans="1:42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</row>
    <row r="635" spans="1:42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</row>
    <row r="636" spans="1:42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</row>
    <row r="637" spans="1:42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</row>
    <row r="638" spans="1:42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</row>
    <row r="639" spans="1:42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</row>
    <row r="640" spans="1:42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</row>
    <row r="641" spans="1:42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</row>
    <row r="642" spans="1:42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</row>
    <row r="643" spans="1:42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</row>
    <row r="644" spans="1:42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</row>
    <row r="645" spans="1:42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</row>
    <row r="646" spans="1:42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</row>
    <row r="647" spans="1:42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</row>
    <row r="648" spans="1:42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</row>
    <row r="649" spans="1:42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</row>
    <row r="650" spans="1:42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</row>
    <row r="651" spans="1:42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</row>
    <row r="652" spans="1:42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</row>
    <row r="653" spans="1:42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</row>
    <row r="654" spans="1:42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</row>
    <row r="655" spans="1:42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</row>
    <row r="656" spans="1:42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</row>
    <row r="657" spans="1:42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</row>
    <row r="658" spans="1:42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</row>
    <row r="659" spans="1:42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</row>
    <row r="660" spans="1:42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</row>
    <row r="661" spans="1:42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</row>
    <row r="662" spans="1:42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</row>
    <row r="663" spans="1:42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</row>
    <row r="664" spans="1:42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</row>
    <row r="665" spans="1:42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</row>
    <row r="666" spans="1:42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</row>
    <row r="667" spans="1:42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</row>
    <row r="668" spans="1:42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</row>
    <row r="669" spans="1:42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</row>
    <row r="670" spans="1:42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</row>
    <row r="671" spans="1:42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</row>
    <row r="672" spans="1:42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</row>
    <row r="673" spans="1:42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</row>
    <row r="674" spans="1:42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</row>
    <row r="675" spans="1:42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</row>
    <row r="676" spans="1:42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</row>
    <row r="677" spans="1:42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</row>
    <row r="678" spans="1:42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</row>
    <row r="679" spans="1:42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</row>
    <row r="680" spans="1:42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</row>
    <row r="681" spans="1:42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</row>
    <row r="682" spans="1:42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</row>
    <row r="683" spans="1:42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</row>
    <row r="684" spans="1:42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</row>
    <row r="685" spans="1:42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</row>
    <row r="686" spans="1:42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</row>
    <row r="687" spans="1:42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</row>
    <row r="688" spans="1:42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</row>
    <row r="689" spans="1:42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</row>
    <row r="690" spans="1:42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</row>
    <row r="691" spans="1:42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</row>
    <row r="692" spans="1:42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</row>
    <row r="693" spans="1:42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</row>
    <row r="694" spans="1:42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</row>
    <row r="695" spans="1:42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</row>
    <row r="696" spans="1:42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</row>
    <row r="697" spans="1:42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</row>
    <row r="698" spans="1:42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</row>
    <row r="699" spans="1:42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</row>
    <row r="700" spans="1:42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</row>
    <row r="701" spans="1:42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</row>
    <row r="702" spans="1:42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</row>
    <row r="703" spans="1:42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</row>
    <row r="704" spans="1:42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</row>
    <row r="705" spans="1:42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</row>
    <row r="706" spans="1:42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</row>
    <row r="707" spans="1:42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</row>
    <row r="708" spans="1:42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</row>
    <row r="709" spans="1:42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</row>
    <row r="710" spans="1:42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</row>
    <row r="711" spans="1:42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</row>
    <row r="712" spans="1:42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</row>
    <row r="713" spans="1:42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</row>
    <row r="714" spans="1:42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</row>
    <row r="715" spans="1:42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</row>
    <row r="716" spans="1:42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</row>
    <row r="717" spans="1:42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</row>
    <row r="718" spans="1:42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</row>
    <row r="719" spans="1:42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</row>
    <row r="720" spans="1:42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</row>
    <row r="721" spans="1:42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</row>
    <row r="722" spans="1:42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</row>
    <row r="723" spans="1:42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</row>
    <row r="724" spans="1:42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</row>
    <row r="725" spans="1:42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</row>
    <row r="726" spans="1:42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</row>
    <row r="727" spans="1:42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</row>
    <row r="728" spans="1:42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</row>
    <row r="729" spans="1:42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</row>
    <row r="730" spans="1:42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</row>
    <row r="731" spans="1:42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</row>
    <row r="732" spans="1:42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</row>
    <row r="733" spans="1:42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</row>
    <row r="734" spans="1:42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</row>
    <row r="735" spans="1:42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</row>
    <row r="736" spans="1:42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</row>
    <row r="737" spans="1:42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</row>
    <row r="738" spans="1:42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</row>
    <row r="739" spans="1:42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</row>
    <row r="740" spans="1:42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</row>
    <row r="741" spans="1:42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</row>
    <row r="742" spans="1:42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</row>
    <row r="743" spans="1:42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</row>
    <row r="744" spans="1:42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</row>
    <row r="745" spans="1:42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</row>
    <row r="746" spans="1:42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</row>
    <row r="747" spans="1:42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</row>
    <row r="748" spans="1:42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</row>
    <row r="749" spans="1:42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</row>
    <row r="750" spans="1:42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</row>
    <row r="751" spans="1:42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</row>
    <row r="752" spans="1:42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</row>
    <row r="753" spans="1:42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</row>
    <row r="754" spans="1:42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</row>
    <row r="755" spans="1:42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</row>
    <row r="756" spans="1:42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</row>
    <row r="757" spans="1:42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</row>
    <row r="758" spans="1:42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</row>
    <row r="759" spans="1:42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</row>
    <row r="760" spans="1:42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</row>
    <row r="761" spans="1:42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</row>
    <row r="762" spans="1:42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</row>
    <row r="763" spans="1:42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</row>
    <row r="764" spans="1:42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</row>
    <row r="765" spans="1:42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</row>
    <row r="766" spans="1:42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</row>
    <row r="767" spans="1:42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</row>
    <row r="768" spans="1:42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</row>
    <row r="769" spans="1:42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</row>
    <row r="770" spans="1:42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</row>
    <row r="771" spans="1:42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</row>
    <row r="772" spans="1:42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</row>
    <row r="773" spans="1:42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</row>
    <row r="774" spans="1:42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</row>
    <row r="775" spans="1:42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</row>
    <row r="776" spans="1:42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</row>
    <row r="777" spans="1:42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</row>
    <row r="778" spans="1:42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</row>
    <row r="779" spans="1:42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</row>
    <row r="780" spans="1:42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</row>
    <row r="781" spans="1:42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</row>
    <row r="782" spans="1:42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</row>
    <row r="783" spans="1:42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</row>
    <row r="784" spans="1:42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</row>
    <row r="785" spans="1:42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</row>
    <row r="786" spans="1:42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</row>
    <row r="787" spans="1:42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</row>
    <row r="788" spans="1:42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</row>
    <row r="789" spans="1:42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</row>
    <row r="790" spans="1:42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</row>
    <row r="791" spans="1:42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</row>
    <row r="792" spans="1:42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</row>
    <row r="793" spans="1:42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</row>
    <row r="794" spans="1:42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</row>
    <row r="795" spans="1:42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</row>
    <row r="796" spans="1:42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</row>
    <row r="797" spans="1:42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</row>
    <row r="798" spans="1:42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</row>
    <row r="799" spans="1:42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</row>
    <row r="800" spans="1:42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</row>
    <row r="801" spans="1:42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</row>
    <row r="802" spans="1:42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</row>
    <row r="803" spans="1:42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</row>
    <row r="804" spans="1:42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</row>
    <row r="805" spans="1:42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</row>
    <row r="806" spans="1:42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</row>
    <row r="807" spans="1:42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</row>
    <row r="808" spans="1:42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</row>
    <row r="809" spans="1:42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</row>
    <row r="810" spans="1:42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</row>
    <row r="811" spans="1:42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</row>
    <row r="812" spans="1:42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</row>
    <row r="813" spans="1:42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</row>
    <row r="814" spans="1:42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</row>
    <row r="815" spans="1:42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</row>
    <row r="816" spans="1:42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</row>
    <row r="817" spans="1:42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</row>
    <row r="818" spans="1:42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</row>
    <row r="819" spans="1:42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</row>
    <row r="820" spans="1:42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</row>
    <row r="821" spans="1:42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</row>
    <row r="822" spans="1:42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</row>
    <row r="823" spans="1:42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</row>
    <row r="824" spans="1:42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</row>
    <row r="825" spans="1:42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</row>
    <row r="826" spans="1:42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</row>
    <row r="827" spans="1:42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</row>
    <row r="828" spans="1:42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</row>
    <row r="829" spans="1:42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</row>
    <row r="830" spans="1:42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</row>
    <row r="831" spans="1:42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</row>
    <row r="832" spans="1:42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</row>
    <row r="833" spans="1:42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</row>
    <row r="834" spans="1:42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</row>
    <row r="835" spans="1:42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</row>
    <row r="836" spans="1:42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</row>
    <row r="837" spans="1:42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</row>
    <row r="838" spans="1:42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</row>
    <row r="839" spans="1:42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</row>
    <row r="840" spans="1:42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</row>
    <row r="841" spans="1:42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</row>
    <row r="842" spans="1:42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</row>
    <row r="843" spans="1:42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</row>
    <row r="844" spans="1:42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</row>
    <row r="845" spans="1:42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</row>
    <row r="846" spans="1:42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</row>
    <row r="847" spans="1:42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</row>
    <row r="848" spans="1:42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</row>
    <row r="849" spans="1:42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</row>
    <row r="850" spans="1:42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</row>
    <row r="851" spans="1:42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</row>
    <row r="852" spans="1:42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</row>
    <row r="853" spans="1:42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</row>
    <row r="854" spans="1:42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</row>
    <row r="855" spans="1:42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</row>
    <row r="856" spans="1:42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</row>
    <row r="857" spans="1:42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</row>
    <row r="858" spans="1:42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</row>
    <row r="859" spans="1:42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</row>
    <row r="860" spans="1:42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</row>
    <row r="861" spans="1:42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</row>
    <row r="862" spans="1:42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</row>
    <row r="863" spans="1:42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</row>
    <row r="864" spans="1:42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</row>
    <row r="865" spans="1:42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</row>
    <row r="866" spans="1:42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</row>
    <row r="867" spans="1:42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</row>
    <row r="868" spans="1:42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</row>
    <row r="869" spans="1:42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</row>
    <row r="870" spans="1:42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</row>
    <row r="871" spans="1:42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</row>
    <row r="872" spans="1:42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</row>
    <row r="873" spans="1:42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</row>
    <row r="874" spans="1:42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</row>
    <row r="875" spans="1:42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</row>
    <row r="876" spans="1:42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</row>
    <row r="877" spans="1:42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</row>
    <row r="878" spans="1:42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</row>
    <row r="879" spans="1:42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</row>
    <row r="880" spans="1:42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</row>
    <row r="881" spans="1:42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</row>
    <row r="882" spans="1:42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</row>
    <row r="883" spans="1:42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</row>
    <row r="884" spans="1:42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</row>
    <row r="885" spans="1:42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</row>
    <row r="886" spans="1:42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</row>
    <row r="887" spans="1:42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</row>
    <row r="888" spans="1:42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</row>
    <row r="889" spans="1:42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</row>
    <row r="890" spans="1:42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</row>
    <row r="891" spans="1:42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</row>
    <row r="892" spans="1:42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</row>
    <row r="893" spans="1:42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</row>
    <row r="894" spans="1:42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</row>
    <row r="895" spans="1:42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</row>
    <row r="896" spans="1:42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</row>
    <row r="897" spans="1:42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</row>
    <row r="898" spans="1:42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</row>
    <row r="899" spans="1:42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</row>
    <row r="900" spans="1:42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</row>
    <row r="901" spans="1:42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</row>
    <row r="902" spans="1:42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</row>
    <row r="903" spans="1:42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</row>
    <row r="904" spans="1:42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</row>
    <row r="905" spans="1:42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</row>
    <row r="906" spans="1:42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</row>
    <row r="907" spans="1:42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</row>
    <row r="908" spans="1:42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</row>
    <row r="909" spans="1:42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</row>
    <row r="910" spans="1:42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</row>
    <row r="911" spans="1:42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</row>
    <row r="912" spans="1:42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</row>
    <row r="913" spans="1:42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</row>
    <row r="914" spans="1:42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</row>
    <row r="915" spans="1:42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</row>
    <row r="916" spans="1:42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</row>
    <row r="917" spans="1:42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</row>
    <row r="918" spans="1:42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</row>
    <row r="919" spans="1:42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</row>
    <row r="920" spans="1:42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</row>
    <row r="921" spans="1:42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</row>
    <row r="922" spans="1:42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</row>
    <row r="923" spans="1:42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</row>
    <row r="924" spans="1:42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</row>
    <row r="925" spans="1:42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</row>
    <row r="926" spans="1:42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</row>
    <row r="927" spans="1:42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</row>
    <row r="928" spans="1:42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</row>
    <row r="929" spans="1:42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</row>
    <row r="930" spans="1:42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</row>
    <row r="931" spans="1:42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</row>
    <row r="932" spans="1:42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</row>
    <row r="933" spans="1:42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</row>
    <row r="934" spans="1:42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</row>
    <row r="935" spans="1:42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</row>
    <row r="936" spans="1:42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</row>
    <row r="937" spans="1:42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</row>
    <row r="938" spans="1:42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</row>
    <row r="939" spans="1:42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</row>
    <row r="940" spans="1:42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</row>
    <row r="941" spans="1:42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</row>
    <row r="942" spans="1:42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</row>
    <row r="943" spans="1:42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</row>
    <row r="944" spans="1:42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</row>
    <row r="945" spans="1:42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</row>
    <row r="946" spans="1:42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</row>
    <row r="947" spans="1:42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</row>
    <row r="948" spans="1:42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</row>
    <row r="949" spans="1:42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</row>
    <row r="950" spans="1:42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</row>
    <row r="951" spans="1:42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</row>
    <row r="952" spans="1:42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</row>
    <row r="953" spans="1:42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</row>
    <row r="954" spans="1:42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</row>
    <row r="955" spans="1:42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</row>
    <row r="956" spans="1:42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</row>
    <row r="957" spans="1:42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</row>
    <row r="958" spans="1:42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</row>
    <row r="959" spans="1:42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</row>
    <row r="960" spans="1:42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</row>
    <row r="961" spans="1:42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</row>
    <row r="962" spans="1:42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</row>
    <row r="963" spans="1:42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</row>
    <row r="964" spans="1:42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</row>
    <row r="965" spans="1:42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</row>
    <row r="966" spans="1:42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</row>
    <row r="967" spans="1:42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</row>
    <row r="968" spans="1:42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</row>
    <row r="969" spans="1:42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</row>
    <row r="970" spans="1:42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</row>
    <row r="971" spans="1:42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</row>
    <row r="972" spans="1:42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</row>
    <row r="973" spans="1:42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</row>
    <row r="974" spans="1:42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</row>
    <row r="975" spans="1:42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</row>
    <row r="976" spans="1:42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</row>
    <row r="977" spans="1:42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</row>
    <row r="978" spans="1:42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</row>
    <row r="979" spans="1:42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</row>
    <row r="980" spans="1:42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</row>
    <row r="981" spans="1:42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</row>
    <row r="982" spans="1:42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</row>
    <row r="983" spans="1:42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</row>
    <row r="984" spans="1:42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</row>
    <row r="985" spans="1:42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</row>
    <row r="986" spans="1:42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</row>
    <row r="987" spans="1:42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</row>
    <row r="988" spans="1:42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</row>
    <row r="989" spans="1:42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</row>
    <row r="990" spans="1:42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</row>
    <row r="991" spans="1:42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</row>
    <row r="992" spans="1:42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</row>
    <row r="993" spans="1:42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</row>
    <row r="994" spans="1:42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</row>
    <row r="995" spans="1:42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</row>
    <row r="996" spans="1:42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</row>
    <row r="997" spans="1:42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</row>
    <row r="998" spans="1:42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</row>
    <row r="999" spans="1:42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</row>
    <row r="1000" spans="1:42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</row>
  </sheetData>
  <mergeCells count="1">
    <mergeCell ref="B4:K4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00"/>
  <sheetViews>
    <sheetView workbookViewId="0"/>
  </sheetViews>
  <sheetFormatPr defaultColWidth="15.140625" defaultRowHeight="15" customHeight="1"/>
  <cols>
    <col min="1" max="1" width="31.140625" customWidth="1"/>
    <col min="2" max="42" width="11.140625" customWidth="1"/>
  </cols>
  <sheetData>
    <row r="1" spans="1:42" ht="21" customHeight="1">
      <c r="A1" s="1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1:4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1:42" ht="15.75" customHeight="1">
      <c r="A3" s="3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</row>
    <row r="4" spans="1:42" ht="15.75" customHeight="1">
      <c r="A4" s="66"/>
      <c r="B4" s="177" t="s">
        <v>2</v>
      </c>
      <c r="C4" s="178"/>
      <c r="D4" s="178"/>
      <c r="E4" s="178"/>
      <c r="F4" s="178"/>
      <c r="G4" s="178"/>
      <c r="H4" s="178"/>
      <c r="I4" s="178"/>
      <c r="J4" s="178"/>
      <c r="K4" s="179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</row>
    <row r="5" spans="1:42" ht="15.75" customHeight="1">
      <c r="A5" s="4" t="s">
        <v>3</v>
      </c>
      <c r="B5" s="5">
        <v>2000</v>
      </c>
      <c r="C5" s="4">
        <v>2001</v>
      </c>
      <c r="D5" s="4">
        <v>2002</v>
      </c>
      <c r="E5" s="4">
        <v>2003</v>
      </c>
      <c r="F5" s="4">
        <v>2004</v>
      </c>
      <c r="G5" s="4">
        <v>2005</v>
      </c>
      <c r="H5" s="4">
        <v>2006</v>
      </c>
      <c r="I5" s="4">
        <v>2007</v>
      </c>
      <c r="J5" s="4">
        <v>2008</v>
      </c>
      <c r="K5" s="7">
        <v>2009</v>
      </c>
      <c r="L5" s="4">
        <v>2010</v>
      </c>
      <c r="M5" s="4">
        <v>2011</v>
      </c>
      <c r="N5" s="4">
        <v>2012</v>
      </c>
      <c r="O5" s="4">
        <v>2013</v>
      </c>
      <c r="P5" s="4">
        <v>2014</v>
      </c>
      <c r="Q5" s="4">
        <v>2015</v>
      </c>
      <c r="R5" s="4">
        <v>2016</v>
      </c>
      <c r="S5" s="4">
        <v>2017</v>
      </c>
      <c r="T5" s="4">
        <v>2018</v>
      </c>
      <c r="U5" s="4">
        <v>2019</v>
      </c>
      <c r="V5" s="4">
        <v>2020</v>
      </c>
      <c r="W5" s="4">
        <v>2021</v>
      </c>
      <c r="X5" s="4">
        <v>2022</v>
      </c>
      <c r="Y5" s="4">
        <v>2023</v>
      </c>
      <c r="Z5" s="4">
        <v>2024</v>
      </c>
      <c r="AA5" s="4">
        <v>2025</v>
      </c>
      <c r="AB5" s="4">
        <v>2026</v>
      </c>
      <c r="AC5" s="4">
        <v>2027</v>
      </c>
      <c r="AD5" s="4">
        <v>2028</v>
      </c>
      <c r="AE5" s="4">
        <v>2029</v>
      </c>
      <c r="AF5" s="4">
        <v>2030</v>
      </c>
      <c r="AG5" s="4">
        <v>2031</v>
      </c>
      <c r="AH5" s="4">
        <v>2032</v>
      </c>
      <c r="AI5" s="4">
        <v>2033</v>
      </c>
      <c r="AJ5" s="4">
        <v>2034</v>
      </c>
      <c r="AK5" s="4">
        <v>2035</v>
      </c>
      <c r="AL5" s="4">
        <v>2036</v>
      </c>
      <c r="AM5" s="4">
        <v>2037</v>
      </c>
      <c r="AN5" s="4">
        <v>2038</v>
      </c>
      <c r="AO5" s="4">
        <v>2039</v>
      </c>
      <c r="AP5" s="4">
        <v>2040</v>
      </c>
    </row>
    <row r="6" spans="1:42" ht="15.75" customHeight="1">
      <c r="A6" s="3" t="s">
        <v>51</v>
      </c>
      <c r="B6" s="3"/>
      <c r="C6" s="3"/>
      <c r="D6" s="3"/>
      <c r="E6" s="3"/>
      <c r="F6" s="3"/>
      <c r="G6" s="3"/>
      <c r="H6" s="3"/>
      <c r="I6" s="3"/>
      <c r="J6" s="3"/>
      <c r="K6" s="6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5.75" customHeight="1">
      <c r="A7" s="57" t="s">
        <v>53</v>
      </c>
      <c r="B7" s="69">
        <f t="shared" ref="B7:AP7" si="0">B24</f>
        <v>727.9</v>
      </c>
      <c r="C7" s="69">
        <f t="shared" si="0"/>
        <v>720.2</v>
      </c>
      <c r="D7" s="69">
        <f t="shared" si="0"/>
        <v>725.5</v>
      </c>
      <c r="E7" s="69">
        <f t="shared" si="0"/>
        <v>715.6</v>
      </c>
      <c r="F7" s="69">
        <f t="shared" si="0"/>
        <v>723</v>
      </c>
      <c r="G7" s="69">
        <f t="shared" si="0"/>
        <v>713.2</v>
      </c>
      <c r="H7" s="69">
        <f t="shared" si="0"/>
        <v>729.6</v>
      </c>
      <c r="I7" s="69">
        <f t="shared" si="0"/>
        <v>754</v>
      </c>
      <c r="J7" s="69">
        <f t="shared" si="0"/>
        <v>725.6</v>
      </c>
      <c r="K7" s="70">
        <f t="shared" si="0"/>
        <v>725.6</v>
      </c>
      <c r="L7" s="25">
        <f t="shared" si="0"/>
        <v>725.6</v>
      </c>
      <c r="M7" s="25">
        <f t="shared" si="0"/>
        <v>725.6</v>
      </c>
      <c r="N7" s="25">
        <f t="shared" si="0"/>
        <v>725.6</v>
      </c>
      <c r="O7" s="25">
        <f t="shared" si="0"/>
        <v>725.6</v>
      </c>
      <c r="P7" s="25">
        <f t="shared" si="0"/>
        <v>725.6</v>
      </c>
      <c r="Q7" s="25">
        <f t="shared" si="0"/>
        <v>725.6</v>
      </c>
      <c r="R7" s="25">
        <f t="shared" si="0"/>
        <v>725.6</v>
      </c>
      <c r="S7" s="25">
        <f t="shared" si="0"/>
        <v>725.6</v>
      </c>
      <c r="T7" s="25">
        <f t="shared" si="0"/>
        <v>725.6</v>
      </c>
      <c r="U7" s="25">
        <f t="shared" si="0"/>
        <v>725.6</v>
      </c>
      <c r="V7" s="25">
        <f t="shared" si="0"/>
        <v>725.6</v>
      </c>
      <c r="W7" s="25">
        <f t="shared" si="0"/>
        <v>725.6</v>
      </c>
      <c r="X7" s="25">
        <f t="shared" si="0"/>
        <v>725.6</v>
      </c>
      <c r="Y7" s="25">
        <f t="shared" si="0"/>
        <v>725.6</v>
      </c>
      <c r="Z7" s="25">
        <f t="shared" si="0"/>
        <v>725.6</v>
      </c>
      <c r="AA7" s="25">
        <f t="shared" si="0"/>
        <v>725.6</v>
      </c>
      <c r="AB7" s="25">
        <f t="shared" si="0"/>
        <v>725.6</v>
      </c>
      <c r="AC7" s="25">
        <f t="shared" si="0"/>
        <v>725.6</v>
      </c>
      <c r="AD7" s="25">
        <f t="shared" si="0"/>
        <v>725.6</v>
      </c>
      <c r="AE7" s="25">
        <f t="shared" si="0"/>
        <v>725.6</v>
      </c>
      <c r="AF7" s="25">
        <f t="shared" si="0"/>
        <v>725.6</v>
      </c>
      <c r="AG7" s="25">
        <f t="shared" si="0"/>
        <v>725.6</v>
      </c>
      <c r="AH7" s="25">
        <f t="shared" si="0"/>
        <v>725.6</v>
      </c>
      <c r="AI7" s="25">
        <f t="shared" si="0"/>
        <v>725.6</v>
      </c>
      <c r="AJ7" s="25">
        <f t="shared" si="0"/>
        <v>725.6</v>
      </c>
      <c r="AK7" s="25">
        <f t="shared" si="0"/>
        <v>725.6</v>
      </c>
      <c r="AL7" s="25">
        <f t="shared" si="0"/>
        <v>725.6</v>
      </c>
      <c r="AM7" s="25">
        <f t="shared" si="0"/>
        <v>725.6</v>
      </c>
      <c r="AN7" s="25">
        <f t="shared" si="0"/>
        <v>725.6</v>
      </c>
      <c r="AO7" s="25">
        <f t="shared" si="0"/>
        <v>725.6</v>
      </c>
      <c r="AP7" s="27">
        <f t="shared" si="0"/>
        <v>725.6</v>
      </c>
    </row>
    <row r="8" spans="1:42">
      <c r="A8" s="71" t="s">
        <v>9</v>
      </c>
      <c r="B8" s="72">
        <f t="shared" ref="B8:K8" si="1">B23</f>
        <v>1000</v>
      </c>
      <c r="C8" s="72">
        <f t="shared" si="1"/>
        <v>1000</v>
      </c>
      <c r="D8" s="72">
        <f t="shared" si="1"/>
        <v>1000</v>
      </c>
      <c r="E8" s="72">
        <f t="shared" si="1"/>
        <v>1000</v>
      </c>
      <c r="F8" s="72">
        <f t="shared" si="1"/>
        <v>1000</v>
      </c>
      <c r="G8" s="72">
        <f t="shared" si="1"/>
        <v>1000</v>
      </c>
      <c r="H8" s="72">
        <f t="shared" si="1"/>
        <v>1000</v>
      </c>
      <c r="I8" s="72">
        <f t="shared" si="1"/>
        <v>1000</v>
      </c>
      <c r="J8" s="72">
        <f t="shared" si="1"/>
        <v>1000</v>
      </c>
      <c r="K8" s="73">
        <f t="shared" si="1"/>
        <v>1022.5</v>
      </c>
      <c r="L8" s="72">
        <f>'BAU Data'!L11</f>
        <v>1022.5</v>
      </c>
      <c r="M8" s="72">
        <f>'BAU Data'!M11</f>
        <v>1022.5</v>
      </c>
      <c r="N8" s="72">
        <f>'BAU Data'!N11</f>
        <v>1022.5</v>
      </c>
      <c r="O8" s="72">
        <f>'BAU Data'!O11</f>
        <v>1022.5</v>
      </c>
      <c r="P8" s="72">
        <f>'BAU Data'!P11</f>
        <v>1022.5</v>
      </c>
      <c r="Q8" s="72">
        <f>'BAU Data'!Q11</f>
        <v>1022.5</v>
      </c>
      <c r="R8" s="72">
        <f>'BAU Data'!R11</f>
        <v>1022.5</v>
      </c>
      <c r="S8" s="72">
        <f>'BAU Data'!S11</f>
        <v>1022.5</v>
      </c>
      <c r="T8" s="72">
        <f>'BAU Data'!T11</f>
        <v>1022.5</v>
      </c>
      <c r="U8" s="72">
        <f>'BAU Data'!U11</f>
        <v>1022.5</v>
      </c>
      <c r="V8" s="72">
        <f>'BAU Data'!V11</f>
        <v>1022.5</v>
      </c>
      <c r="W8" s="72">
        <f>'BAU Data'!W11</f>
        <v>1022.5</v>
      </c>
      <c r="X8" s="72">
        <f>'BAU Data'!X11</f>
        <v>1022.5</v>
      </c>
      <c r="Y8" s="72">
        <f>'BAU Data'!Y11</f>
        <v>1022.5</v>
      </c>
      <c r="Z8" s="72">
        <f>'BAU Data'!Z11</f>
        <v>1022.5</v>
      </c>
      <c r="AA8" s="72">
        <f>'BAU Data'!AA11</f>
        <v>1022.5</v>
      </c>
      <c r="AB8" s="72">
        <f>'BAU Data'!AB11</f>
        <v>1022.5</v>
      </c>
      <c r="AC8" s="72">
        <f>'BAU Data'!AC11</f>
        <v>1022.5</v>
      </c>
      <c r="AD8" s="72">
        <f>'BAU Data'!AD11</f>
        <v>1022.5</v>
      </c>
      <c r="AE8" s="72">
        <f>'BAU Data'!AE11</f>
        <v>1022.5</v>
      </c>
      <c r="AF8" s="72">
        <f>'BAU Data'!AF11</f>
        <v>1022.5</v>
      </c>
      <c r="AG8" s="72">
        <f>'BAU Data'!AG11</f>
        <v>1022.5</v>
      </c>
      <c r="AH8" s="72">
        <f>'BAU Data'!AH11</f>
        <v>1022.5</v>
      </c>
      <c r="AI8" s="72">
        <f>'BAU Data'!AI11</f>
        <v>1022.5</v>
      </c>
      <c r="AJ8" s="72">
        <f>'BAU Data'!AJ11</f>
        <v>1022.5</v>
      </c>
      <c r="AK8" s="72">
        <f>'BAU Data'!AK11</f>
        <v>1022.5</v>
      </c>
      <c r="AL8" s="72">
        <f>'BAU Data'!AL11</f>
        <v>1022.5</v>
      </c>
      <c r="AM8" s="72">
        <f>'BAU Data'!AM11</f>
        <v>1022.5</v>
      </c>
      <c r="AN8" s="72">
        <f>'BAU Data'!AN11</f>
        <v>1022.5</v>
      </c>
      <c r="AO8" s="72">
        <f>'BAU Data'!AO11</f>
        <v>1022.5</v>
      </c>
      <c r="AP8" s="74">
        <f>'BAU Data'!AP11</f>
        <v>1022.5</v>
      </c>
    </row>
    <row r="9" spans="1:42">
      <c r="A9" s="75" t="s">
        <v>7</v>
      </c>
      <c r="B9" s="18">
        <f t="shared" ref="B9:AP9" si="2">B19+B20+B21</f>
        <v>582.5</v>
      </c>
      <c r="C9" s="18">
        <f t="shared" si="2"/>
        <v>684.7</v>
      </c>
      <c r="D9" s="18">
        <f t="shared" si="2"/>
        <v>800.9</v>
      </c>
      <c r="E9" s="18">
        <f t="shared" si="2"/>
        <v>841.1</v>
      </c>
      <c r="F9" s="18">
        <f t="shared" si="2"/>
        <v>839.5</v>
      </c>
      <c r="G9" s="18">
        <f t="shared" si="2"/>
        <v>875.9</v>
      </c>
      <c r="H9" s="18">
        <f t="shared" si="2"/>
        <v>835.3</v>
      </c>
      <c r="I9" s="18">
        <f t="shared" si="2"/>
        <v>572.1</v>
      </c>
      <c r="J9" s="18">
        <f t="shared" si="2"/>
        <v>588.1</v>
      </c>
      <c r="K9" s="18">
        <f t="shared" si="2"/>
        <v>580.70000000000005</v>
      </c>
      <c r="L9" s="18">
        <f t="shared" si="2"/>
        <v>294.09999999999997</v>
      </c>
      <c r="M9" s="18">
        <f t="shared" si="2"/>
        <v>295.49736986322739</v>
      </c>
      <c r="N9" s="18">
        <f t="shared" si="2"/>
        <v>292.95302464168628</v>
      </c>
      <c r="O9" s="18">
        <f t="shared" si="2"/>
        <v>292.95302464168628</v>
      </c>
      <c r="P9" s="18">
        <f t="shared" si="2"/>
        <v>305.85683755339676</v>
      </c>
      <c r="Q9" s="18">
        <f t="shared" si="2"/>
        <v>305.85683755339676</v>
      </c>
      <c r="R9" s="18">
        <f t="shared" si="2"/>
        <v>305.85683755339676</v>
      </c>
      <c r="S9" s="18">
        <f t="shared" si="2"/>
        <v>298.78951848175228</v>
      </c>
      <c r="T9" s="18">
        <f t="shared" si="2"/>
        <v>318.22233755437196</v>
      </c>
      <c r="U9" s="18">
        <f t="shared" si="2"/>
        <v>318.22233755437196</v>
      </c>
      <c r="V9" s="18">
        <f t="shared" si="2"/>
        <v>321.20475728280309</v>
      </c>
      <c r="W9" s="18">
        <f t="shared" si="2"/>
        <v>325.26749623174953</v>
      </c>
      <c r="X9" s="18">
        <f t="shared" si="2"/>
        <v>338.90777291293273</v>
      </c>
      <c r="Y9" s="18">
        <f t="shared" si="2"/>
        <v>338.90777291293273</v>
      </c>
      <c r="Z9" s="18">
        <f t="shared" si="2"/>
        <v>326.85510381102642</v>
      </c>
      <c r="AA9" s="18">
        <f t="shared" si="2"/>
        <v>331.68422306170595</v>
      </c>
      <c r="AB9" s="18">
        <f t="shared" si="2"/>
        <v>336.51334231238548</v>
      </c>
      <c r="AC9" s="18">
        <f t="shared" si="2"/>
        <v>339.27415809814681</v>
      </c>
      <c r="AD9" s="18">
        <f t="shared" si="2"/>
        <v>339.27415809814681</v>
      </c>
      <c r="AE9" s="18">
        <f t="shared" si="2"/>
        <v>339.27415809814681</v>
      </c>
      <c r="AF9" s="18">
        <f t="shared" si="2"/>
        <v>342.08280340153431</v>
      </c>
      <c r="AG9" s="18">
        <f t="shared" si="2"/>
        <v>342.08280340153431</v>
      </c>
      <c r="AH9" s="18">
        <f t="shared" si="2"/>
        <v>342.08280340153431</v>
      </c>
      <c r="AI9" s="18">
        <f t="shared" si="2"/>
        <v>342.08280340153431</v>
      </c>
      <c r="AJ9" s="18">
        <f t="shared" si="2"/>
        <v>342.08280340153431</v>
      </c>
      <c r="AK9" s="18">
        <f t="shared" si="2"/>
        <v>352.23965077390039</v>
      </c>
      <c r="AL9" s="18">
        <f t="shared" si="2"/>
        <v>352.23965077390039</v>
      </c>
      <c r="AM9" s="18">
        <f t="shared" si="2"/>
        <v>352.23965077390039</v>
      </c>
      <c r="AN9" s="18">
        <f t="shared" si="2"/>
        <v>352.23965077390039</v>
      </c>
      <c r="AO9" s="18">
        <f t="shared" si="2"/>
        <v>368.30593661746127</v>
      </c>
      <c r="AP9" s="18">
        <f t="shared" si="2"/>
        <v>368.30593661746127</v>
      </c>
    </row>
    <row r="10" spans="1:42">
      <c r="A10" s="47" t="s">
        <v>6</v>
      </c>
      <c r="B10" s="77">
        <f t="shared" ref="B10:AP10" si="3">B20</f>
        <v>160</v>
      </c>
      <c r="C10" s="77">
        <f t="shared" si="3"/>
        <v>160</v>
      </c>
      <c r="D10" s="77">
        <f t="shared" si="3"/>
        <v>160</v>
      </c>
      <c r="E10" s="77">
        <f t="shared" si="3"/>
        <v>160</v>
      </c>
      <c r="F10" s="77">
        <f t="shared" si="3"/>
        <v>160</v>
      </c>
      <c r="G10" s="77">
        <f t="shared" si="3"/>
        <v>160</v>
      </c>
      <c r="H10" s="77">
        <f t="shared" si="3"/>
        <v>160</v>
      </c>
      <c r="I10" s="77">
        <f t="shared" si="3"/>
        <v>160</v>
      </c>
      <c r="J10" s="77">
        <f t="shared" si="3"/>
        <v>160</v>
      </c>
      <c r="K10" s="79">
        <f t="shared" si="3"/>
        <v>160</v>
      </c>
      <c r="L10" s="12">
        <f t="shared" si="3"/>
        <v>160</v>
      </c>
      <c r="M10" s="12">
        <f t="shared" si="3"/>
        <v>160.78010878617025</v>
      </c>
      <c r="N10" s="12">
        <f t="shared" si="3"/>
        <v>160.78010878617025</v>
      </c>
      <c r="O10" s="12">
        <f t="shared" si="3"/>
        <v>160.78010878617025</v>
      </c>
      <c r="P10" s="12">
        <f t="shared" si="3"/>
        <v>168.04812231065623</v>
      </c>
      <c r="Q10" s="12">
        <f t="shared" si="3"/>
        <v>168.04812231065623</v>
      </c>
      <c r="R10" s="12">
        <f t="shared" si="3"/>
        <v>168.04812231065623</v>
      </c>
      <c r="S10" s="12">
        <f t="shared" si="3"/>
        <v>164.06748721109159</v>
      </c>
      <c r="T10" s="12">
        <f t="shared" si="3"/>
        <v>175.01293355358405</v>
      </c>
      <c r="U10" s="12">
        <f t="shared" si="3"/>
        <v>175.01293355358405</v>
      </c>
      <c r="V10" s="12">
        <f t="shared" si="3"/>
        <v>176.69276780647061</v>
      </c>
      <c r="W10" s="12">
        <f t="shared" si="3"/>
        <v>178.98108691256996</v>
      </c>
      <c r="X10" s="12">
        <f t="shared" si="3"/>
        <v>186.66391028228887</v>
      </c>
      <c r="Y10" s="12">
        <f t="shared" si="3"/>
        <v>186.66391028228887</v>
      </c>
      <c r="Z10" s="12">
        <f t="shared" si="3"/>
        <v>179.8752996105307</v>
      </c>
      <c r="AA10" s="12">
        <f t="shared" si="3"/>
        <v>182.59527891164424</v>
      </c>
      <c r="AB10" s="12">
        <f t="shared" si="3"/>
        <v>185.31525821275778</v>
      </c>
      <c r="AC10" s="12">
        <f t="shared" si="3"/>
        <v>186.87027505985711</v>
      </c>
      <c r="AD10" s="12">
        <f t="shared" si="3"/>
        <v>186.87027505985711</v>
      </c>
      <c r="AE10" s="12">
        <f t="shared" si="3"/>
        <v>186.87027505985711</v>
      </c>
      <c r="AF10" s="12">
        <f t="shared" si="3"/>
        <v>188.4522316637055</v>
      </c>
      <c r="AG10" s="12">
        <f t="shared" si="3"/>
        <v>188.4522316637055</v>
      </c>
      <c r="AH10" s="12">
        <f t="shared" si="3"/>
        <v>188.4522316637055</v>
      </c>
      <c r="AI10" s="12">
        <f t="shared" si="3"/>
        <v>188.4522316637055</v>
      </c>
      <c r="AJ10" s="12">
        <f t="shared" si="3"/>
        <v>188.4522316637055</v>
      </c>
      <c r="AK10" s="12">
        <f t="shared" si="3"/>
        <v>194.17302942895387</v>
      </c>
      <c r="AL10" s="12">
        <f t="shared" si="3"/>
        <v>194.17302942895387</v>
      </c>
      <c r="AM10" s="12">
        <f t="shared" si="3"/>
        <v>194.17302942895387</v>
      </c>
      <c r="AN10" s="12">
        <f t="shared" si="3"/>
        <v>194.17302942895387</v>
      </c>
      <c r="AO10" s="12">
        <f t="shared" si="3"/>
        <v>203.22229134852856</v>
      </c>
      <c r="AP10" s="30">
        <f t="shared" si="3"/>
        <v>203.22229134852856</v>
      </c>
    </row>
    <row r="11" spans="1:42">
      <c r="A11" s="80" t="s">
        <v>5</v>
      </c>
      <c r="B11" s="77">
        <f t="shared" ref="B11:AP11" si="4">B19</f>
        <v>127.5</v>
      </c>
      <c r="C11" s="77">
        <f t="shared" si="4"/>
        <v>178.6</v>
      </c>
      <c r="D11" s="77">
        <f t="shared" si="4"/>
        <v>236.7</v>
      </c>
      <c r="E11" s="77">
        <f t="shared" si="4"/>
        <v>256.8</v>
      </c>
      <c r="F11" s="77">
        <f t="shared" si="4"/>
        <v>256</v>
      </c>
      <c r="G11" s="77">
        <f t="shared" si="4"/>
        <v>274.2</v>
      </c>
      <c r="H11" s="77">
        <f t="shared" si="4"/>
        <v>253.9</v>
      </c>
      <c r="I11" s="77">
        <f t="shared" si="4"/>
        <v>122.3</v>
      </c>
      <c r="J11" s="77">
        <f t="shared" si="4"/>
        <v>130.30000000000001</v>
      </c>
      <c r="K11" s="79">
        <f t="shared" si="4"/>
        <v>126.6</v>
      </c>
      <c r="L11" s="77">
        <f t="shared" si="4"/>
        <v>126.59999999999998</v>
      </c>
      <c r="M11" s="77">
        <f t="shared" si="4"/>
        <v>127.21726107705717</v>
      </c>
      <c r="N11" s="77">
        <f t="shared" si="4"/>
        <v>124.67291585551602</v>
      </c>
      <c r="O11" s="77">
        <f t="shared" si="4"/>
        <v>124.67291585551602</v>
      </c>
      <c r="P11" s="77">
        <f t="shared" si="4"/>
        <v>130.30871524274056</v>
      </c>
      <c r="Q11" s="77">
        <f t="shared" si="4"/>
        <v>130.30871524274056</v>
      </c>
      <c r="R11" s="77">
        <f t="shared" si="4"/>
        <v>130.30871524274056</v>
      </c>
      <c r="S11" s="77">
        <f t="shared" si="4"/>
        <v>127.22203127066068</v>
      </c>
      <c r="T11" s="77">
        <f t="shared" si="4"/>
        <v>135.70940400078788</v>
      </c>
      <c r="U11" s="77">
        <f t="shared" si="4"/>
        <v>135.70940400078788</v>
      </c>
      <c r="V11" s="77">
        <f t="shared" si="4"/>
        <v>137.01198947633247</v>
      </c>
      <c r="W11" s="77">
        <f t="shared" si="4"/>
        <v>138.78640931917954</v>
      </c>
      <c r="X11" s="77">
        <f t="shared" si="4"/>
        <v>144.74386263064383</v>
      </c>
      <c r="Y11" s="77">
        <f t="shared" si="4"/>
        <v>144.74386263064383</v>
      </c>
      <c r="Z11" s="77">
        <f t="shared" si="4"/>
        <v>139.47980420049572</v>
      </c>
      <c r="AA11" s="77">
        <f t="shared" si="4"/>
        <v>141.58894415006171</v>
      </c>
      <c r="AB11" s="77">
        <f t="shared" si="4"/>
        <v>143.69808409962766</v>
      </c>
      <c r="AC11" s="77">
        <f t="shared" si="4"/>
        <v>144.90388303828968</v>
      </c>
      <c r="AD11" s="77">
        <f t="shared" si="4"/>
        <v>144.90388303828968</v>
      </c>
      <c r="AE11" s="77">
        <f t="shared" si="4"/>
        <v>144.90388303828968</v>
      </c>
      <c r="AF11" s="77">
        <f t="shared" si="4"/>
        <v>146.1305717378288</v>
      </c>
      <c r="AG11" s="77">
        <f t="shared" si="4"/>
        <v>146.1305717378288</v>
      </c>
      <c r="AH11" s="77">
        <f t="shared" si="4"/>
        <v>146.1305717378288</v>
      </c>
      <c r="AI11" s="77">
        <f t="shared" si="4"/>
        <v>146.1305717378288</v>
      </c>
      <c r="AJ11" s="77">
        <f t="shared" si="4"/>
        <v>146.1305717378288</v>
      </c>
      <c r="AK11" s="77">
        <f t="shared" si="4"/>
        <v>150.56662134494653</v>
      </c>
      <c r="AL11" s="77">
        <f t="shared" si="4"/>
        <v>150.56662134494653</v>
      </c>
      <c r="AM11" s="77">
        <f t="shared" si="4"/>
        <v>150.56662134494653</v>
      </c>
      <c r="AN11" s="77">
        <f t="shared" si="4"/>
        <v>150.56662134494653</v>
      </c>
      <c r="AO11" s="77">
        <f t="shared" si="4"/>
        <v>157.58364526893274</v>
      </c>
      <c r="AP11" s="81">
        <f t="shared" si="4"/>
        <v>157.58364526893274</v>
      </c>
    </row>
    <row r="12" spans="1:42">
      <c r="A12" s="80" t="s">
        <v>56</v>
      </c>
      <c r="B12" s="77">
        <f t="shared" ref="B12:K12" si="5">B25</f>
        <v>887.1</v>
      </c>
      <c r="C12" s="77">
        <f t="shared" si="5"/>
        <v>857.8</v>
      </c>
      <c r="D12" s="77">
        <f t="shared" si="5"/>
        <v>887</v>
      </c>
      <c r="E12" s="77">
        <f t="shared" si="5"/>
        <v>881.9</v>
      </c>
      <c r="F12" s="77">
        <f t="shared" si="5"/>
        <v>853.1</v>
      </c>
      <c r="G12" s="77">
        <f t="shared" si="5"/>
        <v>872</v>
      </c>
      <c r="H12" s="77">
        <f t="shared" si="5"/>
        <v>874.3</v>
      </c>
      <c r="I12" s="77">
        <f t="shared" si="5"/>
        <v>795.2</v>
      </c>
      <c r="J12" s="77">
        <f t="shared" si="5"/>
        <v>840.8</v>
      </c>
      <c r="K12" s="79">
        <f t="shared" si="5"/>
        <v>847.6</v>
      </c>
      <c r="L12" s="77">
        <f t="shared" ref="L12:AP12" si="6">L14*0.0991</f>
        <v>744.63739999999996</v>
      </c>
      <c r="M12" s="77">
        <f t="shared" si="6"/>
        <v>727.84399480093828</v>
      </c>
      <c r="N12" s="77">
        <f t="shared" si="6"/>
        <v>713.96999480093825</v>
      </c>
      <c r="O12" s="77">
        <f t="shared" si="6"/>
        <v>700.09599480093834</v>
      </c>
      <c r="P12" s="77">
        <f t="shared" si="6"/>
        <v>605.09263856042537</v>
      </c>
      <c r="Q12" s="77">
        <f t="shared" si="6"/>
        <v>591.21863856042546</v>
      </c>
      <c r="R12" s="77">
        <f t="shared" si="6"/>
        <v>577.34463856042544</v>
      </c>
      <c r="S12" s="77">
        <f t="shared" si="6"/>
        <v>518.98695193622461</v>
      </c>
      <c r="T12" s="77">
        <f t="shared" si="6"/>
        <v>530.28126000658347</v>
      </c>
      <c r="U12" s="77">
        <f t="shared" si="6"/>
        <v>498.30934008776893</v>
      </c>
      <c r="V12" s="77">
        <f t="shared" si="6"/>
        <v>408.80589689141885</v>
      </c>
      <c r="W12" s="77">
        <f t="shared" si="6"/>
        <v>390.09874856284023</v>
      </c>
      <c r="X12" s="77">
        <f t="shared" si="6"/>
        <v>392.80568258129</v>
      </c>
      <c r="Y12" s="77">
        <f t="shared" si="6"/>
        <v>392.80568258129</v>
      </c>
      <c r="Z12" s="77">
        <f t="shared" si="6"/>
        <v>339.70824997597833</v>
      </c>
      <c r="AA12" s="77">
        <f t="shared" si="6"/>
        <v>349.58598678185444</v>
      </c>
      <c r="AB12" s="77">
        <f t="shared" si="6"/>
        <v>359.4637235877305</v>
      </c>
      <c r="AC12" s="77">
        <f t="shared" si="6"/>
        <v>365.1108427176672</v>
      </c>
      <c r="AD12" s="77">
        <f t="shared" si="6"/>
        <v>365.1108427176672</v>
      </c>
      <c r="AE12" s="77">
        <f t="shared" si="6"/>
        <v>365.1108427176672</v>
      </c>
      <c r="AF12" s="77">
        <f t="shared" si="6"/>
        <v>365.32790500587589</v>
      </c>
      <c r="AG12" s="77">
        <f t="shared" si="6"/>
        <v>365.32790500587589</v>
      </c>
      <c r="AH12" s="77">
        <f t="shared" si="6"/>
        <v>365.32790500587589</v>
      </c>
      <c r="AI12" s="77">
        <f t="shared" si="6"/>
        <v>365.32790500587589</v>
      </c>
      <c r="AJ12" s="77">
        <f t="shared" si="6"/>
        <v>365.32790500587589</v>
      </c>
      <c r="AK12" s="77">
        <f t="shared" si="6"/>
        <v>386.10325966450625</v>
      </c>
      <c r="AL12" s="77">
        <f t="shared" si="6"/>
        <v>371.33735966450621</v>
      </c>
      <c r="AM12" s="77">
        <f t="shared" si="6"/>
        <v>371.33735966450621</v>
      </c>
      <c r="AN12" s="77">
        <f t="shared" si="6"/>
        <v>371.33735966450621</v>
      </c>
      <c r="AO12" s="77">
        <f t="shared" si="6"/>
        <v>404.20019339724848</v>
      </c>
      <c r="AP12" s="81">
        <f t="shared" si="6"/>
        <v>404.20019339724848</v>
      </c>
    </row>
    <row r="13" spans="1:42">
      <c r="A13" s="80" t="s">
        <v>4</v>
      </c>
      <c r="B13" s="77">
        <f t="shared" ref="B13:AP13" si="7">B18</f>
        <v>8261.9</v>
      </c>
      <c r="C13" s="77">
        <f t="shared" si="7"/>
        <v>8092.7</v>
      </c>
      <c r="D13" s="77">
        <f t="shared" si="7"/>
        <v>7895.3</v>
      </c>
      <c r="E13" s="77">
        <f t="shared" si="7"/>
        <v>9424.6</v>
      </c>
      <c r="F13" s="77">
        <f t="shared" si="7"/>
        <v>9347.7000000000007</v>
      </c>
      <c r="G13" s="77">
        <f t="shared" si="7"/>
        <v>8348.5</v>
      </c>
      <c r="H13" s="77">
        <f t="shared" si="7"/>
        <v>6962.6</v>
      </c>
      <c r="I13" s="77">
        <f t="shared" si="7"/>
        <v>6845.1</v>
      </c>
      <c r="J13" s="77">
        <f t="shared" si="7"/>
        <v>7690.1</v>
      </c>
      <c r="K13" s="79">
        <f t="shared" si="7"/>
        <v>7502</v>
      </c>
      <c r="L13" s="77">
        <f t="shared" si="7"/>
        <v>6779</v>
      </c>
      <c r="M13" s="77">
        <f t="shared" si="7"/>
        <v>6753.2090321784372</v>
      </c>
      <c r="N13" s="77">
        <f t="shared" si="7"/>
        <v>6753.2090321784372</v>
      </c>
      <c r="O13" s="77">
        <f t="shared" si="7"/>
        <v>6753.2090321784372</v>
      </c>
      <c r="P13" s="77">
        <f t="shared" si="7"/>
        <v>6986.3834173571149</v>
      </c>
      <c r="Q13" s="77">
        <f t="shared" si="7"/>
        <v>6986.3834173571149</v>
      </c>
      <c r="R13" s="77">
        <f t="shared" si="7"/>
        <v>6986.3834173571149</v>
      </c>
      <c r="S13" s="77">
        <f t="shared" si="7"/>
        <v>6761.242427068797</v>
      </c>
      <c r="T13" s="77">
        <f t="shared" si="7"/>
        <v>222.58738410814476</v>
      </c>
      <c r="U13" s="77">
        <f t="shared" si="7"/>
        <v>222.58738410814476</v>
      </c>
      <c r="V13" s="77">
        <f t="shared" si="7"/>
        <v>223.19188158270936</v>
      </c>
      <c r="W13" s="77">
        <f t="shared" si="7"/>
        <v>222.77798925393199</v>
      </c>
      <c r="X13" s="77">
        <f t="shared" si="7"/>
        <v>223.23620563503027</v>
      </c>
      <c r="Y13" s="77">
        <f t="shared" si="7"/>
        <v>223.23620563503027</v>
      </c>
      <c r="Z13" s="77">
        <f t="shared" si="7"/>
        <v>223.15634780256732</v>
      </c>
      <c r="AA13" s="77">
        <f t="shared" si="7"/>
        <v>223.41946297140294</v>
      </c>
      <c r="AB13" s="77">
        <f t="shared" si="7"/>
        <v>222.68257814023946</v>
      </c>
      <c r="AC13" s="77">
        <f t="shared" si="7"/>
        <v>222.57105124823556</v>
      </c>
      <c r="AD13" s="77">
        <f t="shared" si="7"/>
        <v>222.57105124823556</v>
      </c>
      <c r="AE13" s="77">
        <f t="shared" si="7"/>
        <v>222.57105124823556</v>
      </c>
      <c r="AF13" s="77">
        <f t="shared" si="7"/>
        <v>223.48864956321449</v>
      </c>
      <c r="AG13" s="77">
        <f t="shared" si="7"/>
        <v>223.48864956321449</v>
      </c>
      <c r="AH13" s="77">
        <f t="shared" si="7"/>
        <v>223.48864956321449</v>
      </c>
      <c r="AI13" s="77">
        <f t="shared" si="7"/>
        <v>223.48864956321449</v>
      </c>
      <c r="AJ13" s="77">
        <f t="shared" si="7"/>
        <v>223.48864956321449</v>
      </c>
      <c r="AK13" s="77">
        <f t="shared" si="7"/>
        <v>223.02483825483978</v>
      </c>
      <c r="AL13" s="77">
        <f t="shared" si="7"/>
        <v>223.02483825483978</v>
      </c>
      <c r="AM13" s="77">
        <f t="shared" si="7"/>
        <v>223.02483825483978</v>
      </c>
      <c r="AN13" s="77">
        <f t="shared" si="7"/>
        <v>223.02483825483978</v>
      </c>
      <c r="AO13" s="77">
        <f t="shared" si="7"/>
        <v>223.34571854886417</v>
      </c>
      <c r="AP13" s="81">
        <f t="shared" si="7"/>
        <v>223.34571854886417</v>
      </c>
    </row>
    <row r="14" spans="1:42">
      <c r="A14" s="47" t="s">
        <v>8</v>
      </c>
      <c r="B14" s="12">
        <f t="shared" ref="B14:AP14" si="8">B22</f>
        <v>8969.9</v>
      </c>
      <c r="C14" s="12">
        <f t="shared" si="8"/>
        <v>8673.7000000000007</v>
      </c>
      <c r="D14" s="12">
        <f t="shared" si="8"/>
        <v>8968.9</v>
      </c>
      <c r="E14" s="12">
        <f t="shared" si="8"/>
        <v>8916.7999999999993</v>
      </c>
      <c r="F14" s="12">
        <f t="shared" si="8"/>
        <v>8625.7999999999993</v>
      </c>
      <c r="G14" s="12">
        <f t="shared" si="8"/>
        <v>8817.2999999999993</v>
      </c>
      <c r="H14" s="12">
        <f t="shared" si="8"/>
        <v>8840.1</v>
      </c>
      <c r="I14" s="12">
        <f t="shared" si="8"/>
        <v>8040.8</v>
      </c>
      <c r="J14" s="12">
        <f t="shared" si="8"/>
        <v>8501.4</v>
      </c>
      <c r="K14" s="11">
        <f t="shared" si="8"/>
        <v>8569</v>
      </c>
      <c r="L14" s="12">
        <f t="shared" si="8"/>
        <v>7514</v>
      </c>
      <c r="M14" s="12">
        <f t="shared" si="8"/>
        <v>7344.5408153475109</v>
      </c>
      <c r="N14" s="12">
        <f t="shared" si="8"/>
        <v>7204.5408153475109</v>
      </c>
      <c r="O14" s="12">
        <f t="shared" si="8"/>
        <v>7064.5408153475109</v>
      </c>
      <c r="P14" s="12">
        <f t="shared" si="8"/>
        <v>6105.8792992979361</v>
      </c>
      <c r="Q14" s="12">
        <f t="shared" si="8"/>
        <v>5965.8792992979361</v>
      </c>
      <c r="R14" s="12">
        <f t="shared" si="8"/>
        <v>5825.8792992979361</v>
      </c>
      <c r="S14" s="12">
        <f t="shared" si="8"/>
        <v>5237.0025422424278</v>
      </c>
      <c r="T14" s="12">
        <f t="shared" si="8"/>
        <v>5350.9713421451415</v>
      </c>
      <c r="U14" s="12">
        <f t="shared" si="8"/>
        <v>5028.3485377171437</v>
      </c>
      <c r="V14" s="12">
        <f t="shared" si="8"/>
        <v>4125.1856396712301</v>
      </c>
      <c r="W14" s="12">
        <f t="shared" si="8"/>
        <v>3936.4152226320912</v>
      </c>
      <c r="X14" s="12">
        <f t="shared" si="8"/>
        <v>3963.7303994075683</v>
      </c>
      <c r="Y14" s="12">
        <f t="shared" si="8"/>
        <v>3963.7303994075683</v>
      </c>
      <c r="Z14" s="12">
        <f t="shared" si="8"/>
        <v>3427.933904903919</v>
      </c>
      <c r="AA14" s="12">
        <f t="shared" si="8"/>
        <v>3527.6083429046867</v>
      </c>
      <c r="AB14" s="12">
        <f t="shared" si="8"/>
        <v>3627.2827809054543</v>
      </c>
      <c r="AC14" s="12">
        <f t="shared" si="8"/>
        <v>3684.2668286343815</v>
      </c>
      <c r="AD14" s="12">
        <f t="shared" si="8"/>
        <v>3684.2668286343815</v>
      </c>
      <c r="AE14" s="12">
        <f t="shared" si="8"/>
        <v>3684.2668286343815</v>
      </c>
      <c r="AF14" s="12">
        <f t="shared" si="8"/>
        <v>3686.4571645396154</v>
      </c>
      <c r="AG14" s="12">
        <f t="shared" si="8"/>
        <v>3686.4571645396154</v>
      </c>
      <c r="AH14" s="12">
        <f t="shared" si="8"/>
        <v>3686.4571645396154</v>
      </c>
      <c r="AI14" s="12">
        <f t="shared" si="8"/>
        <v>3686.4571645396154</v>
      </c>
      <c r="AJ14" s="12">
        <f t="shared" si="8"/>
        <v>3686.4571645396154</v>
      </c>
      <c r="AK14" s="12">
        <f t="shared" si="8"/>
        <v>3896.0974739102548</v>
      </c>
      <c r="AL14" s="12">
        <f t="shared" si="8"/>
        <v>3747.0974739102548</v>
      </c>
      <c r="AM14" s="12">
        <f t="shared" si="8"/>
        <v>3747.0974739102548</v>
      </c>
      <c r="AN14" s="12">
        <f t="shared" si="8"/>
        <v>3747.0974739102548</v>
      </c>
      <c r="AO14" s="12">
        <f t="shared" si="8"/>
        <v>4078.7103269147174</v>
      </c>
      <c r="AP14" s="30">
        <f t="shared" si="8"/>
        <v>4078.7103269147174</v>
      </c>
    </row>
    <row r="15" spans="1:42" ht="15.75" customHeight="1">
      <c r="A15" s="52" t="s">
        <v>60</v>
      </c>
      <c r="B15" s="38"/>
      <c r="C15" s="38"/>
      <c r="D15" s="38"/>
      <c r="E15" s="38"/>
      <c r="F15" s="38"/>
      <c r="G15" s="38"/>
      <c r="H15" s="38"/>
      <c r="I15" s="38"/>
      <c r="J15" s="38"/>
      <c r="K15" s="82">
        <f>'BAU Data'!K14</f>
        <v>19247.400000000001</v>
      </c>
      <c r="L15" s="38">
        <f>'BAU Data'!L14</f>
        <v>19247.400000000001</v>
      </c>
      <c r="M15" s="38">
        <f>'BAU Data'!M14</f>
        <v>19332.615252429736</v>
      </c>
      <c r="N15" s="38">
        <f>'BAU Data'!N14</f>
        <v>19332.615252429736</v>
      </c>
      <c r="O15" s="38">
        <f>'BAU Data'!O14</f>
        <v>19332.615252429736</v>
      </c>
      <c r="P15" s="38">
        <f>'BAU Data'!P14</f>
        <v>20127.062414172859</v>
      </c>
      <c r="Q15" s="38">
        <f>'BAU Data'!Q14</f>
        <v>20127.062414172859</v>
      </c>
      <c r="R15" s="38">
        <f>'BAU Data'!R14</f>
        <v>20127.062414172859</v>
      </c>
      <c r="S15" s="38">
        <f>'BAU Data'!S14</f>
        <v>19691.841762964643</v>
      </c>
      <c r="T15" s="38">
        <f>'BAU Data'!T14</f>
        <v>20888.116443772509</v>
      </c>
      <c r="U15" s="38">
        <f>'BAU Data'!U14</f>
        <v>20888.116443772509</v>
      </c>
      <c r="V15" s="38">
        <f>'BAU Data'!V14</f>
        <v>21071.668892970105</v>
      </c>
      <c r="W15" s="38">
        <f>'BAU Data'!W14</f>
        <v>21321.710419070594</v>
      </c>
      <c r="X15" s="38">
        <f>'BAU Data'!X14</f>
        <v>24338.488382897944</v>
      </c>
      <c r="Y15" s="38">
        <f>'BAU Data'!Y14</f>
        <v>24338.488382897944</v>
      </c>
      <c r="Z15" s="38">
        <f>'BAU Data'!Z14</f>
        <v>23596.21177857733</v>
      </c>
      <c r="AA15" s="38">
        <f>'BAU Data'!AA14</f>
        <v>23893.525456997115</v>
      </c>
      <c r="AB15" s="38">
        <f>'BAU Data'!AB14</f>
        <v>24190.839135416907</v>
      </c>
      <c r="AC15" s="38">
        <f>'BAU Data'!AC14</f>
        <v>24360.813876999153</v>
      </c>
      <c r="AD15" s="38">
        <f>'BAU Data'!AD14</f>
        <v>24411.119192075341</v>
      </c>
      <c r="AE15" s="38">
        <f>'BAU Data'!AE14</f>
        <v>24411.119192075341</v>
      </c>
      <c r="AF15" s="38">
        <f>'BAU Data'!AF14</f>
        <v>24583.98448914539</v>
      </c>
      <c r="AG15" s="38">
        <f>'BAU Data'!AG14</f>
        <v>24583.98448914539</v>
      </c>
      <c r="AH15" s="38">
        <f>'BAU Data'!AH14</f>
        <v>24583.98448914539</v>
      </c>
      <c r="AI15" s="38">
        <f>'BAU Data'!AI14</f>
        <v>24583.98448914539</v>
      </c>
      <c r="AJ15" s="38">
        <f>'BAU Data'!AJ14</f>
        <v>24583.98448914539</v>
      </c>
      <c r="AK15" s="38">
        <f>'BAU Data'!AK14</f>
        <v>25209.309625401154</v>
      </c>
      <c r="AL15" s="38">
        <f>'BAU Data'!AL14</f>
        <v>25209.309625401154</v>
      </c>
      <c r="AM15" s="38">
        <f>'BAU Data'!AM14</f>
        <v>25209.309625401154</v>
      </c>
      <c r="AN15" s="38">
        <f>'BAU Data'!AN14</f>
        <v>25209.309625401154</v>
      </c>
      <c r="AO15" s="38">
        <f>'BAU Data'!AO14</f>
        <v>26198.46029547846</v>
      </c>
      <c r="AP15" s="39">
        <f>'BAU Data'!AP14</f>
        <v>26198.46029547846</v>
      </c>
    </row>
    <row r="16" spans="1:42" ht="15.75" customHeight="1">
      <c r="A16" s="66"/>
      <c r="B16" s="12"/>
      <c r="C16" s="12"/>
      <c r="D16" s="12"/>
      <c r="E16" s="12"/>
      <c r="F16" s="12"/>
      <c r="G16" s="12"/>
      <c r="H16" s="12"/>
      <c r="I16" s="12"/>
      <c r="J16" s="12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ht="15.75" customHeight="1">
      <c r="A17" s="3" t="s">
        <v>66</v>
      </c>
      <c r="B17" s="3"/>
      <c r="C17" s="3"/>
      <c r="D17" s="3"/>
      <c r="E17" s="3"/>
      <c r="F17" s="3"/>
      <c r="G17" s="3"/>
      <c r="H17" s="3"/>
      <c r="I17" s="3"/>
      <c r="J17" s="3"/>
      <c r="K17" s="6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15.75" customHeight="1">
      <c r="A18" s="57" t="s">
        <v>4</v>
      </c>
      <c r="B18" s="23">
        <f>'BAU Data'!B6</f>
        <v>8261.9</v>
      </c>
      <c r="C18" s="23">
        <f>'BAU Data'!C6</f>
        <v>8092.7</v>
      </c>
      <c r="D18" s="23">
        <f>'BAU Data'!D6</f>
        <v>7895.3</v>
      </c>
      <c r="E18" s="23">
        <f>'BAU Data'!E6</f>
        <v>9424.6</v>
      </c>
      <c r="F18" s="23">
        <f>'BAU Data'!F6</f>
        <v>9347.7000000000007</v>
      </c>
      <c r="G18" s="23">
        <f>'BAU Data'!G6</f>
        <v>8348.5</v>
      </c>
      <c r="H18" s="23">
        <f>'BAU Data'!H6</f>
        <v>6962.6</v>
      </c>
      <c r="I18" s="83">
        <f>'BAU Data'!I6</f>
        <v>6845.1</v>
      </c>
      <c r="J18" s="83">
        <f>'BAU Data'!J6</f>
        <v>7690.1</v>
      </c>
      <c r="K18" s="26">
        <f>'BAU Data'!K6</f>
        <v>7502</v>
      </c>
      <c r="L18" s="25">
        <f t="shared" ref="L18:AP18" si="9">(L62*$B$74*$B$76)-L30</f>
        <v>6779</v>
      </c>
      <c r="M18" s="25">
        <f t="shared" si="9"/>
        <v>6753.2090321784372</v>
      </c>
      <c r="N18" s="25">
        <f t="shared" si="9"/>
        <v>6753.2090321784372</v>
      </c>
      <c r="O18" s="25">
        <f t="shared" si="9"/>
        <v>6753.2090321784372</v>
      </c>
      <c r="P18" s="25">
        <f t="shared" si="9"/>
        <v>6986.3834173571149</v>
      </c>
      <c r="Q18" s="25">
        <f t="shared" si="9"/>
        <v>6986.3834173571149</v>
      </c>
      <c r="R18" s="25">
        <f t="shared" si="9"/>
        <v>6986.3834173571149</v>
      </c>
      <c r="S18" s="25">
        <f t="shared" si="9"/>
        <v>6761.242427068797</v>
      </c>
      <c r="T18" s="25">
        <f t="shared" si="9"/>
        <v>222.58738410814476</v>
      </c>
      <c r="U18" s="25">
        <f t="shared" si="9"/>
        <v>222.58738410814476</v>
      </c>
      <c r="V18" s="25">
        <f t="shared" si="9"/>
        <v>223.19188158270936</v>
      </c>
      <c r="W18" s="25">
        <f t="shared" si="9"/>
        <v>222.77798925393199</v>
      </c>
      <c r="X18" s="25">
        <f t="shared" si="9"/>
        <v>223.23620563503027</v>
      </c>
      <c r="Y18" s="25">
        <f t="shared" si="9"/>
        <v>223.23620563503027</v>
      </c>
      <c r="Z18" s="25">
        <f t="shared" si="9"/>
        <v>223.15634780256732</v>
      </c>
      <c r="AA18" s="25">
        <f t="shared" si="9"/>
        <v>223.41946297140294</v>
      </c>
      <c r="AB18" s="25">
        <f t="shared" si="9"/>
        <v>222.68257814023946</v>
      </c>
      <c r="AC18" s="25">
        <f t="shared" si="9"/>
        <v>222.57105124823556</v>
      </c>
      <c r="AD18" s="25">
        <f t="shared" si="9"/>
        <v>222.57105124823556</v>
      </c>
      <c r="AE18" s="25">
        <f t="shared" si="9"/>
        <v>222.57105124823556</v>
      </c>
      <c r="AF18" s="25">
        <f t="shared" si="9"/>
        <v>223.48864956321449</v>
      </c>
      <c r="AG18" s="25">
        <f t="shared" si="9"/>
        <v>223.48864956321449</v>
      </c>
      <c r="AH18" s="25">
        <f t="shared" si="9"/>
        <v>223.48864956321449</v>
      </c>
      <c r="AI18" s="25">
        <f t="shared" si="9"/>
        <v>223.48864956321449</v>
      </c>
      <c r="AJ18" s="25">
        <f t="shared" si="9"/>
        <v>223.48864956321449</v>
      </c>
      <c r="AK18" s="25">
        <f t="shared" si="9"/>
        <v>223.02483825483978</v>
      </c>
      <c r="AL18" s="25">
        <f t="shared" si="9"/>
        <v>223.02483825483978</v>
      </c>
      <c r="AM18" s="25">
        <f t="shared" si="9"/>
        <v>223.02483825483978</v>
      </c>
      <c r="AN18" s="25">
        <f t="shared" si="9"/>
        <v>223.02483825483978</v>
      </c>
      <c r="AO18" s="25">
        <f t="shared" si="9"/>
        <v>223.34571854886417</v>
      </c>
      <c r="AP18" s="27">
        <f t="shared" si="9"/>
        <v>223.34571854886417</v>
      </c>
    </row>
    <row r="19" spans="1:42">
      <c r="A19" s="80" t="s">
        <v>5</v>
      </c>
      <c r="B19" s="77">
        <f>'BAU Data'!B7</f>
        <v>127.5</v>
      </c>
      <c r="C19" s="77">
        <f>'BAU Data'!C7</f>
        <v>178.6</v>
      </c>
      <c r="D19" s="77">
        <f>'BAU Data'!D7</f>
        <v>236.7</v>
      </c>
      <c r="E19" s="77">
        <f>'BAU Data'!E7</f>
        <v>256.8</v>
      </c>
      <c r="F19" s="77">
        <f>'BAU Data'!F7</f>
        <v>256</v>
      </c>
      <c r="G19" s="77">
        <f>'BAU Data'!G7</f>
        <v>274.2</v>
      </c>
      <c r="H19" s="77">
        <f>'BAU Data'!H7</f>
        <v>253.9</v>
      </c>
      <c r="I19" s="77">
        <f>'BAU Data'!I7</f>
        <v>122.3</v>
      </c>
      <c r="J19" s="77">
        <f>'BAU Data'!J7</f>
        <v>130.30000000000001</v>
      </c>
      <c r="K19" s="79">
        <f>'BAU Data'!K7</f>
        <v>126.6</v>
      </c>
      <c r="L19" s="77">
        <f t="shared" ref="L19:M19" si="10">L52*$B$79</f>
        <v>126.59999999999998</v>
      </c>
      <c r="M19" s="77">
        <f t="shared" si="10"/>
        <v>127.21726107705717</v>
      </c>
      <c r="N19" s="77">
        <f t="shared" ref="N19:AP19" si="11">N52*$B$79*(0.98)</f>
        <v>124.67291585551602</v>
      </c>
      <c r="O19" s="77">
        <f t="shared" si="11"/>
        <v>124.67291585551602</v>
      </c>
      <c r="P19" s="77">
        <f t="shared" si="11"/>
        <v>130.30871524274056</v>
      </c>
      <c r="Q19" s="77">
        <f t="shared" si="11"/>
        <v>130.30871524274056</v>
      </c>
      <c r="R19" s="77">
        <f t="shared" si="11"/>
        <v>130.30871524274056</v>
      </c>
      <c r="S19" s="77">
        <f t="shared" si="11"/>
        <v>127.22203127066068</v>
      </c>
      <c r="T19" s="77">
        <f t="shared" si="11"/>
        <v>135.70940400078788</v>
      </c>
      <c r="U19" s="77">
        <f t="shared" si="11"/>
        <v>135.70940400078788</v>
      </c>
      <c r="V19" s="77">
        <f t="shared" si="11"/>
        <v>137.01198947633247</v>
      </c>
      <c r="W19" s="77">
        <f t="shared" si="11"/>
        <v>138.78640931917954</v>
      </c>
      <c r="X19" s="77">
        <f t="shared" si="11"/>
        <v>144.74386263064383</v>
      </c>
      <c r="Y19" s="77">
        <f t="shared" si="11"/>
        <v>144.74386263064383</v>
      </c>
      <c r="Z19" s="77">
        <f t="shared" si="11"/>
        <v>139.47980420049572</v>
      </c>
      <c r="AA19" s="77">
        <f t="shared" si="11"/>
        <v>141.58894415006171</v>
      </c>
      <c r="AB19" s="77">
        <f t="shared" si="11"/>
        <v>143.69808409962766</v>
      </c>
      <c r="AC19" s="77">
        <f t="shared" si="11"/>
        <v>144.90388303828968</v>
      </c>
      <c r="AD19" s="77">
        <f t="shared" si="11"/>
        <v>144.90388303828968</v>
      </c>
      <c r="AE19" s="77">
        <f t="shared" si="11"/>
        <v>144.90388303828968</v>
      </c>
      <c r="AF19" s="77">
        <f t="shared" si="11"/>
        <v>146.1305717378288</v>
      </c>
      <c r="AG19" s="77">
        <f t="shared" si="11"/>
        <v>146.1305717378288</v>
      </c>
      <c r="AH19" s="77">
        <f t="shared" si="11"/>
        <v>146.1305717378288</v>
      </c>
      <c r="AI19" s="77">
        <f t="shared" si="11"/>
        <v>146.1305717378288</v>
      </c>
      <c r="AJ19" s="77">
        <f t="shared" si="11"/>
        <v>146.1305717378288</v>
      </c>
      <c r="AK19" s="77">
        <f t="shared" si="11"/>
        <v>150.56662134494653</v>
      </c>
      <c r="AL19" s="77">
        <f t="shared" si="11"/>
        <v>150.56662134494653</v>
      </c>
      <c r="AM19" s="77">
        <f t="shared" si="11"/>
        <v>150.56662134494653</v>
      </c>
      <c r="AN19" s="77">
        <f t="shared" si="11"/>
        <v>150.56662134494653</v>
      </c>
      <c r="AO19" s="77">
        <f t="shared" si="11"/>
        <v>157.58364526893274</v>
      </c>
      <c r="AP19" s="81">
        <f t="shared" si="11"/>
        <v>157.58364526893274</v>
      </c>
    </row>
    <row r="20" spans="1:42">
      <c r="A20" s="80" t="s">
        <v>6</v>
      </c>
      <c r="B20" s="77">
        <f>'BAU Data'!B8</f>
        <v>160</v>
      </c>
      <c r="C20" s="77">
        <f>'BAU Data'!C8</f>
        <v>160</v>
      </c>
      <c r="D20" s="77">
        <f>'BAU Data'!D8</f>
        <v>160</v>
      </c>
      <c r="E20" s="77">
        <f>'BAU Data'!E8</f>
        <v>160</v>
      </c>
      <c r="F20" s="77">
        <f>'BAU Data'!F8</f>
        <v>160</v>
      </c>
      <c r="G20" s="77">
        <f>'BAU Data'!G8</f>
        <v>160</v>
      </c>
      <c r="H20" s="77">
        <f>'BAU Data'!H8</f>
        <v>160</v>
      </c>
      <c r="I20" s="77">
        <f>'BAU Data'!I8</f>
        <v>160</v>
      </c>
      <c r="J20" s="77">
        <f>'BAU Data'!J8</f>
        <v>160</v>
      </c>
      <c r="K20" s="79">
        <f>'BAU Data'!K8</f>
        <v>160</v>
      </c>
      <c r="L20" s="77">
        <f t="shared" ref="L20:AP20" si="12">L52*$B$80</f>
        <v>160</v>
      </c>
      <c r="M20" s="77">
        <f t="shared" si="12"/>
        <v>160.78010878617025</v>
      </c>
      <c r="N20" s="77">
        <f t="shared" si="12"/>
        <v>160.78010878617025</v>
      </c>
      <c r="O20" s="77">
        <f t="shared" si="12"/>
        <v>160.78010878617025</v>
      </c>
      <c r="P20" s="77">
        <f t="shared" si="12"/>
        <v>168.04812231065623</v>
      </c>
      <c r="Q20" s="77">
        <f t="shared" si="12"/>
        <v>168.04812231065623</v>
      </c>
      <c r="R20" s="77">
        <f t="shared" si="12"/>
        <v>168.04812231065623</v>
      </c>
      <c r="S20" s="77">
        <f t="shared" si="12"/>
        <v>164.06748721109159</v>
      </c>
      <c r="T20" s="77">
        <f t="shared" si="12"/>
        <v>175.01293355358405</v>
      </c>
      <c r="U20" s="77">
        <f t="shared" si="12"/>
        <v>175.01293355358405</v>
      </c>
      <c r="V20" s="77">
        <f t="shared" si="12"/>
        <v>176.69276780647061</v>
      </c>
      <c r="W20" s="77">
        <f t="shared" si="12"/>
        <v>178.98108691256996</v>
      </c>
      <c r="X20" s="77">
        <f t="shared" si="12"/>
        <v>186.66391028228887</v>
      </c>
      <c r="Y20" s="77">
        <f t="shared" si="12"/>
        <v>186.66391028228887</v>
      </c>
      <c r="Z20" s="77">
        <f t="shared" si="12"/>
        <v>179.8752996105307</v>
      </c>
      <c r="AA20" s="77">
        <f t="shared" si="12"/>
        <v>182.59527891164424</v>
      </c>
      <c r="AB20" s="77">
        <f t="shared" si="12"/>
        <v>185.31525821275778</v>
      </c>
      <c r="AC20" s="77">
        <f t="shared" si="12"/>
        <v>186.87027505985711</v>
      </c>
      <c r="AD20" s="77">
        <f t="shared" si="12"/>
        <v>186.87027505985711</v>
      </c>
      <c r="AE20" s="77">
        <f t="shared" si="12"/>
        <v>186.87027505985711</v>
      </c>
      <c r="AF20" s="77">
        <f t="shared" si="12"/>
        <v>188.4522316637055</v>
      </c>
      <c r="AG20" s="77">
        <f t="shared" si="12"/>
        <v>188.4522316637055</v>
      </c>
      <c r="AH20" s="77">
        <f t="shared" si="12"/>
        <v>188.4522316637055</v>
      </c>
      <c r="AI20" s="77">
        <f t="shared" si="12"/>
        <v>188.4522316637055</v>
      </c>
      <c r="AJ20" s="77">
        <f t="shared" si="12"/>
        <v>188.4522316637055</v>
      </c>
      <c r="AK20" s="77">
        <f t="shared" si="12"/>
        <v>194.17302942895387</v>
      </c>
      <c r="AL20" s="77">
        <f t="shared" si="12"/>
        <v>194.17302942895387</v>
      </c>
      <c r="AM20" s="77">
        <f t="shared" si="12"/>
        <v>194.17302942895387</v>
      </c>
      <c r="AN20" s="77">
        <f t="shared" si="12"/>
        <v>194.17302942895387</v>
      </c>
      <c r="AO20" s="77">
        <f t="shared" si="12"/>
        <v>203.22229134852856</v>
      </c>
      <c r="AP20" s="81">
        <f t="shared" si="12"/>
        <v>203.22229134852856</v>
      </c>
    </row>
    <row r="21" spans="1:42">
      <c r="A21" s="75" t="s">
        <v>67</v>
      </c>
      <c r="B21" s="18">
        <f>'BAU Data'!B9</f>
        <v>295</v>
      </c>
      <c r="C21" s="18">
        <f>'BAU Data'!C9</f>
        <v>346.1</v>
      </c>
      <c r="D21" s="18">
        <f>'BAU Data'!D9</f>
        <v>404.2</v>
      </c>
      <c r="E21" s="18">
        <f>'BAU Data'!E9</f>
        <v>424.3</v>
      </c>
      <c r="F21" s="18">
        <f>'BAU Data'!F9</f>
        <v>423.5</v>
      </c>
      <c r="G21" s="18">
        <f>'BAU Data'!G9</f>
        <v>441.7</v>
      </c>
      <c r="H21" s="18">
        <f>'BAU Data'!H9</f>
        <v>421.4</v>
      </c>
      <c r="I21" s="18">
        <f>'BAU Data'!I9</f>
        <v>289.8</v>
      </c>
      <c r="J21" s="18">
        <f>'BAU Data'!J9</f>
        <v>297.8</v>
      </c>
      <c r="K21" s="19">
        <f>'BAU Data'!K9</f>
        <v>294.10000000000002</v>
      </c>
      <c r="L21" s="18">
        <v>7.5</v>
      </c>
      <c r="M21" s="18">
        <v>7.5</v>
      </c>
      <c r="N21" s="18">
        <v>7.5</v>
      </c>
      <c r="O21" s="18">
        <v>7.5</v>
      </c>
      <c r="P21" s="18">
        <v>7.5</v>
      </c>
      <c r="Q21" s="18">
        <v>7.5</v>
      </c>
      <c r="R21" s="18">
        <v>7.5</v>
      </c>
      <c r="S21" s="18">
        <v>7.5</v>
      </c>
      <c r="T21" s="18">
        <v>7.5</v>
      </c>
      <c r="U21" s="18">
        <v>7.5</v>
      </c>
      <c r="V21" s="18">
        <v>7.5</v>
      </c>
      <c r="W21" s="18">
        <v>7.5</v>
      </c>
      <c r="X21" s="18">
        <v>7.5</v>
      </c>
      <c r="Y21" s="18">
        <v>7.5</v>
      </c>
      <c r="Z21" s="18">
        <v>7.5</v>
      </c>
      <c r="AA21" s="18">
        <v>7.5</v>
      </c>
      <c r="AB21" s="18">
        <v>7.5</v>
      </c>
      <c r="AC21" s="18">
        <v>7.5</v>
      </c>
      <c r="AD21" s="18">
        <v>7.5</v>
      </c>
      <c r="AE21" s="18">
        <v>7.5</v>
      </c>
      <c r="AF21" s="18">
        <v>7.5</v>
      </c>
      <c r="AG21" s="18">
        <v>7.5</v>
      </c>
      <c r="AH21" s="18">
        <v>7.5</v>
      </c>
      <c r="AI21" s="18">
        <v>7.5</v>
      </c>
      <c r="AJ21" s="18">
        <v>7.5</v>
      </c>
      <c r="AK21" s="18">
        <v>7.5</v>
      </c>
      <c r="AL21" s="18">
        <v>7.5</v>
      </c>
      <c r="AM21" s="18">
        <v>7.5</v>
      </c>
      <c r="AN21" s="18">
        <v>7.5</v>
      </c>
      <c r="AO21" s="18">
        <v>7.5</v>
      </c>
      <c r="AP21" s="78">
        <v>7.5</v>
      </c>
    </row>
    <row r="22" spans="1:42">
      <c r="A22" s="47" t="s">
        <v>8</v>
      </c>
      <c r="B22" s="12">
        <f>'BAU Data'!B10-B25</f>
        <v>8969.9</v>
      </c>
      <c r="C22" s="12">
        <f>'BAU Data'!C10-C25</f>
        <v>8673.7000000000007</v>
      </c>
      <c r="D22" s="12">
        <f>'BAU Data'!D10-D25</f>
        <v>8968.9</v>
      </c>
      <c r="E22" s="12">
        <f>'BAU Data'!E10-E25</f>
        <v>8916.7999999999993</v>
      </c>
      <c r="F22" s="12">
        <f>'BAU Data'!F10-F25</f>
        <v>8625.7999999999993</v>
      </c>
      <c r="G22" s="12">
        <f>'BAU Data'!G10-G25</f>
        <v>8817.2999999999993</v>
      </c>
      <c r="H22" s="12">
        <f>'BAU Data'!H10-H25</f>
        <v>8840.1</v>
      </c>
      <c r="I22" s="12">
        <f>'BAU Data'!I10-I25</f>
        <v>8040.8</v>
      </c>
      <c r="J22" s="12">
        <f>'BAU Data'!J10-J25</f>
        <v>8501.4</v>
      </c>
      <c r="K22" s="11">
        <f>'BAU Data'!K10-K25</f>
        <v>8569</v>
      </c>
      <c r="L22" s="12">
        <f t="shared" ref="L22:AP22" si="13">(L62*$B$75*$B$77)-L33</f>
        <v>7514</v>
      </c>
      <c r="M22" s="12">
        <f t="shared" si="13"/>
        <v>7344.5408153475109</v>
      </c>
      <c r="N22" s="12">
        <f t="shared" si="13"/>
        <v>7204.5408153475109</v>
      </c>
      <c r="O22" s="12">
        <f t="shared" si="13"/>
        <v>7064.5408153475109</v>
      </c>
      <c r="P22" s="12">
        <f t="shared" si="13"/>
        <v>6105.8792992979361</v>
      </c>
      <c r="Q22" s="12">
        <f t="shared" si="13"/>
        <v>5965.8792992979361</v>
      </c>
      <c r="R22" s="12">
        <f t="shared" si="13"/>
        <v>5825.8792992979361</v>
      </c>
      <c r="S22" s="12">
        <f t="shared" si="13"/>
        <v>5237.0025422424278</v>
      </c>
      <c r="T22" s="12">
        <f t="shared" si="13"/>
        <v>5350.9713421451415</v>
      </c>
      <c r="U22" s="12">
        <f t="shared" si="13"/>
        <v>5028.3485377171437</v>
      </c>
      <c r="V22" s="12">
        <f t="shared" si="13"/>
        <v>4125.1856396712301</v>
      </c>
      <c r="W22" s="12">
        <f t="shared" si="13"/>
        <v>3936.4152226320912</v>
      </c>
      <c r="X22" s="12">
        <f t="shared" si="13"/>
        <v>3963.7303994075683</v>
      </c>
      <c r="Y22" s="12">
        <f t="shared" si="13"/>
        <v>3963.7303994075683</v>
      </c>
      <c r="Z22" s="12">
        <f t="shared" si="13"/>
        <v>3427.933904903919</v>
      </c>
      <c r="AA22" s="12">
        <f t="shared" si="13"/>
        <v>3527.6083429046867</v>
      </c>
      <c r="AB22" s="12">
        <f t="shared" si="13"/>
        <v>3627.2827809054543</v>
      </c>
      <c r="AC22" s="12">
        <f t="shared" si="13"/>
        <v>3684.2668286343815</v>
      </c>
      <c r="AD22" s="12">
        <f t="shared" si="13"/>
        <v>3684.2668286343815</v>
      </c>
      <c r="AE22" s="12">
        <f t="shared" si="13"/>
        <v>3684.2668286343815</v>
      </c>
      <c r="AF22" s="12">
        <f t="shared" si="13"/>
        <v>3686.4571645396154</v>
      </c>
      <c r="AG22" s="12">
        <f t="shared" si="13"/>
        <v>3686.4571645396154</v>
      </c>
      <c r="AH22" s="12">
        <f t="shared" si="13"/>
        <v>3686.4571645396154</v>
      </c>
      <c r="AI22" s="12">
        <f t="shared" si="13"/>
        <v>3686.4571645396154</v>
      </c>
      <c r="AJ22" s="12">
        <f t="shared" si="13"/>
        <v>3686.4571645396154</v>
      </c>
      <c r="AK22" s="12">
        <f t="shared" si="13"/>
        <v>3896.0974739102548</v>
      </c>
      <c r="AL22" s="12">
        <f t="shared" si="13"/>
        <v>3747.0974739102548</v>
      </c>
      <c r="AM22" s="12">
        <f t="shared" si="13"/>
        <v>3747.0974739102548</v>
      </c>
      <c r="AN22" s="12">
        <f t="shared" si="13"/>
        <v>3747.0974739102548</v>
      </c>
      <c r="AO22" s="12">
        <f t="shared" si="13"/>
        <v>4078.7103269147174</v>
      </c>
      <c r="AP22" s="30">
        <f t="shared" si="13"/>
        <v>4078.7103269147174</v>
      </c>
    </row>
    <row r="23" spans="1:42">
      <c r="A23" s="71" t="s">
        <v>9</v>
      </c>
      <c r="B23" s="72">
        <f>'BAU Data'!B11</f>
        <v>1000</v>
      </c>
      <c r="C23" s="72">
        <f>'BAU Data'!C11</f>
        <v>1000</v>
      </c>
      <c r="D23" s="72">
        <f>'BAU Data'!D11</f>
        <v>1000</v>
      </c>
      <c r="E23" s="72">
        <f>'BAU Data'!E11</f>
        <v>1000</v>
      </c>
      <c r="F23" s="72">
        <f>'BAU Data'!F11</f>
        <v>1000</v>
      </c>
      <c r="G23" s="72">
        <f>'BAU Data'!G11</f>
        <v>1000</v>
      </c>
      <c r="H23" s="72">
        <f>'BAU Data'!H11</f>
        <v>1000</v>
      </c>
      <c r="I23" s="72">
        <f>'BAU Data'!I11</f>
        <v>1000</v>
      </c>
      <c r="J23" s="72">
        <f>'BAU Data'!J11</f>
        <v>1000</v>
      </c>
      <c r="K23" s="73">
        <f>'BAU Data'!K11</f>
        <v>1022.5</v>
      </c>
      <c r="L23" s="72">
        <v>1022.5</v>
      </c>
      <c r="M23" s="72">
        <f t="shared" ref="M23:AP23" si="14">L23</f>
        <v>1022.5</v>
      </c>
      <c r="N23" s="72">
        <f t="shared" si="14"/>
        <v>1022.5</v>
      </c>
      <c r="O23" s="72">
        <f t="shared" si="14"/>
        <v>1022.5</v>
      </c>
      <c r="P23" s="72">
        <f t="shared" si="14"/>
        <v>1022.5</v>
      </c>
      <c r="Q23" s="72">
        <f t="shared" si="14"/>
        <v>1022.5</v>
      </c>
      <c r="R23" s="72">
        <f t="shared" si="14"/>
        <v>1022.5</v>
      </c>
      <c r="S23" s="72">
        <f t="shared" si="14"/>
        <v>1022.5</v>
      </c>
      <c r="T23" s="72">
        <f t="shared" si="14"/>
        <v>1022.5</v>
      </c>
      <c r="U23" s="72">
        <f t="shared" si="14"/>
        <v>1022.5</v>
      </c>
      <c r="V23" s="72">
        <f t="shared" si="14"/>
        <v>1022.5</v>
      </c>
      <c r="W23" s="72">
        <f t="shared" si="14"/>
        <v>1022.5</v>
      </c>
      <c r="X23" s="72">
        <f t="shared" si="14"/>
        <v>1022.5</v>
      </c>
      <c r="Y23" s="72">
        <f t="shared" si="14"/>
        <v>1022.5</v>
      </c>
      <c r="Z23" s="72">
        <f t="shared" si="14"/>
        <v>1022.5</v>
      </c>
      <c r="AA23" s="72">
        <f t="shared" si="14"/>
        <v>1022.5</v>
      </c>
      <c r="AB23" s="72">
        <f t="shared" si="14"/>
        <v>1022.5</v>
      </c>
      <c r="AC23" s="72">
        <f t="shared" si="14"/>
        <v>1022.5</v>
      </c>
      <c r="AD23" s="72">
        <f t="shared" si="14"/>
        <v>1022.5</v>
      </c>
      <c r="AE23" s="72">
        <f t="shared" si="14"/>
        <v>1022.5</v>
      </c>
      <c r="AF23" s="72">
        <f t="shared" si="14"/>
        <v>1022.5</v>
      </c>
      <c r="AG23" s="72">
        <f t="shared" si="14"/>
        <v>1022.5</v>
      </c>
      <c r="AH23" s="72">
        <f t="shared" si="14"/>
        <v>1022.5</v>
      </c>
      <c r="AI23" s="72">
        <f t="shared" si="14"/>
        <v>1022.5</v>
      </c>
      <c r="AJ23" s="72">
        <f t="shared" si="14"/>
        <v>1022.5</v>
      </c>
      <c r="AK23" s="72">
        <f t="shared" si="14"/>
        <v>1022.5</v>
      </c>
      <c r="AL23" s="72">
        <f t="shared" si="14"/>
        <v>1022.5</v>
      </c>
      <c r="AM23" s="72">
        <f t="shared" si="14"/>
        <v>1022.5</v>
      </c>
      <c r="AN23" s="72">
        <f t="shared" si="14"/>
        <v>1022.5</v>
      </c>
      <c r="AO23" s="72">
        <f t="shared" si="14"/>
        <v>1022.5</v>
      </c>
      <c r="AP23" s="74">
        <f t="shared" si="14"/>
        <v>1022.5</v>
      </c>
    </row>
    <row r="24" spans="1:42">
      <c r="A24" s="80" t="s">
        <v>68</v>
      </c>
      <c r="B24" s="77">
        <f>'BAU Data'!B12</f>
        <v>727.9</v>
      </c>
      <c r="C24" s="77">
        <f>'BAU Data'!C12</f>
        <v>720.2</v>
      </c>
      <c r="D24" s="77">
        <f>'BAU Data'!D12</f>
        <v>725.5</v>
      </c>
      <c r="E24" s="77">
        <f>'BAU Data'!E12</f>
        <v>715.6</v>
      </c>
      <c r="F24" s="77">
        <f>'BAU Data'!F12</f>
        <v>723</v>
      </c>
      <c r="G24" s="77">
        <f>'BAU Data'!G12</f>
        <v>713.2</v>
      </c>
      <c r="H24" s="77">
        <f>'BAU Data'!H12</f>
        <v>729.6</v>
      </c>
      <c r="I24" s="77">
        <f>'BAU Data'!I12</f>
        <v>754</v>
      </c>
      <c r="J24" s="77">
        <f>'BAU Data'!J12</f>
        <v>725.6</v>
      </c>
      <c r="K24" s="79">
        <f>'BAU Data'!K12</f>
        <v>725.6</v>
      </c>
      <c r="L24" s="77">
        <v>725.6</v>
      </c>
      <c r="M24" s="77">
        <v>725.6</v>
      </c>
      <c r="N24" s="77">
        <v>725.6</v>
      </c>
      <c r="O24" s="77">
        <v>725.6</v>
      </c>
      <c r="P24" s="77">
        <v>725.6</v>
      </c>
      <c r="Q24" s="77">
        <v>725.6</v>
      </c>
      <c r="R24" s="77">
        <v>725.6</v>
      </c>
      <c r="S24" s="77">
        <v>725.6</v>
      </c>
      <c r="T24" s="77">
        <v>725.6</v>
      </c>
      <c r="U24" s="77">
        <v>725.6</v>
      </c>
      <c r="V24" s="77">
        <v>725.6</v>
      </c>
      <c r="W24" s="77">
        <v>725.6</v>
      </c>
      <c r="X24" s="77">
        <v>725.6</v>
      </c>
      <c r="Y24" s="77">
        <v>725.6</v>
      </c>
      <c r="Z24" s="77">
        <v>725.6</v>
      </c>
      <c r="AA24" s="77">
        <v>725.6</v>
      </c>
      <c r="AB24" s="77">
        <v>725.6</v>
      </c>
      <c r="AC24" s="77">
        <v>725.6</v>
      </c>
      <c r="AD24" s="77">
        <v>725.6</v>
      </c>
      <c r="AE24" s="77">
        <v>725.6</v>
      </c>
      <c r="AF24" s="77">
        <v>725.6</v>
      </c>
      <c r="AG24" s="77">
        <v>725.6</v>
      </c>
      <c r="AH24" s="77">
        <v>725.6</v>
      </c>
      <c r="AI24" s="77">
        <v>725.6</v>
      </c>
      <c r="AJ24" s="77">
        <v>725.6</v>
      </c>
      <c r="AK24" s="77">
        <v>725.6</v>
      </c>
      <c r="AL24" s="77">
        <v>725.6</v>
      </c>
      <c r="AM24" s="77">
        <v>725.6</v>
      </c>
      <c r="AN24" s="77">
        <v>725.6</v>
      </c>
      <c r="AO24" s="77">
        <v>725.6</v>
      </c>
      <c r="AP24" s="81">
        <v>725.6</v>
      </c>
    </row>
    <row r="25" spans="1:42">
      <c r="A25" s="47" t="s">
        <v>56</v>
      </c>
      <c r="B25" s="2">
        <v>887.1</v>
      </c>
      <c r="C25" s="2">
        <v>857.8</v>
      </c>
      <c r="D25" s="2">
        <v>887</v>
      </c>
      <c r="E25" s="2">
        <v>881.9</v>
      </c>
      <c r="F25" s="2">
        <v>853.1</v>
      </c>
      <c r="G25" s="2">
        <v>872</v>
      </c>
      <c r="H25" s="2">
        <v>874.3</v>
      </c>
      <c r="I25" s="2">
        <v>795.2</v>
      </c>
      <c r="J25" s="2">
        <v>840.8</v>
      </c>
      <c r="K25" s="20">
        <v>847.6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32"/>
    </row>
    <row r="26" spans="1:42" ht="15.75" customHeight="1">
      <c r="A26" s="84" t="s">
        <v>11</v>
      </c>
      <c r="B26" s="85">
        <f t="shared" ref="B26:AP26" si="15">SUM(B18:B24)</f>
        <v>19542.2</v>
      </c>
      <c r="C26" s="85">
        <f t="shared" si="15"/>
        <v>19171.3</v>
      </c>
      <c r="D26" s="85">
        <f t="shared" si="15"/>
        <v>19390.599999999999</v>
      </c>
      <c r="E26" s="85">
        <f t="shared" si="15"/>
        <v>20898.099999999999</v>
      </c>
      <c r="F26" s="85">
        <f t="shared" si="15"/>
        <v>20536</v>
      </c>
      <c r="G26" s="85">
        <f t="shared" si="15"/>
        <v>19754.900000000001</v>
      </c>
      <c r="H26" s="85">
        <f t="shared" si="15"/>
        <v>18367.599999999999</v>
      </c>
      <c r="I26" s="85">
        <f t="shared" si="15"/>
        <v>17212</v>
      </c>
      <c r="J26" s="85">
        <f t="shared" si="15"/>
        <v>18505.199999999997</v>
      </c>
      <c r="K26" s="86">
        <f t="shared" si="15"/>
        <v>18399.8</v>
      </c>
      <c r="L26" s="85">
        <f t="shared" si="15"/>
        <v>16335.2</v>
      </c>
      <c r="M26" s="85">
        <f t="shared" si="15"/>
        <v>16141.347217389175</v>
      </c>
      <c r="N26" s="85">
        <f t="shared" si="15"/>
        <v>15998.802872167635</v>
      </c>
      <c r="O26" s="85">
        <f t="shared" si="15"/>
        <v>15858.802872167635</v>
      </c>
      <c r="P26" s="85">
        <f t="shared" si="15"/>
        <v>15146.219554208448</v>
      </c>
      <c r="Q26" s="85">
        <f t="shared" si="15"/>
        <v>15006.219554208448</v>
      </c>
      <c r="R26" s="85">
        <f t="shared" si="15"/>
        <v>14866.219554208448</v>
      </c>
      <c r="S26" s="85">
        <f t="shared" si="15"/>
        <v>14045.134487792977</v>
      </c>
      <c r="T26" s="85">
        <f t="shared" si="15"/>
        <v>7639.8810638076584</v>
      </c>
      <c r="U26" s="85">
        <f t="shared" si="15"/>
        <v>7317.2582593796606</v>
      </c>
      <c r="V26" s="85">
        <f t="shared" si="15"/>
        <v>6417.6822785367431</v>
      </c>
      <c r="W26" s="85">
        <f t="shared" si="15"/>
        <v>6232.5607081177732</v>
      </c>
      <c r="X26" s="85">
        <f t="shared" si="15"/>
        <v>6273.974377955532</v>
      </c>
      <c r="Y26" s="85">
        <f t="shared" si="15"/>
        <v>6273.974377955532</v>
      </c>
      <c r="Z26" s="85">
        <f t="shared" si="15"/>
        <v>5726.045356517513</v>
      </c>
      <c r="AA26" s="85">
        <f t="shared" si="15"/>
        <v>5830.8120289377957</v>
      </c>
      <c r="AB26" s="85">
        <f t="shared" si="15"/>
        <v>5934.5787013580793</v>
      </c>
      <c r="AC26" s="85">
        <f t="shared" si="15"/>
        <v>5994.2120379807639</v>
      </c>
      <c r="AD26" s="85">
        <f t="shared" si="15"/>
        <v>5994.2120379807639</v>
      </c>
      <c r="AE26" s="85">
        <f t="shared" si="15"/>
        <v>5994.2120379807639</v>
      </c>
      <c r="AF26" s="85">
        <f t="shared" si="15"/>
        <v>6000.1286175043642</v>
      </c>
      <c r="AG26" s="85">
        <f t="shared" si="15"/>
        <v>6000.1286175043642</v>
      </c>
      <c r="AH26" s="85">
        <f t="shared" si="15"/>
        <v>6000.1286175043642</v>
      </c>
      <c r="AI26" s="85">
        <f t="shared" si="15"/>
        <v>6000.1286175043642</v>
      </c>
      <c r="AJ26" s="85">
        <f t="shared" si="15"/>
        <v>6000.1286175043642</v>
      </c>
      <c r="AK26" s="85">
        <f t="shared" si="15"/>
        <v>6219.4619629389954</v>
      </c>
      <c r="AL26" s="85">
        <f t="shared" si="15"/>
        <v>6070.4619629389954</v>
      </c>
      <c r="AM26" s="85">
        <f t="shared" si="15"/>
        <v>6070.4619629389954</v>
      </c>
      <c r="AN26" s="85">
        <f t="shared" si="15"/>
        <v>6070.4619629389954</v>
      </c>
      <c r="AO26" s="85">
        <f t="shared" si="15"/>
        <v>6418.4619820810431</v>
      </c>
      <c r="AP26" s="87">
        <f t="shared" si="15"/>
        <v>6418.4619820810431</v>
      </c>
    </row>
    <row r="27" spans="1:42" ht="15.75" customHeight="1">
      <c r="A27" s="66"/>
      <c r="B27" s="66"/>
      <c r="C27" s="66"/>
      <c r="D27" s="66"/>
      <c r="E27" s="66"/>
      <c r="F27" s="66"/>
      <c r="G27" s="66"/>
      <c r="H27" s="66"/>
      <c r="I27" s="66"/>
      <c r="J27" s="2"/>
      <c r="K27" s="2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</row>
    <row r="28" spans="1:42" ht="15.75" customHeight="1">
      <c r="A28" s="3" t="s">
        <v>69</v>
      </c>
      <c r="B28" s="66"/>
      <c r="C28" s="66"/>
      <c r="D28" s="66"/>
      <c r="E28" s="66"/>
      <c r="F28" s="66"/>
      <c r="G28" s="66"/>
      <c r="H28" s="66"/>
      <c r="I28" s="66"/>
      <c r="J28" s="2"/>
      <c r="K28" s="2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</row>
    <row r="29" spans="1:42" ht="15.75" customHeight="1">
      <c r="A29" s="57" t="s">
        <v>70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5">
        <f>208+140+375</f>
        <v>723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f>6984-223</f>
        <v>6761</v>
      </c>
      <c r="U29" s="25">
        <v>0</v>
      </c>
      <c r="V29" s="25">
        <f>-6</f>
        <v>-6</v>
      </c>
      <c r="W29" s="25">
        <v>-6</v>
      </c>
      <c r="X29" s="25">
        <v>104</v>
      </c>
      <c r="Y29" s="25">
        <v>0</v>
      </c>
      <c r="Z29" s="25">
        <v>-469</v>
      </c>
      <c r="AA29" s="25">
        <v>87</v>
      </c>
      <c r="AB29" s="25">
        <v>88</v>
      </c>
      <c r="AC29" s="25">
        <v>50</v>
      </c>
      <c r="AD29" s="25">
        <v>0</v>
      </c>
      <c r="AE29" s="25">
        <v>0</v>
      </c>
      <c r="AF29" s="25">
        <v>1</v>
      </c>
      <c r="AG29" s="25">
        <v>0</v>
      </c>
      <c r="AH29" s="25"/>
      <c r="AI29" s="25">
        <v>0</v>
      </c>
      <c r="AJ29" s="25">
        <v>0</v>
      </c>
      <c r="AK29" s="25">
        <v>184</v>
      </c>
      <c r="AL29" s="25">
        <v>0</v>
      </c>
      <c r="AM29" s="25">
        <v>0</v>
      </c>
      <c r="AN29" s="25"/>
      <c r="AO29" s="25">
        <v>290</v>
      </c>
      <c r="AP29" s="27">
        <v>0</v>
      </c>
    </row>
    <row r="30" spans="1:42">
      <c r="A30" s="47" t="s">
        <v>71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12">
        <f t="shared" ref="L30:AP30" si="16">L29+K30</f>
        <v>723</v>
      </c>
      <c r="M30" s="12">
        <f t="shared" si="16"/>
        <v>723</v>
      </c>
      <c r="N30" s="12">
        <f t="shared" si="16"/>
        <v>723</v>
      </c>
      <c r="O30" s="12">
        <f t="shared" si="16"/>
        <v>723</v>
      </c>
      <c r="P30" s="12">
        <f t="shared" si="16"/>
        <v>723</v>
      </c>
      <c r="Q30" s="12">
        <f t="shared" si="16"/>
        <v>723</v>
      </c>
      <c r="R30" s="12">
        <f t="shared" si="16"/>
        <v>723</v>
      </c>
      <c r="S30" s="12">
        <f t="shared" si="16"/>
        <v>723</v>
      </c>
      <c r="T30" s="12">
        <f t="shared" si="16"/>
        <v>7484</v>
      </c>
      <c r="U30" s="12">
        <f t="shared" si="16"/>
        <v>7484</v>
      </c>
      <c r="V30" s="12">
        <f t="shared" si="16"/>
        <v>7478</v>
      </c>
      <c r="W30" s="12">
        <f t="shared" si="16"/>
        <v>7472</v>
      </c>
      <c r="X30" s="12">
        <f t="shared" si="16"/>
        <v>7576</v>
      </c>
      <c r="Y30" s="12">
        <f t="shared" si="16"/>
        <v>7576</v>
      </c>
      <c r="Z30" s="12">
        <f t="shared" si="16"/>
        <v>7107</v>
      </c>
      <c r="AA30" s="12">
        <f t="shared" si="16"/>
        <v>7194</v>
      </c>
      <c r="AB30" s="12">
        <f t="shared" si="16"/>
        <v>7282</v>
      </c>
      <c r="AC30" s="12">
        <f t="shared" si="16"/>
        <v>7332</v>
      </c>
      <c r="AD30" s="12">
        <f t="shared" si="16"/>
        <v>7332</v>
      </c>
      <c r="AE30" s="12">
        <f t="shared" si="16"/>
        <v>7332</v>
      </c>
      <c r="AF30" s="12">
        <f t="shared" si="16"/>
        <v>7333</v>
      </c>
      <c r="AG30" s="12">
        <f t="shared" si="16"/>
        <v>7333</v>
      </c>
      <c r="AH30" s="12">
        <f t="shared" si="16"/>
        <v>7333</v>
      </c>
      <c r="AI30" s="12">
        <f t="shared" si="16"/>
        <v>7333</v>
      </c>
      <c r="AJ30" s="12">
        <f t="shared" si="16"/>
        <v>7333</v>
      </c>
      <c r="AK30" s="12">
        <f t="shared" si="16"/>
        <v>7517</v>
      </c>
      <c r="AL30" s="12">
        <f t="shared" si="16"/>
        <v>7517</v>
      </c>
      <c r="AM30" s="12">
        <f t="shared" si="16"/>
        <v>7517</v>
      </c>
      <c r="AN30" s="12">
        <f t="shared" si="16"/>
        <v>7517</v>
      </c>
      <c r="AO30" s="12">
        <f t="shared" si="16"/>
        <v>7807</v>
      </c>
      <c r="AP30" s="30">
        <f t="shared" si="16"/>
        <v>7807</v>
      </c>
    </row>
    <row r="31" spans="1:42" ht="5.25" customHeight="1">
      <c r="A31" s="47"/>
      <c r="B31" s="2"/>
      <c r="C31" s="2"/>
      <c r="D31" s="2"/>
      <c r="E31" s="2"/>
      <c r="F31" s="2"/>
      <c r="G31" s="2"/>
      <c r="H31" s="2"/>
      <c r="I31" s="2"/>
      <c r="J31" s="2"/>
      <c r="K31" s="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0"/>
    </row>
    <row r="32" spans="1:42">
      <c r="A32" s="47" t="s">
        <v>72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12">
        <f>140+430+485</f>
        <v>1055</v>
      </c>
      <c r="M32" s="12">
        <v>140</v>
      </c>
      <c r="N32" s="12">
        <v>140</v>
      </c>
      <c r="O32" s="12">
        <v>140</v>
      </c>
      <c r="P32" s="12">
        <f>140+1085</f>
        <v>1225</v>
      </c>
      <c r="Q32" s="12">
        <v>140</v>
      </c>
      <c r="R32" s="12">
        <v>140</v>
      </c>
      <c r="S32" s="12">
        <f>140+'Conversion Calculator'!D25</f>
        <v>331.7142476206119</v>
      </c>
      <c r="T32" s="12">
        <v>140</v>
      </c>
      <c r="U32" s="12">
        <f>140+'Conversion Calculator'!D27+121</f>
        <v>322.62280442799732</v>
      </c>
      <c r="V32" s="12">
        <v>897</v>
      </c>
      <c r="W32" s="12">
        <f>'Conversion Calculator'!D29+'Conversion Calculator'!D35</f>
        <v>181.44428489233871</v>
      </c>
      <c r="X32" s="12">
        <v>92</v>
      </c>
      <c r="Y32" s="12">
        <v>0</v>
      </c>
      <c r="Z32" s="12"/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149</v>
      </c>
      <c r="AM32" s="12">
        <v>0</v>
      </c>
      <c r="AN32" s="12">
        <v>0</v>
      </c>
      <c r="AO32" s="12">
        <v>0</v>
      </c>
      <c r="AP32" s="30">
        <v>0</v>
      </c>
    </row>
    <row r="33" spans="1:42" ht="15.75" customHeight="1">
      <c r="A33" s="52" t="s">
        <v>73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8">
        <f t="shared" ref="L33:AP33" si="17">L32+K33</f>
        <v>1055</v>
      </c>
      <c r="M33" s="38">
        <f t="shared" si="17"/>
        <v>1195</v>
      </c>
      <c r="N33" s="38">
        <f t="shared" si="17"/>
        <v>1335</v>
      </c>
      <c r="O33" s="38">
        <f t="shared" si="17"/>
        <v>1475</v>
      </c>
      <c r="P33" s="38">
        <f t="shared" si="17"/>
        <v>2700</v>
      </c>
      <c r="Q33" s="38">
        <f t="shared" si="17"/>
        <v>2840</v>
      </c>
      <c r="R33" s="38">
        <f t="shared" si="17"/>
        <v>2980</v>
      </c>
      <c r="S33" s="38">
        <f t="shared" si="17"/>
        <v>3311.7142476206118</v>
      </c>
      <c r="T33" s="38">
        <f t="shared" si="17"/>
        <v>3451.7142476206118</v>
      </c>
      <c r="U33" s="38">
        <f t="shared" si="17"/>
        <v>3774.3370520486092</v>
      </c>
      <c r="V33" s="38">
        <f t="shared" si="17"/>
        <v>4671.3370520486096</v>
      </c>
      <c r="W33" s="38">
        <f t="shared" si="17"/>
        <v>4852.7813369409487</v>
      </c>
      <c r="X33" s="38">
        <f t="shared" si="17"/>
        <v>4944.7813369409487</v>
      </c>
      <c r="Y33" s="38">
        <f t="shared" si="17"/>
        <v>4944.7813369409487</v>
      </c>
      <c r="Z33" s="38">
        <f t="shared" si="17"/>
        <v>4944.7813369409487</v>
      </c>
      <c r="AA33" s="38">
        <f t="shared" si="17"/>
        <v>4944.7813369409487</v>
      </c>
      <c r="AB33" s="38">
        <f t="shared" si="17"/>
        <v>4944.7813369409487</v>
      </c>
      <c r="AC33" s="38">
        <f t="shared" si="17"/>
        <v>4944.7813369409487</v>
      </c>
      <c r="AD33" s="38">
        <f t="shared" si="17"/>
        <v>4944.7813369409487</v>
      </c>
      <c r="AE33" s="38">
        <f t="shared" si="17"/>
        <v>4944.7813369409487</v>
      </c>
      <c r="AF33" s="38">
        <f t="shared" si="17"/>
        <v>4944.7813369409487</v>
      </c>
      <c r="AG33" s="38">
        <f t="shared" si="17"/>
        <v>4944.7813369409487</v>
      </c>
      <c r="AH33" s="38">
        <f t="shared" si="17"/>
        <v>4944.7813369409487</v>
      </c>
      <c r="AI33" s="38">
        <f t="shared" si="17"/>
        <v>4944.7813369409487</v>
      </c>
      <c r="AJ33" s="38">
        <f t="shared" si="17"/>
        <v>4944.7813369409487</v>
      </c>
      <c r="AK33" s="38">
        <f t="shared" si="17"/>
        <v>4944.7813369409487</v>
      </c>
      <c r="AL33" s="38">
        <f t="shared" si="17"/>
        <v>5093.7813369409487</v>
      </c>
      <c r="AM33" s="38">
        <f t="shared" si="17"/>
        <v>5093.7813369409487</v>
      </c>
      <c r="AN33" s="38">
        <f t="shared" si="17"/>
        <v>5093.7813369409487</v>
      </c>
      <c r="AO33" s="38">
        <f t="shared" si="17"/>
        <v>5093.7813369409487</v>
      </c>
      <c r="AP33" s="39">
        <f t="shared" si="17"/>
        <v>5093.7813369409487</v>
      </c>
    </row>
    <row r="34" spans="1:42" ht="4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>
      <c r="A35" s="66"/>
      <c r="B35" s="66"/>
      <c r="C35" s="66"/>
      <c r="D35" s="66"/>
      <c r="E35" s="66"/>
      <c r="F35" s="66"/>
      <c r="G35" s="66"/>
      <c r="H35" s="66"/>
      <c r="I35" s="66"/>
      <c r="J35" s="2"/>
      <c r="K35" s="2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</row>
    <row r="36" spans="1:42" ht="15.75" customHeight="1">
      <c r="A36" s="3" t="s">
        <v>12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</row>
    <row r="37" spans="1:42" ht="15.75" customHeight="1">
      <c r="A37" s="57" t="s">
        <v>13</v>
      </c>
      <c r="B37" s="24">
        <v>1538247</v>
      </c>
      <c r="C37" s="25">
        <f>B37</f>
        <v>1538247</v>
      </c>
      <c r="D37" s="25">
        <f>B37</f>
        <v>1538247</v>
      </c>
      <c r="E37" s="25">
        <f t="shared" ref="E37:K37" si="18">D37</f>
        <v>1538247</v>
      </c>
      <c r="F37" s="25">
        <f t="shared" si="18"/>
        <v>1538247</v>
      </c>
      <c r="G37" s="25">
        <f t="shared" si="18"/>
        <v>1538247</v>
      </c>
      <c r="H37" s="25">
        <f t="shared" si="18"/>
        <v>1538247</v>
      </c>
      <c r="I37" s="25">
        <f t="shared" si="18"/>
        <v>1538247</v>
      </c>
      <c r="J37" s="26">
        <f t="shared" si="18"/>
        <v>1538247</v>
      </c>
      <c r="K37" s="88">
        <f t="shared" si="18"/>
        <v>1538247</v>
      </c>
      <c r="L37" s="25">
        <f t="shared" ref="L37:AP37" si="19">L52</f>
        <v>1538247</v>
      </c>
      <c r="M37" s="25">
        <f t="shared" si="19"/>
        <v>1545747</v>
      </c>
      <c r="N37" s="25">
        <f t="shared" si="19"/>
        <v>1545747</v>
      </c>
      <c r="O37" s="25">
        <f t="shared" si="19"/>
        <v>1545747</v>
      </c>
      <c r="P37" s="25">
        <f t="shared" si="19"/>
        <v>1615622</v>
      </c>
      <c r="Q37" s="25">
        <f t="shared" si="19"/>
        <v>1615622</v>
      </c>
      <c r="R37" s="25">
        <f t="shared" si="19"/>
        <v>1615622</v>
      </c>
      <c r="S37" s="25">
        <f t="shared" si="19"/>
        <v>1577352</v>
      </c>
      <c r="T37" s="25">
        <f t="shared" si="19"/>
        <v>1682582</v>
      </c>
      <c r="U37" s="25">
        <f t="shared" si="19"/>
        <v>1682582</v>
      </c>
      <c r="V37" s="25">
        <f t="shared" si="19"/>
        <v>1698732</v>
      </c>
      <c r="W37" s="25">
        <f t="shared" si="19"/>
        <v>1720732</v>
      </c>
      <c r="X37" s="25">
        <f t="shared" si="19"/>
        <v>1794595</v>
      </c>
      <c r="Y37" s="25">
        <f t="shared" si="19"/>
        <v>1794595</v>
      </c>
      <c r="Z37" s="25">
        <f t="shared" si="19"/>
        <v>1729329</v>
      </c>
      <c r="AA37" s="25">
        <f t="shared" si="19"/>
        <v>1755479</v>
      </c>
      <c r="AB37" s="25">
        <f t="shared" si="19"/>
        <v>1781629</v>
      </c>
      <c r="AC37" s="25">
        <f t="shared" si="19"/>
        <v>1796579</v>
      </c>
      <c r="AD37" s="25">
        <f t="shared" si="19"/>
        <v>1796579</v>
      </c>
      <c r="AE37" s="25">
        <f t="shared" si="19"/>
        <v>1796579</v>
      </c>
      <c r="AF37" s="25">
        <f t="shared" si="19"/>
        <v>1811788</v>
      </c>
      <c r="AG37" s="25">
        <f t="shared" si="19"/>
        <v>1811788</v>
      </c>
      <c r="AH37" s="25">
        <f t="shared" si="19"/>
        <v>1811788</v>
      </c>
      <c r="AI37" s="25">
        <f t="shared" si="19"/>
        <v>1811788</v>
      </c>
      <c r="AJ37" s="25">
        <f t="shared" si="19"/>
        <v>1811788</v>
      </c>
      <c r="AK37" s="25">
        <f t="shared" si="19"/>
        <v>1866788</v>
      </c>
      <c r="AL37" s="25">
        <f t="shared" si="19"/>
        <v>1866788</v>
      </c>
      <c r="AM37" s="25">
        <f t="shared" si="19"/>
        <v>1866788</v>
      </c>
      <c r="AN37" s="25">
        <f t="shared" si="19"/>
        <v>1866788</v>
      </c>
      <c r="AO37" s="25">
        <f t="shared" si="19"/>
        <v>1953788</v>
      </c>
      <c r="AP37" s="27">
        <f t="shared" si="19"/>
        <v>1953788</v>
      </c>
    </row>
    <row r="38" spans="1:42">
      <c r="A38" s="47" t="s">
        <v>14</v>
      </c>
      <c r="B38" s="28">
        <f t="shared" ref="B38:J38" si="20">B26/B37</f>
        <v>1.2704201600913248E-2</v>
      </c>
      <c r="C38" s="28">
        <f t="shared" si="20"/>
        <v>1.2463082976921131E-2</v>
      </c>
      <c r="D38" s="28">
        <f t="shared" si="20"/>
        <v>1.260564785759374E-2</v>
      </c>
      <c r="E38" s="28">
        <f t="shared" si="20"/>
        <v>1.3585659520220094E-2</v>
      </c>
      <c r="F38" s="28">
        <f t="shared" si="20"/>
        <v>1.3350261693993228E-2</v>
      </c>
      <c r="G38" s="28">
        <f t="shared" si="20"/>
        <v>1.2842475883261921E-2</v>
      </c>
      <c r="H38" s="28">
        <f t="shared" si="20"/>
        <v>1.1940605117383618E-2</v>
      </c>
      <c r="I38" s="28">
        <f t="shared" si="20"/>
        <v>1.1189360356301687E-2</v>
      </c>
      <c r="J38" s="29">
        <f t="shared" si="20"/>
        <v>1.2030057591531137E-2</v>
      </c>
      <c r="K38" s="89">
        <f t="shared" ref="K38:AP38" si="21">K37*$B$39</f>
        <v>19264.211111111112</v>
      </c>
      <c r="L38" s="12">
        <f t="shared" si="21"/>
        <v>19264.211111111112</v>
      </c>
      <c r="M38" s="12">
        <f t="shared" si="21"/>
        <v>19358.137238276213</v>
      </c>
      <c r="N38" s="12">
        <f t="shared" si="21"/>
        <v>19358.137238276213</v>
      </c>
      <c r="O38" s="12">
        <f t="shared" si="21"/>
        <v>19358.137238276213</v>
      </c>
      <c r="P38" s="12">
        <f t="shared" si="21"/>
        <v>20233.215656364391</v>
      </c>
      <c r="Q38" s="12">
        <f t="shared" si="21"/>
        <v>20233.215656364391</v>
      </c>
      <c r="R38" s="12">
        <f t="shared" si="21"/>
        <v>20233.215656364391</v>
      </c>
      <c r="S38" s="12">
        <f t="shared" si="21"/>
        <v>19753.941938149943</v>
      </c>
      <c r="T38" s="12">
        <f t="shared" si="21"/>
        <v>21071.788119694404</v>
      </c>
      <c r="U38" s="12">
        <f t="shared" si="21"/>
        <v>21071.788119694404</v>
      </c>
      <c r="V38" s="12">
        <f t="shared" si="21"/>
        <v>21274.04238018992</v>
      </c>
      <c r="W38" s="12">
        <f t="shared" si="21"/>
        <v>21549.55901987421</v>
      </c>
      <c r="X38" s="12">
        <f t="shared" si="21"/>
        <v>22474.581090646981</v>
      </c>
      <c r="Y38" s="12">
        <f t="shared" si="21"/>
        <v>22474.581090646981</v>
      </c>
      <c r="Z38" s="12">
        <f t="shared" si="21"/>
        <v>21657.22340857266</v>
      </c>
      <c r="AA38" s="12">
        <f t="shared" si="21"/>
        <v>21984.712505288309</v>
      </c>
      <c r="AB38" s="12">
        <f t="shared" si="21"/>
        <v>22312.201602003955</v>
      </c>
      <c r="AC38" s="12">
        <f t="shared" si="21"/>
        <v>22499.427682153055</v>
      </c>
      <c r="AD38" s="12">
        <f t="shared" si="21"/>
        <v>22499.427682153055</v>
      </c>
      <c r="AE38" s="12">
        <f t="shared" si="21"/>
        <v>22499.427682153055</v>
      </c>
      <c r="AF38" s="12">
        <f t="shared" si="21"/>
        <v>22689.897344560257</v>
      </c>
      <c r="AG38" s="12">
        <f t="shared" si="21"/>
        <v>22689.897344560257</v>
      </c>
      <c r="AH38" s="12">
        <f t="shared" si="21"/>
        <v>22689.897344560257</v>
      </c>
      <c r="AI38" s="12">
        <f t="shared" si="21"/>
        <v>22689.897344560257</v>
      </c>
      <c r="AJ38" s="12">
        <f t="shared" si="21"/>
        <v>22689.897344560257</v>
      </c>
      <c r="AK38" s="12">
        <f t="shared" si="21"/>
        <v>23378.688943770987</v>
      </c>
      <c r="AL38" s="12">
        <f t="shared" si="21"/>
        <v>23378.688943770987</v>
      </c>
      <c r="AM38" s="12">
        <f t="shared" si="21"/>
        <v>23378.688943770987</v>
      </c>
      <c r="AN38" s="12">
        <f t="shared" si="21"/>
        <v>23378.688943770987</v>
      </c>
      <c r="AO38" s="12">
        <f t="shared" si="21"/>
        <v>24468.232018886145</v>
      </c>
      <c r="AP38" s="30">
        <f t="shared" si="21"/>
        <v>24468.232018886145</v>
      </c>
    </row>
    <row r="39" spans="1:42">
      <c r="A39" s="47" t="s">
        <v>15</v>
      </c>
      <c r="B39" s="31">
        <f>AVERAGE(B38:J38)</f>
        <v>1.2523483622013313E-2</v>
      </c>
      <c r="C39" s="2"/>
      <c r="D39" s="2"/>
      <c r="E39" s="2"/>
      <c r="F39" s="2"/>
      <c r="G39" s="2"/>
      <c r="H39" s="2"/>
      <c r="I39" s="2"/>
      <c r="J39" s="20"/>
      <c r="K39" s="9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32"/>
    </row>
    <row r="40" spans="1:42">
      <c r="A40" s="47" t="s">
        <v>16</v>
      </c>
      <c r="B40" s="12">
        <v>179849</v>
      </c>
      <c r="C40" s="2"/>
      <c r="D40" s="2"/>
      <c r="E40" s="2"/>
      <c r="F40" s="2"/>
      <c r="G40" s="2"/>
      <c r="H40" s="2"/>
      <c r="I40" s="2"/>
      <c r="J40" s="20"/>
      <c r="K40" s="9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32"/>
    </row>
    <row r="41" spans="1:42" ht="15.75" customHeight="1">
      <c r="A41" s="52" t="s">
        <v>17</v>
      </c>
      <c r="B41" s="34">
        <f>(B40*1000)/B37</f>
        <v>116.91815423660829</v>
      </c>
      <c r="C41" s="33"/>
      <c r="D41" s="33"/>
      <c r="E41" s="33"/>
      <c r="F41" s="33"/>
      <c r="G41" s="33"/>
      <c r="H41" s="33"/>
      <c r="I41" s="33"/>
      <c r="J41" s="35"/>
      <c r="K41" s="91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6"/>
    </row>
    <row r="42" spans="1:42" ht="15.75" customHeight="1">
      <c r="A42" s="2"/>
      <c r="B42" s="3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5.75" customHeight="1">
      <c r="A43" s="3" t="s">
        <v>18</v>
      </c>
      <c r="B43" s="3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5.75" customHeight="1">
      <c r="A44" s="92" t="s">
        <v>19</v>
      </c>
      <c r="B44" s="25">
        <f>B37</f>
        <v>1538247</v>
      </c>
      <c r="C44" s="25">
        <f t="shared" ref="C44:L44" si="22">B44</f>
        <v>1538247</v>
      </c>
      <c r="D44" s="25">
        <f t="shared" si="22"/>
        <v>1538247</v>
      </c>
      <c r="E44" s="25">
        <f t="shared" si="22"/>
        <v>1538247</v>
      </c>
      <c r="F44" s="25">
        <f t="shared" si="22"/>
        <v>1538247</v>
      </c>
      <c r="G44" s="25">
        <f t="shared" si="22"/>
        <v>1538247</v>
      </c>
      <c r="H44" s="25">
        <f t="shared" si="22"/>
        <v>1538247</v>
      </c>
      <c r="I44" s="25">
        <f t="shared" si="22"/>
        <v>1538247</v>
      </c>
      <c r="J44" s="25">
        <f t="shared" si="22"/>
        <v>1538247</v>
      </c>
      <c r="K44" s="25">
        <f t="shared" si="22"/>
        <v>1538247</v>
      </c>
      <c r="L44" s="25">
        <f t="shared" si="22"/>
        <v>1538247</v>
      </c>
      <c r="M44" s="25">
        <f t="shared" ref="M44:AP44" si="23">$B$44+M45-M46-M47-M48</f>
        <v>1505247</v>
      </c>
      <c r="N44" s="25">
        <f t="shared" si="23"/>
        <v>1505247</v>
      </c>
      <c r="O44" s="25">
        <f t="shared" si="23"/>
        <v>1505247</v>
      </c>
      <c r="P44" s="25">
        <f t="shared" si="23"/>
        <v>1505247</v>
      </c>
      <c r="Q44" s="25">
        <f t="shared" si="23"/>
        <v>1505247</v>
      </c>
      <c r="R44" s="25">
        <f t="shared" si="23"/>
        <v>1505247</v>
      </c>
      <c r="S44" s="25">
        <f t="shared" si="23"/>
        <v>1441977</v>
      </c>
      <c r="T44" s="25">
        <f t="shared" si="23"/>
        <v>1358332</v>
      </c>
      <c r="U44" s="25">
        <f t="shared" si="23"/>
        <v>1358332</v>
      </c>
      <c r="V44" s="25">
        <f t="shared" si="23"/>
        <v>1319832</v>
      </c>
      <c r="W44" s="25">
        <f t="shared" si="23"/>
        <v>1267994</v>
      </c>
      <c r="X44" s="25">
        <f t="shared" si="23"/>
        <v>1175768</v>
      </c>
      <c r="Y44" s="25">
        <f t="shared" si="23"/>
        <v>1175768</v>
      </c>
      <c r="Z44" s="25">
        <f t="shared" si="23"/>
        <v>1012591</v>
      </c>
      <c r="AA44" s="25">
        <f t="shared" si="23"/>
        <v>1012591</v>
      </c>
      <c r="AB44" s="25">
        <f t="shared" si="23"/>
        <v>1012591</v>
      </c>
      <c r="AC44" s="25">
        <f t="shared" si="23"/>
        <v>1012591</v>
      </c>
      <c r="AD44" s="25">
        <f t="shared" si="23"/>
        <v>1012591</v>
      </c>
      <c r="AE44" s="25">
        <f t="shared" si="23"/>
        <v>1012591</v>
      </c>
      <c r="AF44" s="25">
        <f t="shared" si="23"/>
        <v>980879</v>
      </c>
      <c r="AG44" s="25">
        <f t="shared" si="23"/>
        <v>980879</v>
      </c>
      <c r="AH44" s="25">
        <f t="shared" si="23"/>
        <v>980879</v>
      </c>
      <c r="AI44" s="25">
        <f t="shared" si="23"/>
        <v>980879</v>
      </c>
      <c r="AJ44" s="25">
        <f t="shared" si="23"/>
        <v>980879</v>
      </c>
      <c r="AK44" s="25">
        <f t="shared" si="23"/>
        <v>980879</v>
      </c>
      <c r="AL44" s="25">
        <f t="shared" si="23"/>
        <v>980879</v>
      </c>
      <c r="AM44" s="25">
        <f t="shared" si="23"/>
        <v>980879</v>
      </c>
      <c r="AN44" s="25">
        <f t="shared" si="23"/>
        <v>980879</v>
      </c>
      <c r="AO44" s="25">
        <f t="shared" si="23"/>
        <v>980879</v>
      </c>
      <c r="AP44" s="27">
        <f t="shared" si="23"/>
        <v>980879</v>
      </c>
    </row>
    <row r="45" spans="1:42">
      <c r="A45" s="93" t="s">
        <v>20</v>
      </c>
      <c r="B45" s="12"/>
      <c r="C45" s="12"/>
      <c r="D45" s="12"/>
      <c r="E45" s="12"/>
      <c r="F45" s="12"/>
      <c r="G45" s="12"/>
      <c r="H45" s="12"/>
      <c r="I45" s="12"/>
      <c r="J45" s="12"/>
      <c r="K45" s="12">
        <f>'BAU Data'!K25</f>
        <v>0</v>
      </c>
      <c r="L45" s="12">
        <f>'BAU Data'!L25</f>
        <v>0</v>
      </c>
      <c r="M45" s="12">
        <f>'BAU Data'!M25</f>
        <v>0</v>
      </c>
      <c r="N45" s="12">
        <f>'BAU Data'!N25</f>
        <v>0</v>
      </c>
      <c r="O45" s="12">
        <f>'BAU Data'!O25</f>
        <v>0</v>
      </c>
      <c r="P45" s="12">
        <f>'BAU Data'!P25</f>
        <v>0</v>
      </c>
      <c r="Q45" s="12">
        <f>'BAU Data'!Q25</f>
        <v>0</v>
      </c>
      <c r="R45" s="12">
        <f>'BAU Data'!R25</f>
        <v>0</v>
      </c>
      <c r="S45" s="12">
        <f>'BAU Data'!S25</f>
        <v>-38270</v>
      </c>
      <c r="T45" s="12">
        <f>'BAU Data'!T25</f>
        <v>-121915</v>
      </c>
      <c r="U45" s="12">
        <f>'BAU Data'!U25</f>
        <v>-121915</v>
      </c>
      <c r="V45" s="12">
        <f>'BAU Data'!V25</f>
        <v>-121915</v>
      </c>
      <c r="W45" s="12">
        <f>'BAU Data'!W25</f>
        <v>-121915</v>
      </c>
      <c r="X45" s="12">
        <f>'BAU Data'!X25</f>
        <v>-183052</v>
      </c>
      <c r="Y45" s="12">
        <f>'BAU Data'!Y25</f>
        <v>-183052</v>
      </c>
      <c r="Z45" s="12">
        <f>'BAU Data'!Z25</f>
        <v>-248318</v>
      </c>
      <c r="AA45" s="12">
        <f>'BAU Data'!AA25</f>
        <v>-248318</v>
      </c>
      <c r="AB45" s="12">
        <f>'BAU Data'!AB25</f>
        <v>-248318</v>
      </c>
      <c r="AC45" s="12">
        <f>'BAU Data'!AC25</f>
        <v>-248318</v>
      </c>
      <c r="AD45" s="12">
        <f>'BAU Data'!AD25</f>
        <v>-248318</v>
      </c>
      <c r="AE45" s="12">
        <f>'BAU Data'!AE25</f>
        <v>-248318</v>
      </c>
      <c r="AF45" s="12">
        <f>'BAU Data'!AF25</f>
        <v>-248318</v>
      </c>
      <c r="AG45" s="12">
        <f>'BAU Data'!AG25</f>
        <v>-248318</v>
      </c>
      <c r="AH45" s="12">
        <f>'BAU Data'!AH25</f>
        <v>-248318</v>
      </c>
      <c r="AI45" s="12">
        <f>'BAU Data'!AI25</f>
        <v>-248318</v>
      </c>
      <c r="AJ45" s="12">
        <f>'BAU Data'!AJ25</f>
        <v>-248318</v>
      </c>
      <c r="AK45" s="12">
        <f>'BAU Data'!AK25</f>
        <v>-248318</v>
      </c>
      <c r="AL45" s="12">
        <f>'BAU Data'!AL25</f>
        <v>-248318</v>
      </c>
      <c r="AM45" s="12">
        <f>'BAU Data'!AM25</f>
        <v>-248318</v>
      </c>
      <c r="AN45" s="12">
        <f>'BAU Data'!AN25</f>
        <v>-248318</v>
      </c>
      <c r="AO45" s="12">
        <f>'BAU Data'!AO25</f>
        <v>-248318</v>
      </c>
      <c r="AP45" s="30">
        <f>'BAU Data'!AP25</f>
        <v>-248318</v>
      </c>
    </row>
    <row r="46" spans="1:42">
      <c r="A46" s="93" t="s">
        <v>74</v>
      </c>
      <c r="B46" s="12"/>
      <c r="C46" s="12"/>
      <c r="D46" s="12"/>
      <c r="E46" s="12"/>
      <c r="F46" s="12"/>
      <c r="G46" s="12"/>
      <c r="H46" s="12"/>
      <c r="I46" s="12"/>
      <c r="J46" s="12"/>
      <c r="K46" s="12">
        <f>'BAU Data'!K26</f>
        <v>0</v>
      </c>
      <c r="L46" s="12">
        <f>'BAU Data'!L26</f>
        <v>0</v>
      </c>
      <c r="M46" s="12">
        <f>'BAU Data'!M26</f>
        <v>33000</v>
      </c>
      <c r="N46" s="12">
        <f>'BAU Data'!N26</f>
        <v>33000</v>
      </c>
      <c r="O46" s="12">
        <f>'BAU Data'!O26</f>
        <v>33000</v>
      </c>
      <c r="P46" s="12">
        <f>'BAU Data'!P26</f>
        <v>33000</v>
      </c>
      <c r="Q46" s="12">
        <f>'BAU Data'!Q26</f>
        <v>33000</v>
      </c>
      <c r="R46" s="12">
        <f>'BAU Data'!R26</f>
        <v>33000</v>
      </c>
      <c r="S46" s="12">
        <f>'BAU Data'!S26</f>
        <v>58000</v>
      </c>
      <c r="T46" s="12">
        <f>'BAU Data'!T26</f>
        <v>58000</v>
      </c>
      <c r="U46" s="12">
        <f>'BAU Data'!U26</f>
        <v>58000</v>
      </c>
      <c r="V46" s="12">
        <f>'BAU Data'!V26</f>
        <v>96500</v>
      </c>
      <c r="W46" s="12">
        <f>'BAU Data'!W26</f>
        <v>148338</v>
      </c>
      <c r="X46" s="12">
        <f>'BAU Data'!X26</f>
        <v>179427</v>
      </c>
      <c r="Y46" s="12">
        <f>'BAU Data'!Y26</f>
        <v>179427</v>
      </c>
      <c r="Z46" s="12">
        <f>'BAU Data'!Z26</f>
        <v>249827</v>
      </c>
      <c r="AA46" s="12">
        <f>'BAU Data'!AA26</f>
        <v>249827</v>
      </c>
      <c r="AB46" s="12">
        <f>'BAU Data'!AB26</f>
        <v>249827</v>
      </c>
      <c r="AC46" s="12">
        <f>'BAU Data'!AC26</f>
        <v>249827</v>
      </c>
      <c r="AD46" s="12">
        <f>'BAU Data'!AD26</f>
        <v>249827</v>
      </c>
      <c r="AE46" s="12">
        <f>'BAU Data'!AE26</f>
        <v>249827</v>
      </c>
      <c r="AF46" s="12">
        <f>'BAU Data'!AF26</f>
        <v>281539</v>
      </c>
      <c r="AG46" s="12">
        <f>'BAU Data'!AG26</f>
        <v>281539</v>
      </c>
      <c r="AH46" s="12">
        <f>'BAU Data'!AH26</f>
        <v>281539</v>
      </c>
      <c r="AI46" s="12">
        <f>'BAU Data'!AI26</f>
        <v>281539</v>
      </c>
      <c r="AJ46" s="12">
        <f>'BAU Data'!AJ26</f>
        <v>281539</v>
      </c>
      <c r="AK46" s="12">
        <f>'BAU Data'!AK26</f>
        <v>281539</v>
      </c>
      <c r="AL46" s="12">
        <f>'BAU Data'!AL26</f>
        <v>281539</v>
      </c>
      <c r="AM46" s="12">
        <f>'BAU Data'!AM26</f>
        <v>281539</v>
      </c>
      <c r="AN46" s="12">
        <f>'BAU Data'!AN26</f>
        <v>281539</v>
      </c>
      <c r="AO46" s="12">
        <f>'BAU Data'!AO26</f>
        <v>281539</v>
      </c>
      <c r="AP46" s="30">
        <f>'BAU Data'!AP26</f>
        <v>281539</v>
      </c>
    </row>
    <row r="47" spans="1:42">
      <c r="A47" s="93" t="s">
        <v>75</v>
      </c>
      <c r="B47" s="12"/>
      <c r="C47" s="12"/>
      <c r="D47" s="12"/>
      <c r="E47" s="12"/>
      <c r="F47" s="12"/>
      <c r="G47" s="12"/>
      <c r="H47" s="12"/>
      <c r="I47" s="12"/>
      <c r="J47" s="12"/>
      <c r="K47" s="12">
        <f t="shared" ref="K47:Y47" si="24">J47</f>
        <v>0</v>
      </c>
      <c r="L47" s="12">
        <f t="shared" si="24"/>
        <v>0</v>
      </c>
      <c r="M47" s="12">
        <f t="shared" si="24"/>
        <v>0</v>
      </c>
      <c r="N47" s="12">
        <f t="shared" si="24"/>
        <v>0</v>
      </c>
      <c r="O47" s="12">
        <f t="shared" si="24"/>
        <v>0</v>
      </c>
      <c r="P47" s="12">
        <f t="shared" si="24"/>
        <v>0</v>
      </c>
      <c r="Q47" s="12">
        <f t="shared" si="24"/>
        <v>0</v>
      </c>
      <c r="R47" s="12">
        <f t="shared" si="24"/>
        <v>0</v>
      </c>
      <c r="S47" s="12">
        <f t="shared" si="24"/>
        <v>0</v>
      </c>
      <c r="T47" s="12">
        <f t="shared" si="24"/>
        <v>0</v>
      </c>
      <c r="U47" s="12">
        <f t="shared" si="24"/>
        <v>0</v>
      </c>
      <c r="V47" s="12">
        <f t="shared" si="24"/>
        <v>0</v>
      </c>
      <c r="W47" s="12">
        <f t="shared" si="24"/>
        <v>0</v>
      </c>
      <c r="X47" s="12">
        <f t="shared" si="24"/>
        <v>0</v>
      </c>
      <c r="Y47" s="12">
        <f t="shared" si="24"/>
        <v>0</v>
      </c>
      <c r="Z47" s="12">
        <v>27511</v>
      </c>
      <c r="AA47" s="12">
        <f t="shared" ref="AA47:AP47" si="25">Z47</f>
        <v>27511</v>
      </c>
      <c r="AB47" s="12">
        <f t="shared" si="25"/>
        <v>27511</v>
      </c>
      <c r="AC47" s="12">
        <f t="shared" si="25"/>
        <v>27511</v>
      </c>
      <c r="AD47" s="12">
        <f t="shared" si="25"/>
        <v>27511</v>
      </c>
      <c r="AE47" s="12">
        <f t="shared" si="25"/>
        <v>27511</v>
      </c>
      <c r="AF47" s="12">
        <f t="shared" si="25"/>
        <v>27511</v>
      </c>
      <c r="AG47" s="12">
        <f t="shared" si="25"/>
        <v>27511</v>
      </c>
      <c r="AH47" s="12">
        <f t="shared" si="25"/>
        <v>27511</v>
      </c>
      <c r="AI47" s="12">
        <f t="shared" si="25"/>
        <v>27511</v>
      </c>
      <c r="AJ47" s="12">
        <f t="shared" si="25"/>
        <v>27511</v>
      </c>
      <c r="AK47" s="12">
        <f t="shared" si="25"/>
        <v>27511</v>
      </c>
      <c r="AL47" s="12">
        <f t="shared" si="25"/>
        <v>27511</v>
      </c>
      <c r="AM47" s="12">
        <f t="shared" si="25"/>
        <v>27511</v>
      </c>
      <c r="AN47" s="12">
        <f t="shared" si="25"/>
        <v>27511</v>
      </c>
      <c r="AO47" s="12">
        <f t="shared" si="25"/>
        <v>27511</v>
      </c>
      <c r="AP47" s="30">
        <f t="shared" si="25"/>
        <v>27511</v>
      </c>
    </row>
    <row r="48" spans="1:42">
      <c r="A48" s="93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>
        <f t="shared" ref="K48:AP48" si="26">J48</f>
        <v>0</v>
      </c>
      <c r="L48" s="12">
        <f t="shared" si="26"/>
        <v>0</v>
      </c>
      <c r="M48" s="12">
        <f t="shared" si="26"/>
        <v>0</v>
      </c>
      <c r="N48" s="12">
        <f t="shared" si="26"/>
        <v>0</v>
      </c>
      <c r="O48" s="12">
        <f t="shared" si="26"/>
        <v>0</v>
      </c>
      <c r="P48" s="12">
        <f t="shared" si="26"/>
        <v>0</v>
      </c>
      <c r="Q48" s="12">
        <f t="shared" si="26"/>
        <v>0</v>
      </c>
      <c r="R48" s="12">
        <f t="shared" si="26"/>
        <v>0</v>
      </c>
      <c r="S48" s="12">
        <f t="shared" si="26"/>
        <v>0</v>
      </c>
      <c r="T48" s="12">
        <f t="shared" si="26"/>
        <v>0</v>
      </c>
      <c r="U48" s="12">
        <f t="shared" si="26"/>
        <v>0</v>
      </c>
      <c r="V48" s="12">
        <f t="shared" si="26"/>
        <v>0</v>
      </c>
      <c r="W48" s="12">
        <f t="shared" si="26"/>
        <v>0</v>
      </c>
      <c r="X48" s="12">
        <f t="shared" si="26"/>
        <v>0</v>
      </c>
      <c r="Y48" s="12">
        <f t="shared" si="26"/>
        <v>0</v>
      </c>
      <c r="Z48" s="12">
        <f t="shared" si="26"/>
        <v>0</v>
      </c>
      <c r="AA48" s="12">
        <f t="shared" si="26"/>
        <v>0</v>
      </c>
      <c r="AB48" s="12">
        <f t="shared" si="26"/>
        <v>0</v>
      </c>
      <c r="AC48" s="12">
        <f t="shared" si="26"/>
        <v>0</v>
      </c>
      <c r="AD48" s="12">
        <f t="shared" si="26"/>
        <v>0</v>
      </c>
      <c r="AE48" s="12">
        <f t="shared" si="26"/>
        <v>0</v>
      </c>
      <c r="AF48" s="12">
        <f t="shared" si="26"/>
        <v>0</v>
      </c>
      <c r="AG48" s="12">
        <f t="shared" si="26"/>
        <v>0</v>
      </c>
      <c r="AH48" s="12">
        <f t="shared" si="26"/>
        <v>0</v>
      </c>
      <c r="AI48" s="12">
        <f t="shared" si="26"/>
        <v>0</v>
      </c>
      <c r="AJ48" s="12">
        <f t="shared" si="26"/>
        <v>0</v>
      </c>
      <c r="AK48" s="12">
        <f t="shared" si="26"/>
        <v>0</v>
      </c>
      <c r="AL48" s="12">
        <f t="shared" si="26"/>
        <v>0</v>
      </c>
      <c r="AM48" s="12">
        <f t="shared" si="26"/>
        <v>0</v>
      </c>
      <c r="AN48" s="12">
        <f t="shared" si="26"/>
        <v>0</v>
      </c>
      <c r="AO48" s="12">
        <f t="shared" si="26"/>
        <v>0</v>
      </c>
      <c r="AP48" s="30">
        <f t="shared" si="26"/>
        <v>0</v>
      </c>
    </row>
    <row r="49" spans="1:42">
      <c r="A49" s="93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>
        <f>'BAU Data'!K27</f>
        <v>0</v>
      </c>
      <c r="L49" s="12">
        <f>'BAU Data'!L27</f>
        <v>0</v>
      </c>
      <c r="M49" s="12">
        <f>'BAU Data'!M27</f>
        <v>7500</v>
      </c>
      <c r="N49" s="12">
        <f>'BAU Data'!N27</f>
        <v>7500</v>
      </c>
      <c r="O49" s="12">
        <f>'BAU Data'!O27</f>
        <v>7500</v>
      </c>
      <c r="P49" s="12">
        <f>'BAU Data'!P27</f>
        <v>77375</v>
      </c>
      <c r="Q49" s="12">
        <f>'BAU Data'!Q27</f>
        <v>77375</v>
      </c>
      <c r="R49" s="12">
        <f>'BAU Data'!R27</f>
        <v>77375</v>
      </c>
      <c r="S49" s="12">
        <f>'BAU Data'!S27</f>
        <v>77375</v>
      </c>
      <c r="T49" s="12">
        <f>'BAU Data'!T27</f>
        <v>266250</v>
      </c>
      <c r="U49" s="12">
        <f>'BAU Data'!U27</f>
        <v>266250</v>
      </c>
      <c r="V49" s="12">
        <f>'BAU Data'!V27</f>
        <v>282400</v>
      </c>
      <c r="W49" s="12">
        <f>'BAU Data'!W27</f>
        <v>304400</v>
      </c>
      <c r="X49" s="12">
        <f>'BAU Data'!X27</f>
        <v>304400</v>
      </c>
      <c r="Y49" s="12">
        <f>'BAU Data'!Y27</f>
        <v>304400</v>
      </c>
      <c r="Z49" s="12">
        <f>'BAU Data'!Z27</f>
        <v>304400</v>
      </c>
      <c r="AA49" s="12">
        <f>'BAU Data'!AA27</f>
        <v>330550</v>
      </c>
      <c r="AB49" s="12">
        <f>'BAU Data'!AB27</f>
        <v>356700</v>
      </c>
      <c r="AC49" s="12">
        <f>'BAU Data'!AC27</f>
        <v>371650</v>
      </c>
      <c r="AD49" s="12">
        <f>'BAU Data'!AD27</f>
        <v>371650</v>
      </c>
      <c r="AE49" s="12">
        <f>'BAU Data'!AE27</f>
        <v>371650</v>
      </c>
      <c r="AF49" s="12">
        <f>'BAU Data'!AF27</f>
        <v>386859</v>
      </c>
      <c r="AG49" s="12">
        <f>'BAU Data'!AG27</f>
        <v>386859</v>
      </c>
      <c r="AH49" s="12">
        <f>'BAU Data'!AH27</f>
        <v>386859</v>
      </c>
      <c r="AI49" s="12">
        <f>'BAU Data'!AI27</f>
        <v>386859</v>
      </c>
      <c r="AJ49" s="12">
        <f>'BAU Data'!AJ27</f>
        <v>386859</v>
      </c>
      <c r="AK49" s="12">
        <f>'BAU Data'!AK27</f>
        <v>441859</v>
      </c>
      <c r="AL49" s="12">
        <f>'BAU Data'!AL27</f>
        <v>441859</v>
      </c>
      <c r="AM49" s="12">
        <f>'BAU Data'!AM27</f>
        <v>441859</v>
      </c>
      <c r="AN49" s="12">
        <f>'BAU Data'!AN27</f>
        <v>441859</v>
      </c>
      <c r="AO49" s="12">
        <f>'BAU Data'!AO27</f>
        <v>528859</v>
      </c>
      <c r="AP49" s="30">
        <f>'BAU Data'!AP27</f>
        <v>528859</v>
      </c>
    </row>
    <row r="50" spans="1:42">
      <c r="A50" s="93" t="s">
        <v>78</v>
      </c>
      <c r="B50" s="12"/>
      <c r="C50" s="12"/>
      <c r="D50" s="12"/>
      <c r="E50" s="12"/>
      <c r="F50" s="12"/>
      <c r="G50" s="12"/>
      <c r="H50" s="12"/>
      <c r="I50" s="12"/>
      <c r="J50" s="12"/>
      <c r="K50" s="12">
        <f t="shared" ref="K50:AC50" si="27">J50</f>
        <v>0</v>
      </c>
      <c r="L50" s="12">
        <f t="shared" si="27"/>
        <v>0</v>
      </c>
      <c r="M50" s="12">
        <f t="shared" si="27"/>
        <v>0</v>
      </c>
      <c r="N50" s="12">
        <f t="shared" si="27"/>
        <v>0</v>
      </c>
      <c r="O50" s="12">
        <f t="shared" si="27"/>
        <v>0</v>
      </c>
      <c r="P50" s="12">
        <f t="shared" si="27"/>
        <v>0</v>
      </c>
      <c r="Q50" s="12">
        <f t="shared" si="27"/>
        <v>0</v>
      </c>
      <c r="R50" s="12">
        <f t="shared" si="27"/>
        <v>0</v>
      </c>
      <c r="S50" s="12">
        <f t="shared" si="27"/>
        <v>0</v>
      </c>
      <c r="T50" s="12">
        <f t="shared" si="27"/>
        <v>0</v>
      </c>
      <c r="U50" s="12">
        <f t="shared" si="27"/>
        <v>0</v>
      </c>
      <c r="V50" s="12">
        <f t="shared" si="27"/>
        <v>0</v>
      </c>
      <c r="W50" s="12">
        <f t="shared" si="27"/>
        <v>0</v>
      </c>
      <c r="X50" s="12">
        <f t="shared" si="27"/>
        <v>0</v>
      </c>
      <c r="Y50" s="12">
        <f t="shared" si="27"/>
        <v>0</v>
      </c>
      <c r="Z50" s="12">
        <f t="shared" si="27"/>
        <v>0</v>
      </c>
      <c r="AA50" s="12">
        <f t="shared" si="27"/>
        <v>0</v>
      </c>
      <c r="AB50" s="12">
        <f t="shared" si="27"/>
        <v>0</v>
      </c>
      <c r="AC50" s="12">
        <f t="shared" si="27"/>
        <v>0</v>
      </c>
      <c r="AD50" s="12">
        <v>0</v>
      </c>
      <c r="AE50" s="12">
        <f t="shared" ref="AE50:AP50" si="28">AD50</f>
        <v>0</v>
      </c>
      <c r="AF50" s="12">
        <f t="shared" si="28"/>
        <v>0</v>
      </c>
      <c r="AG50" s="12">
        <f t="shared" si="28"/>
        <v>0</v>
      </c>
      <c r="AH50" s="12">
        <f t="shared" si="28"/>
        <v>0</v>
      </c>
      <c r="AI50" s="12">
        <f t="shared" si="28"/>
        <v>0</v>
      </c>
      <c r="AJ50" s="12">
        <f t="shared" si="28"/>
        <v>0</v>
      </c>
      <c r="AK50" s="12">
        <f t="shared" si="28"/>
        <v>0</v>
      </c>
      <c r="AL50" s="12">
        <f t="shared" si="28"/>
        <v>0</v>
      </c>
      <c r="AM50" s="12">
        <f t="shared" si="28"/>
        <v>0</v>
      </c>
      <c r="AN50" s="12">
        <f t="shared" si="28"/>
        <v>0</v>
      </c>
      <c r="AO50" s="12">
        <f t="shared" si="28"/>
        <v>0</v>
      </c>
      <c r="AP50" s="30">
        <f t="shared" si="28"/>
        <v>0</v>
      </c>
    </row>
    <row r="51" spans="1:42">
      <c r="A51" s="93" t="s">
        <v>79</v>
      </c>
      <c r="B51" s="12"/>
      <c r="C51" s="12"/>
      <c r="D51" s="12"/>
      <c r="E51" s="12"/>
      <c r="F51" s="12"/>
      <c r="G51" s="12"/>
      <c r="H51" s="12"/>
      <c r="I51" s="12"/>
      <c r="J51" s="12"/>
      <c r="K51" s="12">
        <f>'BAU Data'!K28</f>
        <v>0</v>
      </c>
      <c r="L51" s="12">
        <f>'BAU Data'!L28</f>
        <v>0</v>
      </c>
      <c r="M51" s="12">
        <f>'BAU Data'!M28</f>
        <v>0</v>
      </c>
      <c r="N51" s="12">
        <f>'BAU Data'!N28</f>
        <v>0</v>
      </c>
      <c r="O51" s="12">
        <f>'BAU Data'!O28</f>
        <v>0</v>
      </c>
      <c r="P51" s="12">
        <f>'BAU Data'!P28</f>
        <v>0</v>
      </c>
      <c r="Q51" s="12">
        <f>'BAU Data'!Q28</f>
        <v>0</v>
      </c>
      <c r="R51" s="12">
        <f>'BAU Data'!R28</f>
        <v>0</v>
      </c>
      <c r="S51" s="12">
        <f>'BAU Data'!S28</f>
        <v>0</v>
      </c>
      <c r="T51" s="12">
        <f>'BAU Data'!T28</f>
        <v>0</v>
      </c>
      <c r="U51" s="12">
        <f>'BAU Data'!U28</f>
        <v>0</v>
      </c>
      <c r="V51" s="12">
        <f>'BAU Data'!V28</f>
        <v>0</v>
      </c>
      <c r="W51" s="12">
        <f>'BAU Data'!W28</f>
        <v>0</v>
      </c>
      <c r="X51" s="12">
        <f>'BAU Data'!X28</f>
        <v>135000</v>
      </c>
      <c r="Y51" s="12">
        <f>'BAU Data'!Y28</f>
        <v>135000</v>
      </c>
      <c r="Z51" s="12">
        <f>'BAU Data'!Z28</f>
        <v>135000</v>
      </c>
      <c r="AA51" s="12">
        <f>'BAU Data'!AA28</f>
        <v>135000</v>
      </c>
      <c r="AB51" s="12">
        <f>'BAU Data'!AB28</f>
        <v>135000</v>
      </c>
      <c r="AC51" s="12">
        <f>'BAU Data'!AC28</f>
        <v>135000</v>
      </c>
      <c r="AD51" s="12">
        <f>'BAU Data'!AD28</f>
        <v>135000</v>
      </c>
      <c r="AE51" s="12">
        <f>'BAU Data'!AE28</f>
        <v>135000</v>
      </c>
      <c r="AF51" s="12">
        <f>'BAU Data'!AF28</f>
        <v>135000</v>
      </c>
      <c r="AG51" s="12">
        <f>'BAU Data'!AG28</f>
        <v>135000</v>
      </c>
      <c r="AH51" s="12">
        <f>'BAU Data'!AH28</f>
        <v>135000</v>
      </c>
      <c r="AI51" s="12">
        <f>'BAU Data'!AI28</f>
        <v>135000</v>
      </c>
      <c r="AJ51" s="12">
        <f>'BAU Data'!AJ28</f>
        <v>135000</v>
      </c>
      <c r="AK51" s="12">
        <f>'BAU Data'!AK28</f>
        <v>135000</v>
      </c>
      <c r="AL51" s="12">
        <f>'BAU Data'!AL28</f>
        <v>135000</v>
      </c>
      <c r="AM51" s="12">
        <f>'BAU Data'!AM28</f>
        <v>135000</v>
      </c>
      <c r="AN51" s="12">
        <f>'BAU Data'!AN28</f>
        <v>135000</v>
      </c>
      <c r="AO51" s="12">
        <f>'BAU Data'!AO28</f>
        <v>135000</v>
      </c>
      <c r="AP51" s="30">
        <f>'BAU Data'!AP28</f>
        <v>135000</v>
      </c>
    </row>
    <row r="52" spans="1:42" ht="15.75" customHeight="1">
      <c r="A52" s="96" t="s">
        <v>24</v>
      </c>
      <c r="B52" s="38">
        <f t="shared" ref="B52:J52" si="29">SUM(B44:B51)</f>
        <v>1538247</v>
      </c>
      <c r="C52" s="38">
        <f t="shared" si="29"/>
        <v>1538247</v>
      </c>
      <c r="D52" s="38">
        <f t="shared" si="29"/>
        <v>1538247</v>
      </c>
      <c r="E52" s="38">
        <f t="shared" si="29"/>
        <v>1538247</v>
      </c>
      <c r="F52" s="38">
        <f t="shared" si="29"/>
        <v>1538247</v>
      </c>
      <c r="G52" s="38">
        <f t="shared" si="29"/>
        <v>1538247</v>
      </c>
      <c r="H52" s="38">
        <f t="shared" si="29"/>
        <v>1538247</v>
      </c>
      <c r="I52" s="38">
        <f t="shared" si="29"/>
        <v>1538247</v>
      </c>
      <c r="J52" s="38">
        <f t="shared" si="29"/>
        <v>1538247</v>
      </c>
      <c r="K52" s="38">
        <f t="shared" ref="K52:AP52" si="30">SUM(K46:K51)+K44</f>
        <v>1538247</v>
      </c>
      <c r="L52" s="38">
        <f t="shared" si="30"/>
        <v>1538247</v>
      </c>
      <c r="M52" s="38">
        <f t="shared" si="30"/>
        <v>1545747</v>
      </c>
      <c r="N52" s="38">
        <f t="shared" si="30"/>
        <v>1545747</v>
      </c>
      <c r="O52" s="38">
        <f t="shared" si="30"/>
        <v>1545747</v>
      </c>
      <c r="P52" s="38">
        <f t="shared" si="30"/>
        <v>1615622</v>
      </c>
      <c r="Q52" s="38">
        <f t="shared" si="30"/>
        <v>1615622</v>
      </c>
      <c r="R52" s="38">
        <f t="shared" si="30"/>
        <v>1615622</v>
      </c>
      <c r="S52" s="38">
        <f t="shared" si="30"/>
        <v>1577352</v>
      </c>
      <c r="T52" s="38">
        <f t="shared" si="30"/>
        <v>1682582</v>
      </c>
      <c r="U52" s="38">
        <f t="shared" si="30"/>
        <v>1682582</v>
      </c>
      <c r="V52" s="38">
        <f t="shared" si="30"/>
        <v>1698732</v>
      </c>
      <c r="W52" s="38">
        <f t="shared" si="30"/>
        <v>1720732</v>
      </c>
      <c r="X52" s="38">
        <f t="shared" si="30"/>
        <v>1794595</v>
      </c>
      <c r="Y52" s="38">
        <f t="shared" si="30"/>
        <v>1794595</v>
      </c>
      <c r="Z52" s="38">
        <f t="shared" si="30"/>
        <v>1729329</v>
      </c>
      <c r="AA52" s="38">
        <f t="shared" si="30"/>
        <v>1755479</v>
      </c>
      <c r="AB52" s="38">
        <f t="shared" si="30"/>
        <v>1781629</v>
      </c>
      <c r="AC52" s="38">
        <f t="shared" si="30"/>
        <v>1796579</v>
      </c>
      <c r="AD52" s="38">
        <f t="shared" si="30"/>
        <v>1796579</v>
      </c>
      <c r="AE52" s="38">
        <f t="shared" si="30"/>
        <v>1796579</v>
      </c>
      <c r="AF52" s="38">
        <f t="shared" si="30"/>
        <v>1811788</v>
      </c>
      <c r="AG52" s="38">
        <f t="shared" si="30"/>
        <v>1811788</v>
      </c>
      <c r="AH52" s="38">
        <f t="shared" si="30"/>
        <v>1811788</v>
      </c>
      <c r="AI52" s="38">
        <f t="shared" si="30"/>
        <v>1811788</v>
      </c>
      <c r="AJ52" s="38">
        <f t="shared" si="30"/>
        <v>1811788</v>
      </c>
      <c r="AK52" s="38">
        <f t="shared" si="30"/>
        <v>1866788</v>
      </c>
      <c r="AL52" s="38">
        <f t="shared" si="30"/>
        <v>1866788</v>
      </c>
      <c r="AM52" s="38">
        <f t="shared" si="30"/>
        <v>1866788</v>
      </c>
      <c r="AN52" s="38">
        <f t="shared" si="30"/>
        <v>1866788</v>
      </c>
      <c r="AO52" s="38">
        <f t="shared" si="30"/>
        <v>1953788</v>
      </c>
      <c r="AP52" s="39">
        <f t="shared" si="30"/>
        <v>1953788</v>
      </c>
    </row>
    <row r="53" spans="1:42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</row>
    <row r="54" spans="1:42" ht="15.75" customHeight="1">
      <c r="A54" s="21" t="s">
        <v>80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</row>
    <row r="55" spans="1:42" ht="15.75" customHeight="1">
      <c r="A55" s="92" t="s">
        <v>26</v>
      </c>
      <c r="B55" s="25">
        <f t="shared" ref="B55:AP55" si="31">B44*$B$67</f>
        <v>179849000</v>
      </c>
      <c r="C55" s="25">
        <f t="shared" si="31"/>
        <v>179849000</v>
      </c>
      <c r="D55" s="25">
        <f t="shared" si="31"/>
        <v>179849000</v>
      </c>
      <c r="E55" s="25">
        <f t="shared" si="31"/>
        <v>179849000</v>
      </c>
      <c r="F55" s="25">
        <f t="shared" si="31"/>
        <v>179849000</v>
      </c>
      <c r="G55" s="25">
        <f t="shared" si="31"/>
        <v>179849000</v>
      </c>
      <c r="H55" s="25">
        <f t="shared" si="31"/>
        <v>179849000</v>
      </c>
      <c r="I55" s="25">
        <f t="shared" si="31"/>
        <v>179849000</v>
      </c>
      <c r="J55" s="25">
        <f t="shared" si="31"/>
        <v>179849000</v>
      </c>
      <c r="K55" s="25">
        <f t="shared" si="31"/>
        <v>179849000</v>
      </c>
      <c r="L55" s="25">
        <f t="shared" si="31"/>
        <v>179849000</v>
      </c>
      <c r="M55" s="25">
        <f t="shared" si="31"/>
        <v>175990700.91019192</v>
      </c>
      <c r="N55" s="25">
        <f t="shared" si="31"/>
        <v>175990700.91019192</v>
      </c>
      <c r="O55" s="25">
        <f t="shared" si="31"/>
        <v>175990700.91019192</v>
      </c>
      <c r="P55" s="25">
        <f t="shared" si="31"/>
        <v>175990700.91019192</v>
      </c>
      <c r="Q55" s="25">
        <f t="shared" si="31"/>
        <v>175990700.91019192</v>
      </c>
      <c r="R55" s="25">
        <f t="shared" si="31"/>
        <v>175990700.91019192</v>
      </c>
      <c r="S55" s="25">
        <f t="shared" si="31"/>
        <v>168593289.29164171</v>
      </c>
      <c r="T55" s="25">
        <f t="shared" si="31"/>
        <v>158813670.28052062</v>
      </c>
      <c r="U55" s="25">
        <f t="shared" si="31"/>
        <v>158813670.28052062</v>
      </c>
      <c r="V55" s="25">
        <f t="shared" si="31"/>
        <v>154312321.34241119</v>
      </c>
      <c r="W55" s="25">
        <f t="shared" si="31"/>
        <v>148251518.0630939</v>
      </c>
      <c r="X55" s="25">
        <f t="shared" si="31"/>
        <v>137468624.37046847</v>
      </c>
      <c r="Y55" s="25">
        <f t="shared" si="31"/>
        <v>137468624.37046847</v>
      </c>
      <c r="Z55" s="25">
        <f t="shared" si="31"/>
        <v>118390270.71660142</v>
      </c>
      <c r="AA55" s="25">
        <f t="shared" si="31"/>
        <v>118390270.71660142</v>
      </c>
      <c r="AB55" s="25">
        <f t="shared" si="31"/>
        <v>118390270.71660142</v>
      </c>
      <c r="AC55" s="25">
        <f t="shared" si="31"/>
        <v>118390270.71660142</v>
      </c>
      <c r="AD55" s="25">
        <f t="shared" si="31"/>
        <v>118390270.71660142</v>
      </c>
      <c r="AE55" s="25">
        <f t="shared" si="31"/>
        <v>118390270.71660142</v>
      </c>
      <c r="AF55" s="25">
        <f t="shared" si="31"/>
        <v>114682562.2094501</v>
      </c>
      <c r="AG55" s="25">
        <f t="shared" si="31"/>
        <v>114682562.2094501</v>
      </c>
      <c r="AH55" s="25">
        <f t="shared" si="31"/>
        <v>114682562.2094501</v>
      </c>
      <c r="AI55" s="25">
        <f t="shared" si="31"/>
        <v>114682562.2094501</v>
      </c>
      <c r="AJ55" s="25">
        <f t="shared" si="31"/>
        <v>114682562.2094501</v>
      </c>
      <c r="AK55" s="25">
        <f t="shared" si="31"/>
        <v>114682562.2094501</v>
      </c>
      <c r="AL55" s="25">
        <f t="shared" si="31"/>
        <v>114682562.2094501</v>
      </c>
      <c r="AM55" s="25">
        <f t="shared" si="31"/>
        <v>114682562.2094501</v>
      </c>
      <c r="AN55" s="25">
        <f t="shared" si="31"/>
        <v>114682562.2094501</v>
      </c>
      <c r="AO55" s="25">
        <f t="shared" si="31"/>
        <v>114682562.2094501</v>
      </c>
      <c r="AP55" s="27">
        <f t="shared" si="31"/>
        <v>114682562.2094501</v>
      </c>
    </row>
    <row r="56" spans="1:42">
      <c r="A56" s="93" t="s">
        <v>81</v>
      </c>
      <c r="B56" s="12"/>
      <c r="C56" s="12"/>
      <c r="D56" s="12"/>
      <c r="E56" s="12"/>
      <c r="F56" s="12"/>
      <c r="G56" s="12"/>
      <c r="H56" s="12"/>
      <c r="I56" s="12"/>
      <c r="J56" s="12"/>
      <c r="K56" s="12">
        <f t="shared" ref="K56:AP56" si="32">K46*$B$68</f>
        <v>0</v>
      </c>
      <c r="L56" s="12">
        <f t="shared" si="32"/>
        <v>0</v>
      </c>
      <c r="M56" s="12">
        <f t="shared" si="32"/>
        <v>2640000</v>
      </c>
      <c r="N56" s="12">
        <f t="shared" si="32"/>
        <v>2640000</v>
      </c>
      <c r="O56" s="12">
        <f t="shared" si="32"/>
        <v>2640000</v>
      </c>
      <c r="P56" s="12">
        <f t="shared" si="32"/>
        <v>2640000</v>
      </c>
      <c r="Q56" s="12">
        <f t="shared" si="32"/>
        <v>2640000</v>
      </c>
      <c r="R56" s="12">
        <f t="shared" si="32"/>
        <v>2640000</v>
      </c>
      <c r="S56" s="12">
        <f t="shared" si="32"/>
        <v>4640000</v>
      </c>
      <c r="T56" s="12">
        <f t="shared" si="32"/>
        <v>4640000</v>
      </c>
      <c r="U56" s="12">
        <f t="shared" si="32"/>
        <v>4640000</v>
      </c>
      <c r="V56" s="12">
        <f t="shared" si="32"/>
        <v>7720000</v>
      </c>
      <c r="W56" s="12">
        <f t="shared" si="32"/>
        <v>11867040</v>
      </c>
      <c r="X56" s="12">
        <f t="shared" si="32"/>
        <v>14354160</v>
      </c>
      <c r="Y56" s="12">
        <f t="shared" si="32"/>
        <v>14354160</v>
      </c>
      <c r="Z56" s="12">
        <f t="shared" si="32"/>
        <v>19986160</v>
      </c>
      <c r="AA56" s="12">
        <f t="shared" si="32"/>
        <v>19986160</v>
      </c>
      <c r="AB56" s="12">
        <f t="shared" si="32"/>
        <v>19986160</v>
      </c>
      <c r="AC56" s="12">
        <f t="shared" si="32"/>
        <v>19986160</v>
      </c>
      <c r="AD56" s="12">
        <f t="shared" si="32"/>
        <v>19986160</v>
      </c>
      <c r="AE56" s="12">
        <f t="shared" si="32"/>
        <v>19986160</v>
      </c>
      <c r="AF56" s="12">
        <f t="shared" si="32"/>
        <v>22523120</v>
      </c>
      <c r="AG56" s="12">
        <f t="shared" si="32"/>
        <v>22523120</v>
      </c>
      <c r="AH56" s="12">
        <f t="shared" si="32"/>
        <v>22523120</v>
      </c>
      <c r="AI56" s="12">
        <f t="shared" si="32"/>
        <v>22523120</v>
      </c>
      <c r="AJ56" s="12">
        <f t="shared" si="32"/>
        <v>22523120</v>
      </c>
      <c r="AK56" s="12">
        <f t="shared" si="32"/>
        <v>22523120</v>
      </c>
      <c r="AL56" s="12">
        <f t="shared" si="32"/>
        <v>22523120</v>
      </c>
      <c r="AM56" s="12">
        <f t="shared" si="32"/>
        <v>22523120</v>
      </c>
      <c r="AN56" s="12">
        <f t="shared" si="32"/>
        <v>22523120</v>
      </c>
      <c r="AO56" s="12">
        <f t="shared" si="32"/>
        <v>22523120</v>
      </c>
      <c r="AP56" s="30">
        <f t="shared" si="32"/>
        <v>22523120</v>
      </c>
    </row>
    <row r="57" spans="1:42">
      <c r="A57" s="93" t="s">
        <v>82</v>
      </c>
      <c r="B57" s="12"/>
      <c r="C57" s="12"/>
      <c r="D57" s="12"/>
      <c r="E57" s="12"/>
      <c r="F57" s="12"/>
      <c r="G57" s="12"/>
      <c r="H57" s="12"/>
      <c r="I57" s="12"/>
      <c r="J57" s="12"/>
      <c r="K57" s="12">
        <f t="shared" ref="K57:AP57" si="33">K47*$B$69</f>
        <v>0</v>
      </c>
      <c r="L57" s="12">
        <f t="shared" si="33"/>
        <v>0</v>
      </c>
      <c r="M57" s="12">
        <f t="shared" si="33"/>
        <v>0</v>
      </c>
      <c r="N57" s="12">
        <f t="shared" si="33"/>
        <v>0</v>
      </c>
      <c r="O57" s="12">
        <f t="shared" si="33"/>
        <v>0</v>
      </c>
      <c r="P57" s="12">
        <f t="shared" si="33"/>
        <v>0</v>
      </c>
      <c r="Q57" s="12">
        <f t="shared" si="33"/>
        <v>0</v>
      </c>
      <c r="R57" s="12">
        <f t="shared" si="33"/>
        <v>0</v>
      </c>
      <c r="S57" s="12">
        <f t="shared" si="33"/>
        <v>0</v>
      </c>
      <c r="T57" s="12">
        <f t="shared" si="33"/>
        <v>0</v>
      </c>
      <c r="U57" s="12">
        <f t="shared" si="33"/>
        <v>0</v>
      </c>
      <c r="V57" s="12">
        <f t="shared" si="33"/>
        <v>0</v>
      </c>
      <c r="W57" s="12">
        <f t="shared" si="33"/>
        <v>0</v>
      </c>
      <c r="X57" s="12">
        <f t="shared" si="33"/>
        <v>0</v>
      </c>
      <c r="Y57" s="12">
        <f t="shared" si="33"/>
        <v>0</v>
      </c>
      <c r="Z57" s="12">
        <f t="shared" si="33"/>
        <v>2200880</v>
      </c>
      <c r="AA57" s="12">
        <f t="shared" si="33"/>
        <v>2200880</v>
      </c>
      <c r="AB57" s="12">
        <f t="shared" si="33"/>
        <v>2200880</v>
      </c>
      <c r="AC57" s="12">
        <f t="shared" si="33"/>
        <v>2200880</v>
      </c>
      <c r="AD57" s="12">
        <f t="shared" si="33"/>
        <v>2200880</v>
      </c>
      <c r="AE57" s="12">
        <f t="shared" si="33"/>
        <v>2200880</v>
      </c>
      <c r="AF57" s="12">
        <f t="shared" si="33"/>
        <v>2200880</v>
      </c>
      <c r="AG57" s="12">
        <f t="shared" si="33"/>
        <v>2200880</v>
      </c>
      <c r="AH57" s="12">
        <f t="shared" si="33"/>
        <v>2200880</v>
      </c>
      <c r="AI57" s="12">
        <f t="shared" si="33"/>
        <v>2200880</v>
      </c>
      <c r="AJ57" s="12">
        <f t="shared" si="33"/>
        <v>2200880</v>
      </c>
      <c r="AK57" s="12">
        <f t="shared" si="33"/>
        <v>2200880</v>
      </c>
      <c r="AL57" s="12">
        <f t="shared" si="33"/>
        <v>2200880</v>
      </c>
      <c r="AM57" s="12">
        <f t="shared" si="33"/>
        <v>2200880</v>
      </c>
      <c r="AN57" s="12">
        <f t="shared" si="33"/>
        <v>2200880</v>
      </c>
      <c r="AO57" s="12">
        <f t="shared" si="33"/>
        <v>2200880</v>
      </c>
      <c r="AP57" s="30">
        <f t="shared" si="33"/>
        <v>2200880</v>
      </c>
    </row>
    <row r="58" spans="1:42">
      <c r="A58" s="93" t="s">
        <v>83</v>
      </c>
      <c r="B58" s="12"/>
      <c r="C58" s="12"/>
      <c r="D58" s="12"/>
      <c r="E58" s="12"/>
      <c r="F58" s="12"/>
      <c r="G58" s="12"/>
      <c r="H58" s="12"/>
      <c r="I58" s="12"/>
      <c r="J58" s="12"/>
      <c r="K58" s="12">
        <f t="shared" ref="K58:AP58" si="34">K48*$B$70</f>
        <v>0</v>
      </c>
      <c r="L58" s="12">
        <f t="shared" si="34"/>
        <v>0</v>
      </c>
      <c r="M58" s="12">
        <f t="shared" si="34"/>
        <v>0</v>
      </c>
      <c r="N58" s="12">
        <f t="shared" si="34"/>
        <v>0</v>
      </c>
      <c r="O58" s="12">
        <f t="shared" si="34"/>
        <v>0</v>
      </c>
      <c r="P58" s="12">
        <f t="shared" si="34"/>
        <v>0</v>
      </c>
      <c r="Q58" s="12">
        <f t="shared" si="34"/>
        <v>0</v>
      </c>
      <c r="R58" s="12">
        <f t="shared" si="34"/>
        <v>0</v>
      </c>
      <c r="S58" s="12">
        <f t="shared" si="34"/>
        <v>0</v>
      </c>
      <c r="T58" s="12">
        <f t="shared" si="34"/>
        <v>0</v>
      </c>
      <c r="U58" s="12">
        <f t="shared" si="34"/>
        <v>0</v>
      </c>
      <c r="V58" s="12">
        <f t="shared" si="34"/>
        <v>0</v>
      </c>
      <c r="W58" s="12">
        <f t="shared" si="34"/>
        <v>0</v>
      </c>
      <c r="X58" s="12">
        <f t="shared" si="34"/>
        <v>0</v>
      </c>
      <c r="Y58" s="12">
        <f t="shared" si="34"/>
        <v>0</v>
      </c>
      <c r="Z58" s="12">
        <f t="shared" si="34"/>
        <v>0</v>
      </c>
      <c r="AA58" s="12">
        <f t="shared" si="34"/>
        <v>0</v>
      </c>
      <c r="AB58" s="12">
        <f t="shared" si="34"/>
        <v>0</v>
      </c>
      <c r="AC58" s="12">
        <f t="shared" si="34"/>
        <v>0</v>
      </c>
      <c r="AD58" s="12">
        <f t="shared" si="34"/>
        <v>0</v>
      </c>
      <c r="AE58" s="12">
        <f t="shared" si="34"/>
        <v>0</v>
      </c>
      <c r="AF58" s="12">
        <f t="shared" si="34"/>
        <v>0</v>
      </c>
      <c r="AG58" s="12">
        <f t="shared" si="34"/>
        <v>0</v>
      </c>
      <c r="AH58" s="12">
        <f t="shared" si="34"/>
        <v>0</v>
      </c>
      <c r="AI58" s="12">
        <f t="shared" si="34"/>
        <v>0</v>
      </c>
      <c r="AJ58" s="12">
        <f t="shared" si="34"/>
        <v>0</v>
      </c>
      <c r="AK58" s="12">
        <f t="shared" si="34"/>
        <v>0</v>
      </c>
      <c r="AL58" s="12">
        <f t="shared" si="34"/>
        <v>0</v>
      </c>
      <c r="AM58" s="12">
        <f t="shared" si="34"/>
        <v>0</v>
      </c>
      <c r="AN58" s="12">
        <f t="shared" si="34"/>
        <v>0</v>
      </c>
      <c r="AO58" s="12">
        <f t="shared" si="34"/>
        <v>0</v>
      </c>
      <c r="AP58" s="30">
        <f t="shared" si="34"/>
        <v>0</v>
      </c>
    </row>
    <row r="59" spans="1:42">
      <c r="A59" s="93" t="s">
        <v>84</v>
      </c>
      <c r="B59" s="12"/>
      <c r="C59" s="12"/>
      <c r="D59" s="12"/>
      <c r="E59" s="12"/>
      <c r="F59" s="12"/>
      <c r="G59" s="12"/>
      <c r="H59" s="12"/>
      <c r="I59" s="12"/>
      <c r="J59" s="12"/>
      <c r="K59" s="12">
        <f t="shared" ref="K59:AP59" si="35">K49*$B$71</f>
        <v>0</v>
      </c>
      <c r="L59" s="12">
        <f t="shared" si="35"/>
        <v>0</v>
      </c>
      <c r="M59" s="12">
        <f t="shared" si="35"/>
        <v>600000</v>
      </c>
      <c r="N59" s="12">
        <f t="shared" si="35"/>
        <v>600000</v>
      </c>
      <c r="O59" s="12">
        <f t="shared" si="35"/>
        <v>600000</v>
      </c>
      <c r="P59" s="12">
        <f t="shared" si="35"/>
        <v>6190000</v>
      </c>
      <c r="Q59" s="12">
        <f t="shared" si="35"/>
        <v>6190000</v>
      </c>
      <c r="R59" s="12">
        <f t="shared" si="35"/>
        <v>6190000</v>
      </c>
      <c r="S59" s="12">
        <f t="shared" si="35"/>
        <v>6190000</v>
      </c>
      <c r="T59" s="12">
        <f t="shared" si="35"/>
        <v>21300000</v>
      </c>
      <c r="U59" s="12">
        <f t="shared" si="35"/>
        <v>21300000</v>
      </c>
      <c r="V59" s="12">
        <f t="shared" si="35"/>
        <v>22592000</v>
      </c>
      <c r="W59" s="12">
        <f t="shared" si="35"/>
        <v>24352000</v>
      </c>
      <c r="X59" s="12">
        <f t="shared" si="35"/>
        <v>24352000</v>
      </c>
      <c r="Y59" s="12">
        <f t="shared" si="35"/>
        <v>24352000</v>
      </c>
      <c r="Z59" s="12">
        <f t="shared" si="35"/>
        <v>24352000</v>
      </c>
      <c r="AA59" s="12">
        <f t="shared" si="35"/>
        <v>26444000</v>
      </c>
      <c r="AB59" s="12">
        <f t="shared" si="35"/>
        <v>28536000</v>
      </c>
      <c r="AC59" s="12">
        <f t="shared" si="35"/>
        <v>29732000</v>
      </c>
      <c r="AD59" s="12">
        <f t="shared" si="35"/>
        <v>29732000</v>
      </c>
      <c r="AE59" s="12">
        <f t="shared" si="35"/>
        <v>29732000</v>
      </c>
      <c r="AF59" s="12">
        <f t="shared" si="35"/>
        <v>30948720</v>
      </c>
      <c r="AG59" s="12">
        <f t="shared" si="35"/>
        <v>30948720</v>
      </c>
      <c r="AH59" s="12">
        <f t="shared" si="35"/>
        <v>30948720</v>
      </c>
      <c r="AI59" s="12">
        <f t="shared" si="35"/>
        <v>30948720</v>
      </c>
      <c r="AJ59" s="12">
        <f t="shared" si="35"/>
        <v>30948720</v>
      </c>
      <c r="AK59" s="12">
        <f t="shared" si="35"/>
        <v>35348720</v>
      </c>
      <c r="AL59" s="12">
        <f t="shared" si="35"/>
        <v>35348720</v>
      </c>
      <c r="AM59" s="12">
        <f t="shared" si="35"/>
        <v>35348720</v>
      </c>
      <c r="AN59" s="12">
        <f t="shared" si="35"/>
        <v>35348720</v>
      </c>
      <c r="AO59" s="12">
        <f t="shared" si="35"/>
        <v>42308720</v>
      </c>
      <c r="AP59" s="30">
        <f t="shared" si="35"/>
        <v>42308720</v>
      </c>
    </row>
    <row r="60" spans="1:42">
      <c r="A60" s="93" t="s">
        <v>85</v>
      </c>
      <c r="B60" s="12"/>
      <c r="C60" s="12"/>
      <c r="D60" s="12"/>
      <c r="E60" s="12"/>
      <c r="F60" s="12"/>
      <c r="G60" s="12"/>
      <c r="H60" s="12"/>
      <c r="I60" s="12"/>
      <c r="J60" s="12"/>
      <c r="K60" s="12">
        <f t="shared" ref="K60:AP60" si="36">K50*$B$72</f>
        <v>0</v>
      </c>
      <c r="L60" s="12">
        <f t="shared" si="36"/>
        <v>0</v>
      </c>
      <c r="M60" s="12">
        <f t="shared" si="36"/>
        <v>0</v>
      </c>
      <c r="N60" s="12">
        <f t="shared" si="36"/>
        <v>0</v>
      </c>
      <c r="O60" s="12">
        <f t="shared" si="36"/>
        <v>0</v>
      </c>
      <c r="P60" s="12">
        <f t="shared" si="36"/>
        <v>0</v>
      </c>
      <c r="Q60" s="12">
        <f t="shared" si="36"/>
        <v>0</v>
      </c>
      <c r="R60" s="12">
        <f t="shared" si="36"/>
        <v>0</v>
      </c>
      <c r="S60" s="12">
        <f t="shared" si="36"/>
        <v>0</v>
      </c>
      <c r="T60" s="12">
        <f t="shared" si="36"/>
        <v>0</v>
      </c>
      <c r="U60" s="12">
        <f t="shared" si="36"/>
        <v>0</v>
      </c>
      <c r="V60" s="12">
        <f t="shared" si="36"/>
        <v>0</v>
      </c>
      <c r="W60" s="12">
        <f t="shared" si="36"/>
        <v>0</v>
      </c>
      <c r="X60" s="12">
        <f t="shared" si="36"/>
        <v>0</v>
      </c>
      <c r="Y60" s="12">
        <f t="shared" si="36"/>
        <v>0</v>
      </c>
      <c r="Z60" s="12">
        <f t="shared" si="36"/>
        <v>0</v>
      </c>
      <c r="AA60" s="12">
        <f t="shared" si="36"/>
        <v>0</v>
      </c>
      <c r="AB60" s="12">
        <f t="shared" si="36"/>
        <v>0</v>
      </c>
      <c r="AC60" s="12">
        <f t="shared" si="36"/>
        <v>0</v>
      </c>
      <c r="AD60" s="12">
        <f t="shared" si="36"/>
        <v>0</v>
      </c>
      <c r="AE60" s="12">
        <f t="shared" si="36"/>
        <v>0</v>
      </c>
      <c r="AF60" s="12">
        <f t="shared" si="36"/>
        <v>0</v>
      </c>
      <c r="AG60" s="12">
        <f t="shared" si="36"/>
        <v>0</v>
      </c>
      <c r="AH60" s="12">
        <f t="shared" si="36"/>
        <v>0</v>
      </c>
      <c r="AI60" s="12">
        <f t="shared" si="36"/>
        <v>0</v>
      </c>
      <c r="AJ60" s="12">
        <f t="shared" si="36"/>
        <v>0</v>
      </c>
      <c r="AK60" s="12">
        <f t="shared" si="36"/>
        <v>0</v>
      </c>
      <c r="AL60" s="12">
        <f t="shared" si="36"/>
        <v>0</v>
      </c>
      <c r="AM60" s="12">
        <f t="shared" si="36"/>
        <v>0</v>
      </c>
      <c r="AN60" s="12">
        <f t="shared" si="36"/>
        <v>0</v>
      </c>
      <c r="AO60" s="12">
        <f t="shared" si="36"/>
        <v>0</v>
      </c>
      <c r="AP60" s="30">
        <f t="shared" si="36"/>
        <v>0</v>
      </c>
    </row>
    <row r="61" spans="1:42">
      <c r="A61" s="93" t="s">
        <v>86</v>
      </c>
      <c r="B61" s="12"/>
      <c r="C61" s="12"/>
      <c r="D61" s="12"/>
      <c r="E61" s="12"/>
      <c r="F61" s="12"/>
      <c r="G61" s="12"/>
      <c r="H61" s="12"/>
      <c r="I61" s="12"/>
      <c r="J61" s="12"/>
      <c r="K61" s="12">
        <f t="shared" ref="K61:AP61" si="37">K51*$B$73</f>
        <v>0</v>
      </c>
      <c r="L61" s="12">
        <f t="shared" si="37"/>
        <v>0</v>
      </c>
      <c r="M61" s="12">
        <f t="shared" si="37"/>
        <v>0</v>
      </c>
      <c r="N61" s="12">
        <f t="shared" si="37"/>
        <v>0</v>
      </c>
      <c r="O61" s="12">
        <f t="shared" si="37"/>
        <v>0</v>
      </c>
      <c r="P61" s="12">
        <f t="shared" si="37"/>
        <v>0</v>
      </c>
      <c r="Q61" s="12">
        <f t="shared" si="37"/>
        <v>0</v>
      </c>
      <c r="R61" s="12">
        <f t="shared" si="37"/>
        <v>0</v>
      </c>
      <c r="S61" s="12">
        <f t="shared" si="37"/>
        <v>0</v>
      </c>
      <c r="T61" s="12">
        <f t="shared" si="37"/>
        <v>0</v>
      </c>
      <c r="U61" s="12">
        <f t="shared" si="37"/>
        <v>0</v>
      </c>
      <c r="V61" s="12">
        <f t="shared" si="37"/>
        <v>0</v>
      </c>
      <c r="W61" s="12">
        <f t="shared" si="37"/>
        <v>0</v>
      </c>
      <c r="X61" s="12">
        <f t="shared" si="37"/>
        <v>10800000</v>
      </c>
      <c r="Y61" s="12">
        <f t="shared" si="37"/>
        <v>10800000</v>
      </c>
      <c r="Z61" s="12">
        <f t="shared" si="37"/>
        <v>10800000</v>
      </c>
      <c r="AA61" s="12">
        <f t="shared" si="37"/>
        <v>10800000</v>
      </c>
      <c r="AB61" s="12">
        <f t="shared" si="37"/>
        <v>10800000</v>
      </c>
      <c r="AC61" s="12">
        <f t="shared" si="37"/>
        <v>10800000</v>
      </c>
      <c r="AD61" s="12">
        <f t="shared" si="37"/>
        <v>10800000</v>
      </c>
      <c r="AE61" s="12">
        <f t="shared" si="37"/>
        <v>10800000</v>
      </c>
      <c r="AF61" s="12">
        <f t="shared" si="37"/>
        <v>10800000</v>
      </c>
      <c r="AG61" s="12">
        <f t="shared" si="37"/>
        <v>10800000</v>
      </c>
      <c r="AH61" s="12">
        <f t="shared" si="37"/>
        <v>10800000</v>
      </c>
      <c r="AI61" s="12">
        <f t="shared" si="37"/>
        <v>10800000</v>
      </c>
      <c r="AJ61" s="12">
        <f t="shared" si="37"/>
        <v>10800000</v>
      </c>
      <c r="AK61" s="12">
        <f t="shared" si="37"/>
        <v>10800000</v>
      </c>
      <c r="AL61" s="12">
        <f t="shared" si="37"/>
        <v>10800000</v>
      </c>
      <c r="AM61" s="12">
        <f t="shared" si="37"/>
        <v>10800000</v>
      </c>
      <c r="AN61" s="12">
        <f t="shared" si="37"/>
        <v>10800000</v>
      </c>
      <c r="AO61" s="12">
        <f t="shared" si="37"/>
        <v>10800000</v>
      </c>
      <c r="AP61" s="30">
        <f t="shared" si="37"/>
        <v>10800000</v>
      </c>
    </row>
    <row r="62" spans="1:42" ht="15.75" customHeight="1">
      <c r="A62" s="96" t="s">
        <v>30</v>
      </c>
      <c r="B62" s="38">
        <f t="shared" ref="B62:AP62" si="38">SUM(B55:B61)</f>
        <v>179849000</v>
      </c>
      <c r="C62" s="38">
        <f t="shared" si="38"/>
        <v>179849000</v>
      </c>
      <c r="D62" s="38">
        <f t="shared" si="38"/>
        <v>179849000</v>
      </c>
      <c r="E62" s="38">
        <f t="shared" si="38"/>
        <v>179849000</v>
      </c>
      <c r="F62" s="38">
        <f t="shared" si="38"/>
        <v>179849000</v>
      </c>
      <c r="G62" s="38">
        <f t="shared" si="38"/>
        <v>179849000</v>
      </c>
      <c r="H62" s="38">
        <f t="shared" si="38"/>
        <v>179849000</v>
      </c>
      <c r="I62" s="38">
        <f t="shared" si="38"/>
        <v>179849000</v>
      </c>
      <c r="J62" s="38">
        <f t="shared" si="38"/>
        <v>179849000</v>
      </c>
      <c r="K62" s="38">
        <f t="shared" si="38"/>
        <v>179849000</v>
      </c>
      <c r="L62" s="38">
        <f t="shared" si="38"/>
        <v>179849000</v>
      </c>
      <c r="M62" s="38">
        <f t="shared" si="38"/>
        <v>179230700.91019192</v>
      </c>
      <c r="N62" s="38">
        <f t="shared" si="38"/>
        <v>179230700.91019192</v>
      </c>
      <c r="O62" s="38">
        <f t="shared" si="38"/>
        <v>179230700.91019192</v>
      </c>
      <c r="P62" s="38">
        <f t="shared" si="38"/>
        <v>184820700.91019192</v>
      </c>
      <c r="Q62" s="38">
        <f t="shared" si="38"/>
        <v>184820700.91019192</v>
      </c>
      <c r="R62" s="38">
        <f t="shared" si="38"/>
        <v>184820700.91019192</v>
      </c>
      <c r="S62" s="38">
        <f t="shared" si="38"/>
        <v>179423289.29164171</v>
      </c>
      <c r="T62" s="38">
        <f t="shared" si="38"/>
        <v>184753670.28052062</v>
      </c>
      <c r="U62" s="38">
        <f t="shared" si="38"/>
        <v>184753670.28052062</v>
      </c>
      <c r="V62" s="38">
        <f t="shared" si="38"/>
        <v>184624321.34241119</v>
      </c>
      <c r="W62" s="38">
        <f t="shared" si="38"/>
        <v>184470558.0630939</v>
      </c>
      <c r="X62" s="38">
        <f t="shared" si="38"/>
        <v>186974784.37046847</v>
      </c>
      <c r="Y62" s="38">
        <f t="shared" si="38"/>
        <v>186974784.37046847</v>
      </c>
      <c r="Z62" s="38">
        <f t="shared" si="38"/>
        <v>175729310.71660143</v>
      </c>
      <c r="AA62" s="38">
        <f t="shared" si="38"/>
        <v>177821310.71660143</v>
      </c>
      <c r="AB62" s="38">
        <f t="shared" si="38"/>
        <v>179913310.71660143</v>
      </c>
      <c r="AC62" s="38">
        <f t="shared" si="38"/>
        <v>181109310.71660143</v>
      </c>
      <c r="AD62" s="38">
        <f t="shared" si="38"/>
        <v>181109310.71660143</v>
      </c>
      <c r="AE62" s="38">
        <f t="shared" si="38"/>
        <v>181109310.71660143</v>
      </c>
      <c r="AF62" s="38">
        <f t="shared" si="38"/>
        <v>181155282.2094501</v>
      </c>
      <c r="AG62" s="38">
        <f t="shared" si="38"/>
        <v>181155282.2094501</v>
      </c>
      <c r="AH62" s="38">
        <f t="shared" si="38"/>
        <v>181155282.2094501</v>
      </c>
      <c r="AI62" s="38">
        <f t="shared" si="38"/>
        <v>181155282.2094501</v>
      </c>
      <c r="AJ62" s="38">
        <f t="shared" si="38"/>
        <v>181155282.2094501</v>
      </c>
      <c r="AK62" s="38">
        <f t="shared" si="38"/>
        <v>185555282.2094501</v>
      </c>
      <c r="AL62" s="38">
        <f t="shared" si="38"/>
        <v>185555282.2094501</v>
      </c>
      <c r="AM62" s="38">
        <f t="shared" si="38"/>
        <v>185555282.2094501</v>
      </c>
      <c r="AN62" s="38">
        <f t="shared" si="38"/>
        <v>185555282.2094501</v>
      </c>
      <c r="AO62" s="38">
        <f t="shared" si="38"/>
        <v>192515282.2094501</v>
      </c>
      <c r="AP62" s="39">
        <f t="shared" si="38"/>
        <v>192515282.2094501</v>
      </c>
    </row>
    <row r="63" spans="1:42" ht="15.75" customHeight="1">
      <c r="A63" s="66"/>
      <c r="B63" s="40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</row>
    <row r="64" spans="1:42" ht="15.75" customHeight="1">
      <c r="A64" s="41" t="s">
        <v>31</v>
      </c>
      <c r="B64" s="40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</row>
    <row r="65" spans="1:42" ht="15.75" customHeight="1">
      <c r="A65" s="57" t="s">
        <v>32</v>
      </c>
      <c r="B65" s="42">
        <f>(131543*1000)/B37</f>
        <v>85.514875049325624</v>
      </c>
      <c r="C65" s="66"/>
      <c r="D65" s="43" t="s">
        <v>33</v>
      </c>
      <c r="E65" s="44"/>
      <c r="F65" s="44"/>
      <c r="G65" s="45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</row>
    <row r="66" spans="1:42">
      <c r="A66" s="47" t="s">
        <v>34</v>
      </c>
      <c r="B66" s="46">
        <f>(48306*1000)/B37</f>
        <v>31.403279187282667</v>
      </c>
      <c r="C66" s="66"/>
      <c r="D66" s="47" t="s">
        <v>5</v>
      </c>
      <c r="E66" s="48">
        <f t="shared" ref="E66:G66" si="39">I19/I26</f>
        <v>7.1055077852660931E-3</v>
      </c>
      <c r="F66" s="48">
        <f t="shared" si="39"/>
        <v>7.0412640771242698E-3</v>
      </c>
      <c r="G66" s="49">
        <f t="shared" si="39"/>
        <v>6.8805095707562035E-3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</row>
    <row r="67" spans="1:42">
      <c r="A67" s="47" t="s">
        <v>35</v>
      </c>
      <c r="B67" s="46">
        <f>B41</f>
        <v>116.91815423660829</v>
      </c>
      <c r="C67" s="66"/>
      <c r="D67" s="47" t="s">
        <v>36</v>
      </c>
      <c r="E67" s="50">
        <f t="shared" ref="E67:G67" si="40">I20/I26</f>
        <v>9.2958401115500813E-3</v>
      </c>
      <c r="F67" s="50">
        <f t="shared" si="40"/>
        <v>8.6462183602446889E-3</v>
      </c>
      <c r="G67" s="51">
        <f t="shared" si="40"/>
        <v>8.6957466928988363E-3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</row>
    <row r="68" spans="1:42" ht="15.75" customHeight="1">
      <c r="A68" s="47" t="s">
        <v>87</v>
      </c>
      <c r="B68" s="46">
        <v>80</v>
      </c>
      <c r="C68" s="66"/>
      <c r="D68" s="52" t="s">
        <v>38</v>
      </c>
      <c r="E68" s="53">
        <f t="shared" ref="E68:G68" si="41">I21/I26</f>
        <v>1.6837090402045087E-2</v>
      </c>
      <c r="F68" s="53">
        <f t="shared" si="41"/>
        <v>1.609277392300543E-2</v>
      </c>
      <c r="G68" s="54">
        <f t="shared" si="41"/>
        <v>1.5983869389884674E-2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</row>
    <row r="69" spans="1:42" ht="15.75" customHeight="1">
      <c r="A69" s="47" t="s">
        <v>88</v>
      </c>
      <c r="B69" s="46">
        <v>80</v>
      </c>
      <c r="C69" s="66"/>
      <c r="D69" s="2"/>
      <c r="E69" s="55"/>
      <c r="F69" s="55"/>
      <c r="G69" s="55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</row>
    <row r="70" spans="1:42">
      <c r="A70" s="47" t="s">
        <v>89</v>
      </c>
      <c r="B70" s="46">
        <v>80</v>
      </c>
      <c r="C70" s="66"/>
      <c r="D70" s="2"/>
      <c r="E70" s="55"/>
      <c r="F70" s="55"/>
      <c r="G70" s="55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</row>
    <row r="71" spans="1:42">
      <c r="A71" s="47" t="s">
        <v>90</v>
      </c>
      <c r="B71" s="46">
        <v>80</v>
      </c>
      <c r="C71" s="66"/>
      <c r="D71" s="2"/>
      <c r="E71" s="55"/>
      <c r="F71" s="55"/>
      <c r="G71" s="55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</row>
    <row r="72" spans="1:42">
      <c r="A72" s="47" t="s">
        <v>91</v>
      </c>
      <c r="B72" s="46">
        <f>B67*2.5</f>
        <v>292.2953855915207</v>
      </c>
      <c r="C72" s="66"/>
      <c r="D72" s="2"/>
      <c r="E72" s="55"/>
      <c r="F72" s="55"/>
      <c r="G72" s="55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</row>
    <row r="73" spans="1:42">
      <c r="A73" s="47" t="s">
        <v>92</v>
      </c>
      <c r="B73" s="46">
        <v>80</v>
      </c>
      <c r="C73" s="66"/>
      <c r="D73" s="2"/>
      <c r="E73" s="55"/>
      <c r="F73" s="55"/>
      <c r="G73" s="55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</row>
    <row r="74" spans="1:42">
      <c r="A74" s="47" t="s">
        <v>39</v>
      </c>
      <c r="B74" s="49">
        <f>B65/B67</f>
        <v>0.73140801450105364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</row>
    <row r="75" spans="1:42" ht="15.75" customHeight="1">
      <c r="A75" s="47" t="s">
        <v>40</v>
      </c>
      <c r="B75" s="49">
        <f>B66/B67</f>
        <v>0.26859198549894636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</row>
    <row r="76" spans="1:42" ht="15.75" customHeight="1">
      <c r="A76" s="47" t="s">
        <v>41</v>
      </c>
      <c r="B76" s="56">
        <f>K18/(B62*B74)</f>
        <v>5.7030780809317106E-5</v>
      </c>
      <c r="C76" s="66"/>
      <c r="D76" s="57"/>
      <c r="E76" s="23"/>
      <c r="F76" s="58" t="s">
        <v>42</v>
      </c>
      <c r="G76" s="23"/>
      <c r="H76" s="23"/>
      <c r="I76" s="23"/>
      <c r="J76" s="59"/>
      <c r="K76" s="60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61"/>
      <c r="AK76" s="66"/>
      <c r="AL76" s="66"/>
      <c r="AM76" s="66"/>
      <c r="AN76" s="66"/>
      <c r="AO76" s="66"/>
      <c r="AP76" s="66"/>
    </row>
    <row r="77" spans="1:42">
      <c r="A77" s="47" t="s">
        <v>43</v>
      </c>
      <c r="B77" s="56">
        <f>K22/(B62*B75)</f>
        <v>1.7738997226017471E-4</v>
      </c>
      <c r="C77" s="66"/>
      <c r="D77" s="47" t="s">
        <v>44</v>
      </c>
      <c r="E77" s="2" t="s">
        <v>45</v>
      </c>
      <c r="F77" s="62">
        <f t="shared" ref="F77:AJ77" si="42">(L18+L19+L20+L21+L23+L24)*4.5</f>
        <v>39695.4</v>
      </c>
      <c r="G77" s="62">
        <f t="shared" si="42"/>
        <v>39585.628809187489</v>
      </c>
      <c r="H77" s="62">
        <f t="shared" si="42"/>
        <v>39574.179255690557</v>
      </c>
      <c r="I77" s="62">
        <f t="shared" si="42"/>
        <v>39574.179255690557</v>
      </c>
      <c r="J77" s="62">
        <f t="shared" si="42"/>
        <v>40681.531147097303</v>
      </c>
      <c r="K77" s="62">
        <f t="shared" si="42"/>
        <v>40681.531147097303</v>
      </c>
      <c r="L77" s="62">
        <f t="shared" si="42"/>
        <v>40681.531147097303</v>
      </c>
      <c r="M77" s="62">
        <f t="shared" si="42"/>
        <v>39636.593754977468</v>
      </c>
      <c r="N77" s="62">
        <f t="shared" si="42"/>
        <v>10300.093747481325</v>
      </c>
      <c r="O77" s="62">
        <f t="shared" si="42"/>
        <v>10300.093747481325</v>
      </c>
      <c r="P77" s="62">
        <f t="shared" si="42"/>
        <v>10316.234874894806</v>
      </c>
      <c r="Q77" s="62">
        <f t="shared" si="42"/>
        <v>10332.654684685567</v>
      </c>
      <c r="R77" s="62">
        <f t="shared" si="42"/>
        <v>10396.097903465832</v>
      </c>
      <c r="S77" s="62">
        <f t="shared" si="42"/>
        <v>10396.097903465832</v>
      </c>
      <c r="T77" s="62">
        <f t="shared" si="42"/>
        <v>10341.501532261171</v>
      </c>
      <c r="U77" s="62">
        <f t="shared" si="42"/>
        <v>10364.416587148991</v>
      </c>
      <c r="V77" s="62">
        <f t="shared" si="42"/>
        <v>10382.831642036814</v>
      </c>
      <c r="W77" s="62">
        <f t="shared" si="42"/>
        <v>10394.753442058722</v>
      </c>
      <c r="X77" s="62">
        <f t="shared" si="42"/>
        <v>10394.753442058722</v>
      </c>
      <c r="Y77" s="62">
        <f t="shared" si="42"/>
        <v>10394.753442058722</v>
      </c>
      <c r="Z77" s="62">
        <f t="shared" si="42"/>
        <v>10411.521538341371</v>
      </c>
      <c r="AA77" s="62">
        <f t="shared" si="42"/>
        <v>10411.521538341371</v>
      </c>
      <c r="AB77" s="62">
        <f t="shared" si="42"/>
        <v>10411.521538341371</v>
      </c>
      <c r="AC77" s="62">
        <f t="shared" si="42"/>
        <v>10411.521538341371</v>
      </c>
      <c r="AD77" s="62">
        <f t="shared" si="42"/>
        <v>10411.521538341371</v>
      </c>
      <c r="AE77" s="62">
        <f t="shared" si="42"/>
        <v>10455.14020062933</v>
      </c>
      <c r="AF77" s="62">
        <f t="shared" si="42"/>
        <v>10455.14020062933</v>
      </c>
      <c r="AG77" s="62">
        <f t="shared" si="42"/>
        <v>10455.14020062933</v>
      </c>
      <c r="AH77" s="62">
        <f t="shared" si="42"/>
        <v>10455.14020062933</v>
      </c>
      <c r="AI77" s="62">
        <f t="shared" si="42"/>
        <v>10528.882448248463</v>
      </c>
      <c r="AJ77" s="63">
        <f t="shared" si="42"/>
        <v>10528.882448248463</v>
      </c>
      <c r="AK77" s="66"/>
      <c r="AL77" s="66"/>
      <c r="AM77" s="66"/>
      <c r="AN77" s="66"/>
      <c r="AO77" s="66"/>
      <c r="AP77" s="66"/>
    </row>
    <row r="78" spans="1:42">
      <c r="A78" s="47"/>
      <c r="B78" s="32"/>
      <c r="C78" s="66"/>
      <c r="D78" s="47"/>
      <c r="E78" s="2" t="s">
        <v>46</v>
      </c>
      <c r="F78" s="62">
        <f t="shared" ref="F78:AJ78" si="43">(L22/0.682)*3</f>
        <v>33052.785923753661</v>
      </c>
      <c r="G78" s="62">
        <f t="shared" si="43"/>
        <v>32307.364290384943</v>
      </c>
      <c r="H78" s="62">
        <f t="shared" si="43"/>
        <v>31691.52851325884</v>
      </c>
      <c r="I78" s="62">
        <f t="shared" si="43"/>
        <v>31075.692736132747</v>
      </c>
      <c r="J78" s="62">
        <f t="shared" si="43"/>
        <v>26858.706595152209</v>
      </c>
      <c r="K78" s="62">
        <f t="shared" si="43"/>
        <v>26242.870818026109</v>
      </c>
      <c r="L78" s="62">
        <f t="shared" si="43"/>
        <v>25627.035040900009</v>
      </c>
      <c r="M78" s="62">
        <f t="shared" si="43"/>
        <v>23036.668074380181</v>
      </c>
      <c r="N78" s="62">
        <f t="shared" si="43"/>
        <v>23537.9971062103</v>
      </c>
      <c r="O78" s="62">
        <f t="shared" si="43"/>
        <v>22118.835209899458</v>
      </c>
      <c r="P78" s="62">
        <f t="shared" si="43"/>
        <v>18145.977887116846</v>
      </c>
      <c r="Q78" s="62">
        <f t="shared" si="43"/>
        <v>17315.609483718876</v>
      </c>
      <c r="R78" s="62">
        <f t="shared" si="43"/>
        <v>17435.764220267894</v>
      </c>
      <c r="S78" s="62">
        <f t="shared" si="43"/>
        <v>17435.764220267894</v>
      </c>
      <c r="T78" s="62">
        <f t="shared" si="43"/>
        <v>15078.888144738645</v>
      </c>
      <c r="U78" s="62">
        <f t="shared" si="43"/>
        <v>15517.338751780146</v>
      </c>
      <c r="V78" s="62">
        <f t="shared" si="43"/>
        <v>15955.789358821645</v>
      </c>
      <c r="W78" s="62">
        <f t="shared" si="43"/>
        <v>16206.452325371178</v>
      </c>
      <c r="X78" s="62">
        <f t="shared" si="43"/>
        <v>16206.452325371178</v>
      </c>
      <c r="Y78" s="62">
        <f t="shared" si="43"/>
        <v>16206.452325371178</v>
      </c>
      <c r="Z78" s="62">
        <f t="shared" si="43"/>
        <v>16216.087234045228</v>
      </c>
      <c r="AA78" s="62">
        <f t="shared" si="43"/>
        <v>16216.087234045228</v>
      </c>
      <c r="AB78" s="62">
        <f t="shared" si="43"/>
        <v>16216.087234045228</v>
      </c>
      <c r="AC78" s="62">
        <f t="shared" si="43"/>
        <v>16216.087234045228</v>
      </c>
      <c r="AD78" s="62">
        <f t="shared" si="43"/>
        <v>16216.087234045228</v>
      </c>
      <c r="AE78" s="62">
        <f t="shared" si="43"/>
        <v>17138.258682889682</v>
      </c>
      <c r="AF78" s="62">
        <f t="shared" si="43"/>
        <v>16482.833462948336</v>
      </c>
      <c r="AG78" s="62">
        <f t="shared" si="43"/>
        <v>16482.833462948336</v>
      </c>
      <c r="AH78" s="62">
        <f t="shared" si="43"/>
        <v>16482.833462948336</v>
      </c>
      <c r="AI78" s="62">
        <f t="shared" si="43"/>
        <v>17941.541027484091</v>
      </c>
      <c r="AJ78" s="63">
        <f t="shared" si="43"/>
        <v>17941.541027484091</v>
      </c>
      <c r="AK78" s="66"/>
      <c r="AL78" s="66"/>
      <c r="AM78" s="66"/>
      <c r="AN78" s="66"/>
      <c r="AO78" s="66"/>
      <c r="AP78" s="66"/>
    </row>
    <row r="79" spans="1:42">
      <c r="A79" s="47" t="s">
        <v>47</v>
      </c>
      <c r="B79" s="32">
        <f>K19/B37</f>
        <v>8.2301476940959407E-5</v>
      </c>
      <c r="C79" s="66"/>
      <c r="D79" s="47" t="s">
        <v>48</v>
      </c>
      <c r="E79" s="2" t="s">
        <v>49</v>
      </c>
      <c r="F79" s="62">
        <f t="shared" ref="F79:AJ79" si="44">(L18+L19+L20+L21+L23+L24)*16</f>
        <v>141139.20000000001</v>
      </c>
      <c r="G79" s="62">
        <f t="shared" si="44"/>
        <v>140748.90243266663</v>
      </c>
      <c r="H79" s="62">
        <f t="shared" si="44"/>
        <v>140708.19290912198</v>
      </c>
      <c r="I79" s="62">
        <f t="shared" si="44"/>
        <v>140708.19290912198</v>
      </c>
      <c r="J79" s="62">
        <f t="shared" si="44"/>
        <v>144645.44407856819</v>
      </c>
      <c r="K79" s="62">
        <f t="shared" si="44"/>
        <v>144645.44407856819</v>
      </c>
      <c r="L79" s="62">
        <f t="shared" si="44"/>
        <v>144645.44407856819</v>
      </c>
      <c r="M79" s="62">
        <f t="shared" si="44"/>
        <v>140930.11112880878</v>
      </c>
      <c r="N79" s="62">
        <f t="shared" si="44"/>
        <v>36622.55554660027</v>
      </c>
      <c r="O79" s="62">
        <f t="shared" si="44"/>
        <v>36622.55554660027</v>
      </c>
      <c r="P79" s="62">
        <f t="shared" si="44"/>
        <v>36679.9462218482</v>
      </c>
      <c r="Q79" s="62">
        <f t="shared" si="44"/>
        <v>36738.327767770905</v>
      </c>
      <c r="R79" s="62">
        <f t="shared" si="44"/>
        <v>36963.903656767405</v>
      </c>
      <c r="S79" s="62">
        <f t="shared" si="44"/>
        <v>36963.903656767405</v>
      </c>
      <c r="T79" s="62">
        <f t="shared" si="44"/>
        <v>36769.783225817497</v>
      </c>
      <c r="U79" s="62">
        <f t="shared" si="44"/>
        <v>36851.258976529745</v>
      </c>
      <c r="V79" s="62">
        <f t="shared" si="44"/>
        <v>36916.734727242001</v>
      </c>
      <c r="W79" s="62">
        <f t="shared" si="44"/>
        <v>36959.123349542118</v>
      </c>
      <c r="X79" s="62">
        <f t="shared" si="44"/>
        <v>36959.123349542118</v>
      </c>
      <c r="Y79" s="62">
        <f t="shared" si="44"/>
        <v>36959.123349542118</v>
      </c>
      <c r="Z79" s="62">
        <f t="shared" si="44"/>
        <v>37018.743247435981</v>
      </c>
      <c r="AA79" s="62">
        <f t="shared" si="44"/>
        <v>37018.743247435981</v>
      </c>
      <c r="AB79" s="62">
        <f t="shared" si="44"/>
        <v>37018.743247435981</v>
      </c>
      <c r="AC79" s="62">
        <f t="shared" si="44"/>
        <v>37018.743247435981</v>
      </c>
      <c r="AD79" s="62">
        <f t="shared" si="44"/>
        <v>37018.743247435981</v>
      </c>
      <c r="AE79" s="62">
        <f t="shared" si="44"/>
        <v>37173.831824459841</v>
      </c>
      <c r="AF79" s="62">
        <f t="shared" si="44"/>
        <v>37173.831824459841</v>
      </c>
      <c r="AG79" s="62">
        <f t="shared" si="44"/>
        <v>37173.831824459841</v>
      </c>
      <c r="AH79" s="62">
        <f t="shared" si="44"/>
        <v>37173.831824459841</v>
      </c>
      <c r="AI79" s="62">
        <f t="shared" si="44"/>
        <v>37436.026482661204</v>
      </c>
      <c r="AJ79" s="63">
        <f t="shared" si="44"/>
        <v>37436.026482661204</v>
      </c>
      <c r="AK79" s="66"/>
      <c r="AL79" s="66"/>
      <c r="AM79" s="66"/>
      <c r="AN79" s="66"/>
      <c r="AO79" s="66"/>
      <c r="AP79" s="66"/>
    </row>
    <row r="80" spans="1:42" ht="15.75" customHeight="1">
      <c r="A80" s="52" t="s">
        <v>50</v>
      </c>
      <c r="B80" s="36">
        <f>K20/B37</f>
        <v>1.0401450482269753E-4</v>
      </c>
      <c r="C80" s="66"/>
      <c r="D80" s="52"/>
      <c r="E80" s="33" t="s">
        <v>46</v>
      </c>
      <c r="F80" s="64">
        <f t="shared" ref="F80:AJ80" si="45">(L22/0.682)*6</f>
        <v>66105.571847507323</v>
      </c>
      <c r="G80" s="64">
        <f t="shared" si="45"/>
        <v>64614.728580769886</v>
      </c>
      <c r="H80" s="64">
        <f t="shared" si="45"/>
        <v>63383.057026517679</v>
      </c>
      <c r="I80" s="64">
        <f t="shared" si="45"/>
        <v>62151.385472265494</v>
      </c>
      <c r="J80" s="64">
        <f t="shared" si="45"/>
        <v>53717.413190304418</v>
      </c>
      <c r="K80" s="64">
        <f t="shared" si="45"/>
        <v>52485.741636052218</v>
      </c>
      <c r="L80" s="64">
        <f t="shared" si="45"/>
        <v>51254.070081800019</v>
      </c>
      <c r="M80" s="64">
        <f t="shared" si="45"/>
        <v>46073.336148760362</v>
      </c>
      <c r="N80" s="64">
        <f t="shared" si="45"/>
        <v>47075.994212420599</v>
      </c>
      <c r="O80" s="64">
        <f t="shared" si="45"/>
        <v>44237.670419798917</v>
      </c>
      <c r="P80" s="64">
        <f t="shared" si="45"/>
        <v>36291.955774233691</v>
      </c>
      <c r="Q80" s="64">
        <f t="shared" si="45"/>
        <v>34631.218967437751</v>
      </c>
      <c r="R80" s="64">
        <f t="shared" si="45"/>
        <v>34871.528440535789</v>
      </c>
      <c r="S80" s="64">
        <f t="shared" si="45"/>
        <v>34871.528440535789</v>
      </c>
      <c r="T80" s="64">
        <f t="shared" si="45"/>
        <v>30157.77628947729</v>
      </c>
      <c r="U80" s="64">
        <f t="shared" si="45"/>
        <v>31034.677503560291</v>
      </c>
      <c r="V80" s="64">
        <f t="shared" si="45"/>
        <v>31911.57871764329</v>
      </c>
      <c r="W80" s="64">
        <f t="shared" si="45"/>
        <v>32412.904650742355</v>
      </c>
      <c r="X80" s="64">
        <f t="shared" si="45"/>
        <v>32412.904650742355</v>
      </c>
      <c r="Y80" s="64">
        <f t="shared" si="45"/>
        <v>32412.904650742355</v>
      </c>
      <c r="Z80" s="64">
        <f t="shared" si="45"/>
        <v>32432.174468090456</v>
      </c>
      <c r="AA80" s="64">
        <f t="shared" si="45"/>
        <v>32432.174468090456</v>
      </c>
      <c r="AB80" s="64">
        <f t="shared" si="45"/>
        <v>32432.174468090456</v>
      </c>
      <c r="AC80" s="64">
        <f t="shared" si="45"/>
        <v>32432.174468090456</v>
      </c>
      <c r="AD80" s="64">
        <f t="shared" si="45"/>
        <v>32432.174468090456</v>
      </c>
      <c r="AE80" s="64">
        <f t="shared" si="45"/>
        <v>34276.517365779364</v>
      </c>
      <c r="AF80" s="64">
        <f t="shared" si="45"/>
        <v>32965.666925896672</v>
      </c>
      <c r="AG80" s="64">
        <f t="shared" si="45"/>
        <v>32965.666925896672</v>
      </c>
      <c r="AH80" s="64">
        <f t="shared" si="45"/>
        <v>32965.666925896672</v>
      </c>
      <c r="AI80" s="64">
        <f t="shared" si="45"/>
        <v>35883.082054968181</v>
      </c>
      <c r="AJ80" s="65">
        <f t="shared" si="45"/>
        <v>35883.082054968181</v>
      </c>
      <c r="AK80" s="66"/>
      <c r="AL80" s="66"/>
      <c r="AM80" s="66"/>
      <c r="AN80" s="66"/>
      <c r="AO80" s="66"/>
      <c r="AP80" s="66"/>
    </row>
    <row r="81" spans="1:42" ht="15.75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</row>
    <row r="82" spans="1:42">
      <c r="A82" s="66"/>
      <c r="B82" s="66"/>
      <c r="C82" s="66"/>
      <c r="D82" s="14" t="s">
        <v>93</v>
      </c>
      <c r="E82" s="14" t="s">
        <v>94</v>
      </c>
      <c r="F82" s="14" t="s">
        <v>95</v>
      </c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</row>
    <row r="83" spans="1:42">
      <c r="A83" s="66"/>
      <c r="B83" s="66"/>
      <c r="C83" s="66"/>
      <c r="D83" s="97">
        <f>E83/(F83/1000)</f>
        <v>0.61062836516506114</v>
      </c>
      <c r="E83" s="18">
        <f>AVERAGE(I22:K22)</f>
        <v>8370.4</v>
      </c>
      <c r="F83" s="98">
        <f>AVERAGE(F84:F86)</f>
        <v>13707846.666666666</v>
      </c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</row>
    <row r="84" spans="1:42">
      <c r="A84" s="66"/>
      <c r="B84" s="31">
        <f>SUM(B76:B77)</f>
        <v>2.344207530694918E-4</v>
      </c>
      <c r="C84" s="66"/>
      <c r="D84" s="14"/>
      <c r="E84" s="14"/>
      <c r="F84" s="99">
        <v>13811482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</row>
    <row r="85" spans="1:42">
      <c r="A85" s="66"/>
      <c r="B85" s="66"/>
      <c r="C85" s="66"/>
      <c r="D85" s="14"/>
      <c r="E85" s="14"/>
      <c r="F85" s="99">
        <v>13275754</v>
      </c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</row>
    <row r="86" spans="1:42">
      <c r="A86" s="66"/>
      <c r="B86" s="48"/>
      <c r="C86" s="66"/>
      <c r="D86" s="14"/>
      <c r="E86" s="14"/>
      <c r="F86" s="99">
        <v>14036304</v>
      </c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</row>
    <row r="87" spans="1:4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</row>
    <row r="88" spans="1:4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</row>
    <row r="89" spans="1:4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</row>
    <row r="90" spans="1:4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</row>
    <row r="91" spans="1:4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</row>
    <row r="92" spans="1:4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</row>
    <row r="93" spans="1:4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</row>
    <row r="94" spans="1:4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</row>
    <row r="95" spans="1:4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</row>
    <row r="96" spans="1:42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</row>
    <row r="97" spans="1:4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</row>
    <row r="98" spans="1:42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</row>
    <row r="99" spans="1:42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</row>
    <row r="100" spans="1:4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</row>
    <row r="101" spans="1:4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</row>
    <row r="102" spans="1:4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</row>
    <row r="103" spans="1:4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</row>
    <row r="104" spans="1:4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</row>
    <row r="105" spans="1:4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</row>
    <row r="106" spans="1:4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</row>
    <row r="107" spans="1:4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</row>
    <row r="108" spans="1:4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</row>
    <row r="109" spans="1:4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</row>
    <row r="110" spans="1:4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</row>
    <row r="111" spans="1:4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</row>
    <row r="112" spans="1:4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</row>
    <row r="113" spans="1:4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</row>
    <row r="114" spans="1:4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</row>
    <row r="115" spans="1:4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</row>
    <row r="116" spans="1:4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</row>
    <row r="117" spans="1:4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</row>
    <row r="118" spans="1:4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</row>
    <row r="119" spans="1:4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</row>
    <row r="120" spans="1:4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</row>
    <row r="121" spans="1:4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</row>
    <row r="122" spans="1:4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</row>
    <row r="123" spans="1:4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</row>
    <row r="124" spans="1:4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</row>
    <row r="125" spans="1:4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</row>
    <row r="126" spans="1:4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</row>
    <row r="127" spans="1:4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</row>
    <row r="128" spans="1:4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</row>
    <row r="129" spans="1:4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</row>
    <row r="130" spans="1:4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</row>
    <row r="131" spans="1:4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</row>
    <row r="132" spans="1:4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</row>
    <row r="133" spans="1:4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</row>
    <row r="134" spans="1:4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</row>
    <row r="135" spans="1:4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</row>
    <row r="136" spans="1:4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</row>
    <row r="137" spans="1:4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</row>
    <row r="138" spans="1:4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</row>
    <row r="139" spans="1:4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</row>
    <row r="140" spans="1:4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</row>
    <row r="141" spans="1:4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</row>
    <row r="142" spans="1:4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</row>
    <row r="143" spans="1:4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</row>
    <row r="144" spans="1:4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</row>
    <row r="145" spans="1:4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</row>
    <row r="146" spans="1:4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</row>
    <row r="147" spans="1:4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</row>
    <row r="148" spans="1:4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</row>
    <row r="149" spans="1:4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</row>
    <row r="150" spans="1:4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</row>
    <row r="151" spans="1:4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</row>
    <row r="152" spans="1:4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</row>
    <row r="153" spans="1:4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</row>
    <row r="154" spans="1:4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</row>
    <row r="155" spans="1:4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</row>
    <row r="156" spans="1:4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</row>
    <row r="157" spans="1:4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</row>
    <row r="158" spans="1:4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</row>
    <row r="159" spans="1:4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</row>
    <row r="160" spans="1:4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</row>
    <row r="161" spans="1:4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</row>
    <row r="162" spans="1:4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</row>
    <row r="163" spans="1:42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</row>
    <row r="164" spans="1:42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</row>
    <row r="165" spans="1:42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</row>
    <row r="166" spans="1:4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</row>
    <row r="167" spans="1:42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</row>
    <row r="168" spans="1:4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</row>
    <row r="169" spans="1:42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</row>
    <row r="170" spans="1:42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</row>
    <row r="171" spans="1:4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</row>
    <row r="172" spans="1:4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</row>
    <row r="173" spans="1:42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</row>
    <row r="174" spans="1:42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</row>
    <row r="175" spans="1:42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</row>
    <row r="176" spans="1:42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</row>
    <row r="177" spans="1:4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</row>
    <row r="178" spans="1:4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</row>
    <row r="179" spans="1:42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</row>
    <row r="180" spans="1:42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</row>
    <row r="181" spans="1:42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</row>
    <row r="182" spans="1:4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</row>
    <row r="183" spans="1:42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</row>
    <row r="184" spans="1:42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</row>
    <row r="185" spans="1:42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</row>
    <row r="186" spans="1:42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</row>
    <row r="187" spans="1:4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</row>
    <row r="188" spans="1:4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</row>
    <row r="189" spans="1:42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</row>
    <row r="190" spans="1:42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</row>
    <row r="191" spans="1:42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</row>
    <row r="192" spans="1:4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</row>
    <row r="193" spans="1:4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</row>
    <row r="194" spans="1:4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</row>
    <row r="195" spans="1:4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</row>
    <row r="196" spans="1:42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</row>
    <row r="197" spans="1:4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</row>
    <row r="198" spans="1:42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</row>
    <row r="199" spans="1:4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</row>
    <row r="200" spans="1:4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</row>
    <row r="201" spans="1:4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</row>
    <row r="202" spans="1:4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</row>
    <row r="203" spans="1:42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</row>
    <row r="204" spans="1:42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</row>
    <row r="205" spans="1:42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</row>
    <row r="206" spans="1:42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</row>
    <row r="207" spans="1:42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</row>
    <row r="208" spans="1:42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</row>
    <row r="209" spans="1:42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</row>
    <row r="210" spans="1:42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</row>
    <row r="211" spans="1:42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</row>
    <row r="212" spans="1:4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</row>
    <row r="213" spans="1:42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</row>
    <row r="214" spans="1:42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</row>
    <row r="215" spans="1:42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</row>
    <row r="216" spans="1:42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</row>
    <row r="217" spans="1:42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</row>
    <row r="218" spans="1:42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</row>
    <row r="219" spans="1:42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</row>
    <row r="220" spans="1:42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</row>
    <row r="221" spans="1:42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</row>
    <row r="222" spans="1:4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</row>
    <row r="223" spans="1:42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</row>
    <row r="224" spans="1:42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</row>
    <row r="225" spans="1:42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</row>
    <row r="226" spans="1:42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</row>
    <row r="227" spans="1:42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</row>
    <row r="228" spans="1:42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</row>
    <row r="229" spans="1:42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</row>
    <row r="230" spans="1:42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</row>
    <row r="231" spans="1:42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</row>
    <row r="232" spans="1:4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</row>
    <row r="233" spans="1:42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</row>
    <row r="234" spans="1:42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</row>
    <row r="235" spans="1:42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</row>
    <row r="236" spans="1:42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</row>
    <row r="237" spans="1:4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</row>
    <row r="238" spans="1:42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</row>
    <row r="239" spans="1:42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</row>
    <row r="240" spans="1:42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</row>
    <row r="241" spans="1:42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</row>
    <row r="242" spans="1:4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</row>
    <row r="243" spans="1:42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</row>
    <row r="244" spans="1:42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</row>
    <row r="245" spans="1:42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</row>
    <row r="246" spans="1:42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</row>
    <row r="247" spans="1:42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</row>
    <row r="248" spans="1:42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</row>
    <row r="249" spans="1:42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</row>
    <row r="250" spans="1:42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</row>
    <row r="251" spans="1:42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</row>
    <row r="252" spans="1:4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</row>
    <row r="253" spans="1:42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</row>
    <row r="254" spans="1:42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</row>
    <row r="255" spans="1:42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</row>
    <row r="256" spans="1:42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</row>
    <row r="257" spans="1:4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</row>
    <row r="258" spans="1:42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</row>
    <row r="259" spans="1:42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</row>
    <row r="260" spans="1:42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</row>
    <row r="261" spans="1:42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</row>
    <row r="262" spans="1:4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</row>
    <row r="263" spans="1:42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</row>
    <row r="264" spans="1:42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</row>
    <row r="265" spans="1:42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</row>
    <row r="266" spans="1:42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</row>
    <row r="267" spans="1:42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</row>
    <row r="268" spans="1:42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</row>
    <row r="269" spans="1:42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</row>
    <row r="270" spans="1:42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</row>
    <row r="271" spans="1:42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</row>
    <row r="272" spans="1:4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</row>
    <row r="273" spans="1:4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</row>
    <row r="274" spans="1:4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</row>
    <row r="275" spans="1:4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</row>
    <row r="276" spans="1:42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</row>
    <row r="277" spans="1:42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</row>
    <row r="278" spans="1:42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</row>
    <row r="279" spans="1:42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</row>
    <row r="280" spans="1:42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</row>
    <row r="281" spans="1:42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</row>
    <row r="282" spans="1:4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</row>
    <row r="283" spans="1:42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</row>
    <row r="284" spans="1:42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</row>
    <row r="285" spans="1:42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</row>
    <row r="286" spans="1:42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</row>
    <row r="287" spans="1:42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</row>
    <row r="288" spans="1:42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</row>
    <row r="289" spans="1:42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</row>
    <row r="290" spans="1:42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</row>
    <row r="291" spans="1:42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</row>
    <row r="292" spans="1:4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</row>
    <row r="293" spans="1:42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</row>
    <row r="294" spans="1:42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</row>
    <row r="295" spans="1:42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</row>
    <row r="296" spans="1:42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</row>
    <row r="297" spans="1:42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</row>
    <row r="298" spans="1:42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</row>
    <row r="299" spans="1:42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</row>
    <row r="300" spans="1:42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</row>
    <row r="301" spans="1:42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</row>
    <row r="302" spans="1:4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</row>
    <row r="303" spans="1:42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</row>
    <row r="304" spans="1:42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</row>
    <row r="305" spans="1:42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</row>
    <row r="306" spans="1:42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</row>
    <row r="307" spans="1:42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</row>
    <row r="308" spans="1:42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</row>
    <row r="309" spans="1:42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</row>
    <row r="310" spans="1:42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</row>
    <row r="311" spans="1:42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</row>
    <row r="312" spans="1:4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</row>
    <row r="313" spans="1:42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</row>
    <row r="314" spans="1:42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</row>
    <row r="315" spans="1:42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</row>
    <row r="316" spans="1:42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</row>
    <row r="317" spans="1:42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</row>
    <row r="318" spans="1:42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</row>
    <row r="319" spans="1:4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</row>
    <row r="320" spans="1:4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</row>
    <row r="321" spans="1:42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</row>
    <row r="322" spans="1:4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</row>
    <row r="323" spans="1:42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</row>
    <row r="324" spans="1:42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</row>
    <row r="325" spans="1:42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</row>
    <row r="326" spans="1:42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</row>
    <row r="327" spans="1:42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</row>
    <row r="328" spans="1:42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</row>
    <row r="329" spans="1:42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</row>
    <row r="330" spans="1:42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</row>
    <row r="331" spans="1:42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</row>
    <row r="332" spans="1:4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</row>
    <row r="333" spans="1:42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</row>
    <row r="334" spans="1:42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</row>
    <row r="335" spans="1:42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</row>
    <row r="336" spans="1:42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</row>
    <row r="337" spans="1:42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</row>
    <row r="338" spans="1:42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</row>
    <row r="339" spans="1:42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</row>
    <row r="340" spans="1:42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</row>
    <row r="341" spans="1:42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</row>
    <row r="342" spans="1:4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</row>
    <row r="343" spans="1:42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</row>
    <row r="344" spans="1:42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</row>
    <row r="345" spans="1:42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</row>
    <row r="346" spans="1:42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</row>
    <row r="347" spans="1:42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</row>
    <row r="348" spans="1:42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</row>
    <row r="349" spans="1:42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</row>
    <row r="350" spans="1:42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</row>
    <row r="351" spans="1:42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</row>
    <row r="352" spans="1:4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</row>
    <row r="353" spans="1:4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</row>
    <row r="354" spans="1:42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</row>
    <row r="355" spans="1:42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</row>
    <row r="356" spans="1:42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</row>
    <row r="357" spans="1:42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</row>
    <row r="358" spans="1:42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</row>
    <row r="359" spans="1:42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</row>
    <row r="360" spans="1:42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</row>
    <row r="361" spans="1:42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</row>
    <row r="362" spans="1:4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</row>
    <row r="363" spans="1:42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</row>
    <row r="364" spans="1:4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</row>
    <row r="365" spans="1:4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</row>
    <row r="366" spans="1:4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</row>
    <row r="367" spans="1:42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</row>
    <row r="368" spans="1:42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</row>
    <row r="369" spans="1:42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</row>
    <row r="370" spans="1:42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</row>
    <row r="371" spans="1:42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</row>
    <row r="372" spans="1:4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</row>
    <row r="373" spans="1:42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</row>
    <row r="374" spans="1:42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</row>
    <row r="375" spans="1:42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</row>
    <row r="376" spans="1:42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</row>
    <row r="377" spans="1:42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</row>
    <row r="378" spans="1:42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</row>
    <row r="379" spans="1:42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</row>
    <row r="380" spans="1:42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</row>
    <row r="381" spans="1:42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</row>
    <row r="382" spans="1:4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</row>
    <row r="383" spans="1:42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</row>
    <row r="384" spans="1:42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</row>
    <row r="385" spans="1:42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</row>
    <row r="386" spans="1:42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</row>
    <row r="387" spans="1:42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</row>
    <row r="388" spans="1:4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</row>
    <row r="389" spans="1:42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</row>
    <row r="390" spans="1:42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</row>
    <row r="391" spans="1:42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</row>
    <row r="392" spans="1:4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</row>
    <row r="393" spans="1:42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</row>
    <row r="394" spans="1:42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</row>
    <row r="395" spans="1:42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</row>
    <row r="396" spans="1:42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</row>
    <row r="397" spans="1:42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</row>
    <row r="398" spans="1:42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</row>
    <row r="399" spans="1:42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</row>
    <row r="400" spans="1:42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</row>
    <row r="401" spans="1:42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</row>
    <row r="402" spans="1:4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</row>
    <row r="403" spans="1:42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</row>
    <row r="404" spans="1:42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</row>
    <row r="405" spans="1:42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</row>
    <row r="406" spans="1:42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</row>
    <row r="407" spans="1:42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</row>
    <row r="408" spans="1:42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</row>
    <row r="409" spans="1:4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</row>
    <row r="410" spans="1:42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</row>
    <row r="411" spans="1:42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</row>
    <row r="412" spans="1:42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</row>
    <row r="413" spans="1:42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</row>
    <row r="414" spans="1:42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</row>
    <row r="415" spans="1:42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</row>
    <row r="416" spans="1:42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</row>
    <row r="417" spans="1:42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</row>
    <row r="418" spans="1:42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</row>
    <row r="419" spans="1:42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</row>
    <row r="420" spans="1:42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</row>
    <row r="421" spans="1:42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</row>
    <row r="422" spans="1:42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</row>
    <row r="423" spans="1:42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</row>
    <row r="424" spans="1:42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</row>
    <row r="425" spans="1:42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</row>
    <row r="426" spans="1:42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</row>
    <row r="427" spans="1:42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</row>
    <row r="428" spans="1:42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</row>
    <row r="429" spans="1:42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</row>
    <row r="430" spans="1:42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</row>
    <row r="431" spans="1:42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</row>
    <row r="432" spans="1:4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</row>
    <row r="433" spans="1:42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</row>
    <row r="434" spans="1:42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</row>
    <row r="435" spans="1:42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</row>
    <row r="436" spans="1:42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</row>
    <row r="437" spans="1:42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</row>
    <row r="438" spans="1:42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</row>
    <row r="439" spans="1:42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</row>
    <row r="440" spans="1:42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</row>
    <row r="441" spans="1:42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</row>
    <row r="442" spans="1:42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</row>
    <row r="443" spans="1:42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</row>
    <row r="444" spans="1:42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</row>
    <row r="445" spans="1:42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</row>
    <row r="446" spans="1:42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</row>
    <row r="447" spans="1:42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</row>
    <row r="448" spans="1:42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</row>
    <row r="449" spans="1:42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</row>
    <row r="450" spans="1:42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</row>
    <row r="451" spans="1:42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</row>
    <row r="452" spans="1:42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</row>
    <row r="453" spans="1:42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</row>
    <row r="454" spans="1:42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</row>
    <row r="455" spans="1:42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</row>
    <row r="456" spans="1:42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</row>
    <row r="457" spans="1:42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</row>
    <row r="458" spans="1:42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</row>
    <row r="459" spans="1:42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</row>
    <row r="460" spans="1:42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</row>
    <row r="461" spans="1:42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</row>
    <row r="462" spans="1:42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</row>
    <row r="463" spans="1:42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</row>
    <row r="464" spans="1:42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</row>
    <row r="465" spans="1:42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</row>
    <row r="466" spans="1:42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</row>
    <row r="467" spans="1:42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</row>
    <row r="468" spans="1:42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</row>
    <row r="469" spans="1:42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</row>
    <row r="470" spans="1:42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</row>
    <row r="471" spans="1:4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</row>
    <row r="472" spans="1:42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</row>
    <row r="473" spans="1:42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</row>
    <row r="474" spans="1:42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</row>
    <row r="475" spans="1:42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</row>
    <row r="476" spans="1:42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</row>
    <row r="477" spans="1:42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</row>
    <row r="478" spans="1:42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</row>
    <row r="479" spans="1:42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</row>
    <row r="480" spans="1:42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</row>
    <row r="481" spans="1:42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</row>
    <row r="482" spans="1:42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</row>
    <row r="483" spans="1:42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</row>
    <row r="484" spans="1:42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</row>
    <row r="485" spans="1:42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</row>
    <row r="486" spans="1:42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</row>
    <row r="487" spans="1:42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</row>
    <row r="488" spans="1:42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</row>
    <row r="489" spans="1:42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</row>
    <row r="490" spans="1:42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</row>
    <row r="491" spans="1:42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</row>
    <row r="492" spans="1:4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</row>
    <row r="493" spans="1:42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</row>
    <row r="494" spans="1:42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</row>
    <row r="495" spans="1:42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</row>
    <row r="496" spans="1:42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</row>
    <row r="497" spans="1:42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</row>
    <row r="498" spans="1:42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</row>
    <row r="499" spans="1:42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</row>
    <row r="500" spans="1:42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</row>
    <row r="501" spans="1:42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</row>
    <row r="502" spans="1:42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</row>
    <row r="503" spans="1:42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</row>
    <row r="504" spans="1:42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</row>
    <row r="505" spans="1:42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</row>
    <row r="506" spans="1:42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</row>
    <row r="507" spans="1:42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</row>
    <row r="508" spans="1:42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</row>
    <row r="509" spans="1:42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</row>
    <row r="510" spans="1:42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</row>
    <row r="511" spans="1:42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</row>
    <row r="512" spans="1:42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</row>
    <row r="513" spans="1:42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</row>
    <row r="514" spans="1:42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</row>
    <row r="515" spans="1:42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</row>
    <row r="516" spans="1:42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</row>
    <row r="517" spans="1:42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</row>
    <row r="518" spans="1:42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</row>
    <row r="519" spans="1:42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</row>
    <row r="520" spans="1:42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</row>
    <row r="521" spans="1:42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</row>
    <row r="522" spans="1:42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</row>
    <row r="523" spans="1:42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</row>
    <row r="524" spans="1:42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</row>
    <row r="525" spans="1:42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</row>
    <row r="526" spans="1:42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</row>
    <row r="527" spans="1:42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</row>
    <row r="528" spans="1:42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</row>
    <row r="529" spans="1:42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</row>
    <row r="530" spans="1:42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</row>
    <row r="531" spans="1:42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</row>
    <row r="532" spans="1:42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</row>
    <row r="533" spans="1:42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</row>
    <row r="534" spans="1:42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</row>
    <row r="535" spans="1:42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</row>
    <row r="536" spans="1:42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</row>
    <row r="537" spans="1:42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</row>
    <row r="538" spans="1:42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</row>
    <row r="539" spans="1:42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</row>
    <row r="540" spans="1:42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</row>
    <row r="541" spans="1:42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</row>
    <row r="542" spans="1:4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</row>
    <row r="543" spans="1:42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</row>
    <row r="544" spans="1:42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</row>
    <row r="545" spans="1:42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</row>
    <row r="546" spans="1:42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</row>
    <row r="547" spans="1:42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</row>
    <row r="548" spans="1:42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</row>
    <row r="549" spans="1:42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</row>
    <row r="550" spans="1:42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</row>
    <row r="551" spans="1:42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</row>
    <row r="552" spans="1:42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</row>
    <row r="553" spans="1:42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</row>
    <row r="554" spans="1:42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</row>
    <row r="555" spans="1:42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</row>
    <row r="556" spans="1:42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</row>
    <row r="557" spans="1:42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</row>
    <row r="558" spans="1:42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</row>
    <row r="559" spans="1:42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</row>
    <row r="560" spans="1:42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</row>
    <row r="561" spans="1:42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</row>
    <row r="562" spans="1:42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</row>
    <row r="563" spans="1:42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</row>
    <row r="564" spans="1:42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</row>
    <row r="565" spans="1:42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</row>
    <row r="566" spans="1:42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</row>
    <row r="567" spans="1:42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</row>
    <row r="568" spans="1:42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</row>
    <row r="569" spans="1:42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</row>
    <row r="570" spans="1:42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</row>
    <row r="571" spans="1:42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</row>
    <row r="572" spans="1:42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</row>
    <row r="573" spans="1:42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</row>
    <row r="574" spans="1:42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</row>
    <row r="575" spans="1:42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</row>
    <row r="576" spans="1:42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</row>
    <row r="577" spans="1:42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</row>
    <row r="578" spans="1:42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</row>
    <row r="579" spans="1:42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</row>
    <row r="580" spans="1:42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</row>
    <row r="581" spans="1:42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</row>
    <row r="582" spans="1:42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</row>
    <row r="583" spans="1:42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</row>
    <row r="584" spans="1:42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</row>
    <row r="585" spans="1:42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</row>
    <row r="586" spans="1:42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</row>
    <row r="587" spans="1:42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</row>
    <row r="588" spans="1:42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</row>
    <row r="589" spans="1:42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</row>
    <row r="590" spans="1:42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</row>
    <row r="591" spans="1:42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</row>
    <row r="592" spans="1:42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</row>
    <row r="593" spans="1:42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</row>
    <row r="594" spans="1:42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</row>
    <row r="595" spans="1:42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</row>
    <row r="596" spans="1:42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</row>
    <row r="597" spans="1:42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</row>
    <row r="598" spans="1:42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</row>
    <row r="599" spans="1:42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</row>
    <row r="600" spans="1:42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</row>
    <row r="601" spans="1:42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</row>
    <row r="602" spans="1:42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</row>
    <row r="603" spans="1:42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</row>
    <row r="604" spans="1:42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</row>
    <row r="605" spans="1:42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</row>
    <row r="606" spans="1:42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</row>
    <row r="607" spans="1:42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</row>
    <row r="608" spans="1:42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</row>
    <row r="609" spans="1:42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</row>
    <row r="610" spans="1:42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</row>
    <row r="611" spans="1:42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</row>
    <row r="612" spans="1:42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</row>
    <row r="613" spans="1:42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</row>
    <row r="614" spans="1:42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</row>
    <row r="615" spans="1:42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</row>
    <row r="616" spans="1:42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</row>
    <row r="617" spans="1:42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</row>
    <row r="618" spans="1:42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</row>
    <row r="619" spans="1:42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</row>
    <row r="620" spans="1:42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</row>
    <row r="621" spans="1:42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</row>
    <row r="622" spans="1:42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</row>
    <row r="623" spans="1:42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</row>
    <row r="624" spans="1:42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</row>
    <row r="625" spans="1:42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</row>
    <row r="626" spans="1:42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</row>
    <row r="627" spans="1:42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</row>
    <row r="628" spans="1:42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</row>
    <row r="629" spans="1:42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</row>
    <row r="630" spans="1:42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</row>
    <row r="631" spans="1:42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</row>
    <row r="632" spans="1:42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</row>
    <row r="633" spans="1:42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</row>
    <row r="634" spans="1:42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</row>
    <row r="635" spans="1:42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</row>
    <row r="636" spans="1:42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</row>
    <row r="637" spans="1:42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</row>
    <row r="638" spans="1:42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</row>
    <row r="639" spans="1:42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</row>
    <row r="640" spans="1:42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</row>
    <row r="641" spans="1:42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</row>
    <row r="642" spans="1:42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</row>
    <row r="643" spans="1:42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</row>
    <row r="644" spans="1:42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</row>
    <row r="645" spans="1:42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</row>
    <row r="646" spans="1:42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</row>
    <row r="647" spans="1:42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</row>
    <row r="648" spans="1:42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</row>
    <row r="649" spans="1:42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</row>
    <row r="650" spans="1:42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</row>
    <row r="651" spans="1:42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</row>
    <row r="652" spans="1:42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</row>
    <row r="653" spans="1:42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</row>
    <row r="654" spans="1:42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</row>
    <row r="655" spans="1:42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</row>
    <row r="656" spans="1:42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</row>
    <row r="657" spans="1:42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</row>
    <row r="658" spans="1:42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</row>
    <row r="659" spans="1:42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</row>
    <row r="660" spans="1:42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</row>
    <row r="661" spans="1:42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</row>
    <row r="662" spans="1:42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</row>
    <row r="663" spans="1:42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</row>
    <row r="664" spans="1:42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</row>
    <row r="665" spans="1:42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</row>
    <row r="666" spans="1:42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</row>
    <row r="667" spans="1:42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</row>
    <row r="668" spans="1:42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</row>
    <row r="669" spans="1:42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</row>
    <row r="670" spans="1:42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</row>
    <row r="671" spans="1:42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</row>
    <row r="672" spans="1:42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</row>
    <row r="673" spans="1:42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</row>
    <row r="674" spans="1:42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</row>
    <row r="675" spans="1:42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</row>
    <row r="676" spans="1:42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</row>
    <row r="677" spans="1:42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</row>
    <row r="678" spans="1:42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</row>
    <row r="679" spans="1:42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</row>
    <row r="680" spans="1:42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</row>
    <row r="681" spans="1:42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</row>
    <row r="682" spans="1:42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</row>
    <row r="683" spans="1:42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</row>
    <row r="684" spans="1:42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</row>
    <row r="685" spans="1:42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</row>
    <row r="686" spans="1:42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</row>
    <row r="687" spans="1:42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</row>
    <row r="688" spans="1:42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</row>
    <row r="689" spans="1:42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</row>
    <row r="690" spans="1:42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</row>
    <row r="691" spans="1:42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</row>
    <row r="692" spans="1:42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</row>
    <row r="693" spans="1:42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</row>
    <row r="694" spans="1:42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</row>
    <row r="695" spans="1:42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</row>
    <row r="696" spans="1:42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</row>
    <row r="697" spans="1:42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</row>
    <row r="698" spans="1:42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</row>
    <row r="699" spans="1:42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</row>
    <row r="700" spans="1:42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</row>
    <row r="701" spans="1:42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</row>
    <row r="702" spans="1:42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</row>
    <row r="703" spans="1:42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</row>
    <row r="704" spans="1:42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</row>
    <row r="705" spans="1:42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</row>
    <row r="706" spans="1:42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</row>
    <row r="707" spans="1:42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</row>
    <row r="708" spans="1:42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</row>
    <row r="709" spans="1:42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</row>
    <row r="710" spans="1:42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</row>
    <row r="711" spans="1:42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</row>
    <row r="712" spans="1:42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</row>
    <row r="713" spans="1:42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</row>
    <row r="714" spans="1:42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</row>
    <row r="715" spans="1:42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</row>
    <row r="716" spans="1:42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</row>
    <row r="717" spans="1:42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</row>
    <row r="718" spans="1:42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</row>
    <row r="719" spans="1:42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</row>
    <row r="720" spans="1:42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</row>
    <row r="721" spans="1:42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</row>
    <row r="722" spans="1:42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</row>
    <row r="723" spans="1:42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</row>
    <row r="724" spans="1:42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</row>
    <row r="725" spans="1:42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</row>
    <row r="726" spans="1:42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</row>
    <row r="727" spans="1:42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</row>
    <row r="728" spans="1:42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</row>
    <row r="729" spans="1:42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</row>
    <row r="730" spans="1:42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</row>
    <row r="731" spans="1:42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</row>
    <row r="732" spans="1:42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</row>
    <row r="733" spans="1:42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</row>
    <row r="734" spans="1:42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</row>
    <row r="735" spans="1:42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</row>
    <row r="736" spans="1:42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</row>
    <row r="737" spans="1:42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</row>
    <row r="738" spans="1:42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</row>
    <row r="739" spans="1:42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</row>
    <row r="740" spans="1:42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</row>
    <row r="741" spans="1:42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</row>
    <row r="742" spans="1:42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</row>
    <row r="743" spans="1:42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</row>
    <row r="744" spans="1:42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</row>
    <row r="745" spans="1:42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</row>
    <row r="746" spans="1:42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</row>
    <row r="747" spans="1:42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</row>
    <row r="748" spans="1:42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</row>
    <row r="749" spans="1:42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</row>
    <row r="750" spans="1:42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</row>
    <row r="751" spans="1:42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</row>
    <row r="752" spans="1:42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</row>
    <row r="753" spans="1:42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</row>
    <row r="754" spans="1:42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</row>
    <row r="755" spans="1:42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</row>
    <row r="756" spans="1:42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</row>
    <row r="757" spans="1:42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</row>
    <row r="758" spans="1:42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</row>
    <row r="759" spans="1:42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</row>
    <row r="760" spans="1:42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</row>
    <row r="761" spans="1:42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</row>
    <row r="762" spans="1:42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</row>
    <row r="763" spans="1:42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</row>
    <row r="764" spans="1:42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</row>
    <row r="765" spans="1:42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</row>
    <row r="766" spans="1:42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</row>
    <row r="767" spans="1:42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</row>
    <row r="768" spans="1:42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</row>
    <row r="769" spans="1:42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</row>
    <row r="770" spans="1:42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</row>
    <row r="771" spans="1:42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</row>
    <row r="772" spans="1:42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</row>
    <row r="773" spans="1:42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</row>
    <row r="774" spans="1:42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</row>
    <row r="775" spans="1:42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</row>
    <row r="776" spans="1:42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</row>
    <row r="777" spans="1:42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</row>
    <row r="778" spans="1:42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</row>
    <row r="779" spans="1:42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</row>
    <row r="780" spans="1:42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</row>
    <row r="781" spans="1:42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</row>
    <row r="782" spans="1:42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</row>
    <row r="783" spans="1:42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</row>
    <row r="784" spans="1:42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</row>
    <row r="785" spans="1:42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</row>
    <row r="786" spans="1:42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</row>
    <row r="787" spans="1:42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</row>
    <row r="788" spans="1:42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</row>
    <row r="789" spans="1:42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</row>
    <row r="790" spans="1:42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</row>
    <row r="791" spans="1:42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</row>
    <row r="792" spans="1:42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</row>
    <row r="793" spans="1:42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</row>
    <row r="794" spans="1:42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</row>
    <row r="795" spans="1:42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</row>
    <row r="796" spans="1:42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</row>
    <row r="797" spans="1:42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</row>
    <row r="798" spans="1:42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</row>
    <row r="799" spans="1:42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</row>
    <row r="800" spans="1:42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</row>
    <row r="801" spans="1:42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</row>
    <row r="802" spans="1:42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</row>
    <row r="803" spans="1:42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</row>
    <row r="804" spans="1:42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</row>
    <row r="805" spans="1:42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</row>
    <row r="806" spans="1:42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</row>
    <row r="807" spans="1:42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</row>
    <row r="808" spans="1:42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</row>
    <row r="809" spans="1:42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</row>
    <row r="810" spans="1:42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</row>
    <row r="811" spans="1:42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</row>
    <row r="812" spans="1:42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</row>
    <row r="813" spans="1:42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</row>
    <row r="814" spans="1:42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</row>
    <row r="815" spans="1:42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</row>
    <row r="816" spans="1:42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</row>
    <row r="817" spans="1:42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</row>
    <row r="818" spans="1:42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</row>
    <row r="819" spans="1:42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</row>
    <row r="820" spans="1:42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</row>
    <row r="821" spans="1:42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</row>
    <row r="822" spans="1:42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</row>
    <row r="823" spans="1:42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</row>
    <row r="824" spans="1:42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</row>
    <row r="825" spans="1:42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</row>
    <row r="826" spans="1:42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</row>
    <row r="827" spans="1:42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</row>
    <row r="828" spans="1:42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</row>
    <row r="829" spans="1:42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</row>
    <row r="830" spans="1:42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</row>
    <row r="831" spans="1:42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</row>
    <row r="832" spans="1:42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</row>
    <row r="833" spans="1:42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</row>
    <row r="834" spans="1:42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</row>
    <row r="835" spans="1:42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</row>
    <row r="836" spans="1:42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</row>
    <row r="837" spans="1:42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</row>
    <row r="838" spans="1:42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</row>
    <row r="839" spans="1:42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</row>
    <row r="840" spans="1:42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</row>
    <row r="841" spans="1:42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</row>
    <row r="842" spans="1:42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</row>
    <row r="843" spans="1:42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</row>
    <row r="844" spans="1:42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</row>
    <row r="845" spans="1:42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</row>
    <row r="846" spans="1:42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</row>
    <row r="847" spans="1:42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</row>
    <row r="848" spans="1:42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</row>
    <row r="849" spans="1:42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</row>
    <row r="850" spans="1:42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</row>
    <row r="851" spans="1:42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</row>
    <row r="852" spans="1:42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</row>
    <row r="853" spans="1:42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</row>
    <row r="854" spans="1:42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</row>
    <row r="855" spans="1:42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</row>
    <row r="856" spans="1:42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</row>
    <row r="857" spans="1:42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</row>
    <row r="858" spans="1:42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</row>
    <row r="859" spans="1:42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</row>
    <row r="860" spans="1:42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</row>
    <row r="861" spans="1:42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</row>
    <row r="862" spans="1:42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</row>
    <row r="863" spans="1:42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</row>
    <row r="864" spans="1:42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</row>
    <row r="865" spans="1:42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</row>
    <row r="866" spans="1:42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</row>
    <row r="867" spans="1:42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</row>
    <row r="868" spans="1:42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</row>
    <row r="869" spans="1:42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</row>
    <row r="870" spans="1:42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</row>
    <row r="871" spans="1:42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</row>
    <row r="872" spans="1:42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</row>
    <row r="873" spans="1:42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</row>
    <row r="874" spans="1:42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</row>
    <row r="875" spans="1:42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</row>
    <row r="876" spans="1:42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</row>
    <row r="877" spans="1:42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</row>
    <row r="878" spans="1:42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</row>
    <row r="879" spans="1:42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</row>
    <row r="880" spans="1:42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</row>
    <row r="881" spans="1:42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</row>
    <row r="882" spans="1:42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</row>
    <row r="883" spans="1:42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</row>
    <row r="884" spans="1:42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</row>
    <row r="885" spans="1:42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</row>
    <row r="886" spans="1:42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</row>
    <row r="887" spans="1:42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</row>
    <row r="888" spans="1:42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</row>
    <row r="889" spans="1:42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</row>
    <row r="890" spans="1:42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</row>
    <row r="891" spans="1:42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</row>
    <row r="892" spans="1:42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</row>
    <row r="893" spans="1:42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</row>
    <row r="894" spans="1:42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</row>
    <row r="895" spans="1:42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</row>
    <row r="896" spans="1:42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</row>
    <row r="897" spans="1:42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</row>
    <row r="898" spans="1:42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</row>
    <row r="899" spans="1:42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</row>
    <row r="900" spans="1:42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</row>
    <row r="901" spans="1:42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</row>
    <row r="902" spans="1:42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</row>
    <row r="903" spans="1:42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</row>
    <row r="904" spans="1:42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</row>
    <row r="905" spans="1:42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</row>
    <row r="906" spans="1:42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</row>
    <row r="907" spans="1:42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</row>
    <row r="908" spans="1:42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</row>
    <row r="909" spans="1:42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</row>
    <row r="910" spans="1:42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</row>
    <row r="911" spans="1:42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</row>
    <row r="912" spans="1:42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</row>
    <row r="913" spans="1:42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</row>
    <row r="914" spans="1:42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</row>
    <row r="915" spans="1:42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</row>
    <row r="916" spans="1:42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</row>
    <row r="917" spans="1:42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</row>
    <row r="918" spans="1:42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</row>
    <row r="919" spans="1:42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</row>
    <row r="920" spans="1:42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</row>
    <row r="921" spans="1:42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</row>
    <row r="922" spans="1:42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</row>
    <row r="923" spans="1:42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</row>
    <row r="924" spans="1:42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</row>
    <row r="925" spans="1:42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</row>
    <row r="926" spans="1:42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</row>
    <row r="927" spans="1:42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</row>
    <row r="928" spans="1:42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</row>
    <row r="929" spans="1:42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</row>
    <row r="930" spans="1:42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</row>
    <row r="931" spans="1:42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</row>
    <row r="932" spans="1:42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</row>
    <row r="933" spans="1:42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</row>
    <row r="934" spans="1:42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</row>
    <row r="935" spans="1:42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</row>
    <row r="936" spans="1:42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</row>
    <row r="937" spans="1:42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</row>
    <row r="938" spans="1:42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</row>
    <row r="939" spans="1:42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</row>
    <row r="940" spans="1:42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</row>
    <row r="941" spans="1:42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</row>
    <row r="942" spans="1:42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</row>
    <row r="943" spans="1:42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</row>
    <row r="944" spans="1:42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</row>
    <row r="945" spans="1:42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</row>
    <row r="946" spans="1:42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</row>
    <row r="947" spans="1:42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</row>
    <row r="948" spans="1:42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</row>
    <row r="949" spans="1:42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</row>
    <row r="950" spans="1:42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</row>
    <row r="951" spans="1:42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</row>
    <row r="952" spans="1:42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</row>
    <row r="953" spans="1:42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</row>
    <row r="954" spans="1:42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</row>
    <row r="955" spans="1:42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</row>
    <row r="956" spans="1:42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</row>
    <row r="957" spans="1:42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</row>
    <row r="958" spans="1:42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</row>
    <row r="959" spans="1:42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</row>
    <row r="960" spans="1:42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</row>
    <row r="961" spans="1:42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</row>
    <row r="962" spans="1:42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</row>
    <row r="963" spans="1:42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</row>
    <row r="964" spans="1:42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</row>
    <row r="965" spans="1:42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</row>
    <row r="966" spans="1:42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</row>
    <row r="967" spans="1:42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</row>
    <row r="968" spans="1:42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</row>
    <row r="969" spans="1:42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</row>
    <row r="970" spans="1:42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</row>
    <row r="971" spans="1:42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</row>
    <row r="972" spans="1:42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</row>
    <row r="973" spans="1:42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</row>
    <row r="974" spans="1:42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</row>
    <row r="975" spans="1:42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</row>
    <row r="976" spans="1:42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</row>
    <row r="977" spans="1:42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</row>
    <row r="978" spans="1:42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</row>
    <row r="979" spans="1:42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</row>
    <row r="980" spans="1:42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</row>
    <row r="981" spans="1:42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</row>
    <row r="982" spans="1:42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</row>
    <row r="983" spans="1:42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</row>
    <row r="984" spans="1:42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</row>
    <row r="985" spans="1:42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</row>
    <row r="986" spans="1:42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</row>
    <row r="987" spans="1:42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</row>
    <row r="988" spans="1:42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</row>
    <row r="989" spans="1:42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</row>
    <row r="990" spans="1:42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</row>
    <row r="991" spans="1:42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</row>
    <row r="992" spans="1:42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</row>
    <row r="993" spans="1:42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</row>
    <row r="994" spans="1:42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</row>
    <row r="995" spans="1:42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</row>
    <row r="996" spans="1:42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</row>
    <row r="997" spans="1:42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</row>
    <row r="998" spans="1:42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</row>
    <row r="999" spans="1:42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</row>
    <row r="1000" spans="1:42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</row>
  </sheetData>
  <mergeCells count="1">
    <mergeCell ref="B4:K4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140625" defaultRowHeight="15" customHeight="1"/>
  <cols>
    <col min="1" max="1" width="14.7109375" customWidth="1"/>
    <col min="2" max="2" width="12.28515625" customWidth="1"/>
    <col min="3" max="3" width="13.42578125" customWidth="1"/>
    <col min="4" max="4" width="13.28515625" customWidth="1"/>
    <col min="5" max="5" width="9.85546875" customWidth="1"/>
    <col min="6" max="6" width="10.85546875" customWidth="1"/>
    <col min="7" max="7" width="11.5703125" customWidth="1"/>
    <col min="8" max="8" width="12.5703125" customWidth="1"/>
    <col min="9" max="26" width="7" customWidth="1"/>
  </cols>
  <sheetData>
    <row r="1" spans="1:26">
      <c r="A1" s="66"/>
      <c r="B1" s="66"/>
      <c r="C1" s="66"/>
      <c r="D1" s="66"/>
      <c r="E1" s="66"/>
      <c r="F1" s="66"/>
      <c r="G1" s="66" t="s">
        <v>96</v>
      </c>
      <c r="H1" s="66"/>
    </row>
    <row r="2" spans="1:26">
      <c r="A2" s="66" t="s">
        <v>97</v>
      </c>
      <c r="B2" s="66" t="s">
        <v>98</v>
      </c>
      <c r="C2" s="66" t="s">
        <v>99</v>
      </c>
      <c r="D2" s="66" t="s">
        <v>93</v>
      </c>
      <c r="E2" s="66" t="s">
        <v>100</v>
      </c>
      <c r="F2" s="66" t="s">
        <v>101</v>
      </c>
      <c r="G2" s="66" t="s">
        <v>102</v>
      </c>
      <c r="H2" s="66" t="s">
        <v>103</v>
      </c>
      <c r="I2" s="66" t="s">
        <v>104</v>
      </c>
    </row>
    <row r="3" spans="1:26">
      <c r="A3" s="66">
        <v>1.5</v>
      </c>
      <c r="B3" s="66">
        <v>1000</v>
      </c>
      <c r="C3" s="66">
        <v>3</v>
      </c>
      <c r="D3" s="100">
        <f>('Mitigation Data Scenario 3 '!K14/('Conversion Calculator'!E3/1000))</f>
        <v>0.60561167167550178</v>
      </c>
      <c r="E3" s="66">
        <v>14149331</v>
      </c>
      <c r="F3" s="66">
        <v>2204.6</v>
      </c>
      <c r="G3" s="66">
        <v>3.4120000000000001E-3</v>
      </c>
      <c r="H3" s="66">
        <v>0.10249999999999999</v>
      </c>
      <c r="I3" s="66">
        <v>0.1</v>
      </c>
    </row>
    <row r="4" spans="1:26">
      <c r="A4" s="66"/>
      <c r="B4" s="66"/>
      <c r="C4" s="66"/>
      <c r="D4" s="66"/>
      <c r="E4" s="66"/>
      <c r="F4" s="66"/>
      <c r="G4" s="66"/>
      <c r="H4" s="66"/>
    </row>
    <row r="5" spans="1:26">
      <c r="A5" s="66"/>
      <c r="B5" s="66"/>
      <c r="C5" s="66"/>
      <c r="D5" s="66"/>
      <c r="E5" s="66"/>
      <c r="F5" s="66"/>
      <c r="G5" s="66"/>
      <c r="H5" s="66"/>
    </row>
    <row r="6" spans="1:26">
      <c r="A6" s="66"/>
      <c r="B6" s="66"/>
      <c r="C6" s="66"/>
      <c r="D6" s="66"/>
      <c r="E6" s="66"/>
      <c r="F6" s="66"/>
      <c r="G6" s="66"/>
      <c r="H6" s="66"/>
    </row>
    <row r="7" spans="1:26">
      <c r="A7" s="66"/>
      <c r="B7" s="66"/>
      <c r="C7" s="66"/>
      <c r="D7" s="66"/>
      <c r="E7" s="66"/>
      <c r="F7" s="66"/>
      <c r="G7" s="66"/>
      <c r="H7" s="66"/>
    </row>
    <row r="8" spans="1:26">
      <c r="A8" s="66" t="s">
        <v>105</v>
      </c>
      <c r="B8" s="66" t="s">
        <v>106</v>
      </c>
      <c r="C8" s="101" t="s">
        <v>107</v>
      </c>
      <c r="D8" s="66" t="s">
        <v>108</v>
      </c>
      <c r="E8" s="66" t="s">
        <v>109</v>
      </c>
      <c r="F8" s="66"/>
      <c r="G8" s="66"/>
      <c r="H8" s="66"/>
    </row>
    <row r="9" spans="1:26">
      <c r="A9" s="66" t="s">
        <v>110</v>
      </c>
      <c r="B9" s="66">
        <v>92768</v>
      </c>
      <c r="C9" s="66">
        <v>559000</v>
      </c>
      <c r="D9" s="37">
        <f>(B9/B3)*D3</f>
        <v>56.181383557992952</v>
      </c>
      <c r="E9" s="66"/>
      <c r="F9" s="66"/>
      <c r="G9" s="66"/>
      <c r="H9" s="66"/>
    </row>
    <row r="10" spans="1:26">
      <c r="A10" s="66" t="s">
        <v>111</v>
      </c>
      <c r="B10" s="12">
        <v>1630001</v>
      </c>
      <c r="C10" s="66">
        <v>2700000</v>
      </c>
      <c r="D10" s="37">
        <f>(B10/$B$3)*$D$3</f>
        <v>987.14763044273957</v>
      </c>
      <c r="E10" s="66">
        <v>7.81</v>
      </c>
      <c r="F10" s="66"/>
      <c r="G10" s="66"/>
      <c r="H10" s="66"/>
    </row>
    <row r="11" spans="1:26">
      <c r="A11" s="66"/>
      <c r="B11" s="66"/>
      <c r="C11" s="66"/>
      <c r="D11" s="66"/>
      <c r="E11" s="66"/>
      <c r="F11" s="66"/>
      <c r="G11" s="66"/>
      <c r="H11" s="66"/>
    </row>
    <row r="12" spans="1:26">
      <c r="A12" s="102" t="s">
        <v>62</v>
      </c>
      <c r="B12" s="102" t="s">
        <v>112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>
      <c r="A13" s="66"/>
      <c r="B13" s="66"/>
      <c r="C13" s="66"/>
      <c r="D13" s="66"/>
      <c r="E13" s="66"/>
      <c r="F13" s="66"/>
      <c r="G13" s="66"/>
      <c r="H13" s="66"/>
    </row>
    <row r="14" spans="1:26">
      <c r="A14" s="66" t="s">
        <v>113</v>
      </c>
      <c r="B14" s="66"/>
      <c r="C14" s="66"/>
      <c r="D14" s="66"/>
      <c r="E14" s="66"/>
      <c r="F14" s="66"/>
      <c r="G14" s="66"/>
      <c r="H14" s="66"/>
    </row>
    <row r="15" spans="1:26">
      <c r="A15" s="66" t="s">
        <v>114</v>
      </c>
      <c r="B15" s="66">
        <v>1053000</v>
      </c>
      <c r="C15" s="66"/>
      <c r="D15" s="37">
        <f t="shared" ref="D15:D17" si="0">(B15/$B$3)*$D$3</f>
        <v>637.70909027430343</v>
      </c>
      <c r="E15" s="66"/>
      <c r="F15" s="66"/>
      <c r="G15" s="66"/>
      <c r="H15" s="66"/>
    </row>
    <row r="16" spans="1:26">
      <c r="A16" s="66" t="s">
        <v>115</v>
      </c>
      <c r="B16" s="66">
        <v>1348000</v>
      </c>
      <c r="C16" s="66"/>
      <c r="D16" s="37">
        <f t="shared" si="0"/>
        <v>816.36453341857646</v>
      </c>
      <c r="E16" s="66"/>
      <c r="F16" s="66"/>
      <c r="G16" s="66"/>
      <c r="H16" s="66"/>
    </row>
    <row r="17" spans="1:8">
      <c r="A17" s="66" t="s">
        <v>116</v>
      </c>
      <c r="B17" s="66">
        <v>1530000</v>
      </c>
      <c r="C17" s="66"/>
      <c r="D17" s="37">
        <f t="shared" si="0"/>
        <v>926.58585766351769</v>
      </c>
      <c r="E17" s="66"/>
      <c r="F17" s="66"/>
      <c r="G17" s="66"/>
      <c r="H17" s="66"/>
    </row>
    <row r="18" spans="1:8">
      <c r="A18" s="66"/>
      <c r="B18" s="66"/>
      <c r="C18" s="66"/>
      <c r="D18" s="66"/>
      <c r="E18" s="66"/>
      <c r="F18" s="66"/>
      <c r="G18" s="66"/>
      <c r="H18" s="66"/>
    </row>
    <row r="19" spans="1:8">
      <c r="A19" s="66" t="s">
        <v>117</v>
      </c>
      <c r="B19" s="66"/>
      <c r="C19" s="66"/>
      <c r="D19" s="66"/>
      <c r="E19" s="66" t="s">
        <v>118</v>
      </c>
      <c r="F19" s="66"/>
      <c r="G19" s="66" t="s">
        <v>119</v>
      </c>
      <c r="H19" s="66" t="s">
        <v>120</v>
      </c>
    </row>
    <row r="20" spans="1:8">
      <c r="A20" s="66" t="s">
        <v>121</v>
      </c>
      <c r="B20" s="66">
        <v>2080500</v>
      </c>
      <c r="C20" s="66">
        <v>1000000</v>
      </c>
      <c r="D20" s="37">
        <f>(B20/$B$3)*$D$3</f>
        <v>1259.9750829208815</v>
      </c>
      <c r="E20" s="66">
        <v>16073</v>
      </c>
      <c r="F20" s="66">
        <f>(E20*1000)*'Mitigation Data Scenario 3 '!B76</f>
        <v>916.65573994815384</v>
      </c>
      <c r="G20" s="66">
        <v>22587</v>
      </c>
      <c r="H20" s="66">
        <f>(G20*1000)*'Mitigation Data Scenario 3 '!B76</f>
        <v>1288.1542461400454</v>
      </c>
    </row>
    <row r="21" spans="1:8">
      <c r="A21" s="66"/>
      <c r="B21" s="66"/>
      <c r="C21" s="66"/>
      <c r="D21" s="66">
        <f>B20*1.5/2205</f>
        <v>1415.3061224489795</v>
      </c>
      <c r="E21" s="66"/>
      <c r="F21" s="66"/>
      <c r="G21" s="66"/>
      <c r="H21" s="66">
        <f>G20*117/2205</f>
        <v>1198.4938775510204</v>
      </c>
    </row>
    <row r="22" spans="1:8">
      <c r="A22" s="66"/>
      <c r="B22" s="66"/>
      <c r="C22" s="66"/>
      <c r="D22" s="66"/>
      <c r="E22" s="66"/>
      <c r="F22" s="66"/>
      <c r="G22" s="66"/>
      <c r="H22" s="66"/>
    </row>
    <row r="23" spans="1:8">
      <c r="A23" s="66"/>
      <c r="B23" s="66"/>
      <c r="C23" s="66"/>
      <c r="D23" s="66"/>
      <c r="E23" s="37">
        <f>D20+F20</f>
        <v>2176.6308228690355</v>
      </c>
      <c r="F23" s="37">
        <f>E23-H20</f>
        <v>888.47657672899004</v>
      </c>
      <c r="G23" s="103">
        <f>F23*2204.6</f>
        <v>1958735.4610567314</v>
      </c>
      <c r="H23" s="66"/>
    </row>
    <row r="24" spans="1:8">
      <c r="A24" s="66" t="s">
        <v>122</v>
      </c>
      <c r="B24" s="66"/>
      <c r="C24" s="66"/>
      <c r="D24" s="66"/>
      <c r="E24" s="66"/>
      <c r="F24" s="66"/>
      <c r="G24" s="66"/>
      <c r="H24" s="66"/>
    </row>
    <row r="25" spans="1:8">
      <c r="A25" s="66" t="s">
        <v>123</v>
      </c>
      <c r="B25" s="66">
        <v>316563</v>
      </c>
      <c r="C25" s="66">
        <v>1820000</v>
      </c>
      <c r="D25" s="37">
        <f>(B25/$B$3)*$D$3</f>
        <v>191.71424762061187</v>
      </c>
      <c r="E25" s="66"/>
      <c r="F25" s="66"/>
      <c r="G25" s="66"/>
      <c r="H25" s="66"/>
    </row>
    <row r="26" spans="1:8">
      <c r="A26" s="66" t="s">
        <v>124</v>
      </c>
      <c r="B26" s="66"/>
      <c r="C26" s="66"/>
      <c r="D26" s="66"/>
      <c r="E26" s="66"/>
      <c r="F26" s="66"/>
      <c r="G26" s="66"/>
      <c r="H26" s="66"/>
    </row>
    <row r="27" spans="1:8">
      <c r="A27" s="66" t="s">
        <v>123</v>
      </c>
      <c r="B27" s="66">
        <v>101753</v>
      </c>
      <c r="C27" s="66">
        <v>630000</v>
      </c>
      <c r="D27" s="37">
        <f>(B27/$B$3)*$D$3</f>
        <v>61.62280442799733</v>
      </c>
      <c r="E27" s="66"/>
      <c r="F27" s="66"/>
      <c r="G27" s="66"/>
      <c r="H27" s="66"/>
    </row>
    <row r="28" spans="1:8">
      <c r="A28" s="66" t="s">
        <v>125</v>
      </c>
      <c r="B28" s="66"/>
      <c r="C28" s="66"/>
      <c r="D28" s="66"/>
      <c r="E28" s="66"/>
      <c r="F28" s="66"/>
      <c r="G28" s="66"/>
      <c r="H28" s="66"/>
    </row>
    <row r="29" spans="1:8">
      <c r="A29" s="66" t="s">
        <v>123</v>
      </c>
      <c r="B29" s="66">
        <v>107405</v>
      </c>
      <c r="C29" s="66">
        <v>665000</v>
      </c>
      <c r="D29" s="37">
        <f>(B29/$B$3)*$D$3</f>
        <v>65.045721596307274</v>
      </c>
      <c r="E29" s="66"/>
      <c r="F29" s="66"/>
      <c r="G29" s="66"/>
      <c r="H29" s="66"/>
    </row>
    <row r="30" spans="1:8">
      <c r="A30" s="66" t="s">
        <v>126</v>
      </c>
      <c r="B30" s="66"/>
      <c r="C30" s="66"/>
      <c r="D30" s="66"/>
      <c r="E30" s="66"/>
      <c r="F30" s="66"/>
      <c r="G30" s="66"/>
      <c r="H30" s="66"/>
    </row>
    <row r="31" spans="1:8">
      <c r="A31" s="66" t="s">
        <v>123</v>
      </c>
      <c r="B31" s="66">
        <v>245337</v>
      </c>
      <c r="C31" s="66">
        <v>1410500</v>
      </c>
      <c r="D31" s="37">
        <f>(B31/$B$3)*$D$3</f>
        <v>148.57895069385256</v>
      </c>
      <c r="E31" s="66"/>
      <c r="F31" s="66"/>
      <c r="G31" s="66"/>
      <c r="H31" s="66"/>
    </row>
    <row r="32" spans="1:8">
      <c r="A32" s="66" t="s">
        <v>127</v>
      </c>
      <c r="B32" s="66"/>
      <c r="C32" s="66"/>
      <c r="D32" s="66"/>
      <c r="E32" s="66"/>
      <c r="F32" s="66"/>
      <c r="G32" s="66"/>
      <c r="H32" s="66"/>
    </row>
    <row r="33" spans="1:8">
      <c r="A33" s="66" t="s">
        <v>123</v>
      </c>
      <c r="B33" s="66">
        <v>151498</v>
      </c>
      <c r="C33" s="66">
        <v>938000</v>
      </c>
      <c r="D33" s="37">
        <f>(B33/$B$3)*$D$3</f>
        <v>91.748957035495167</v>
      </c>
      <c r="E33" s="66"/>
      <c r="F33" s="66"/>
      <c r="G33" s="66"/>
      <c r="H33" s="66"/>
    </row>
    <row r="34" spans="1:8">
      <c r="A34" s="66" t="s">
        <v>128</v>
      </c>
      <c r="B34" s="66"/>
      <c r="C34" s="66"/>
      <c r="D34" s="66"/>
      <c r="E34" s="66"/>
      <c r="F34" s="66"/>
      <c r="G34" s="66"/>
      <c r="H34" s="66"/>
    </row>
    <row r="35" spans="1:8">
      <c r="A35" s="66" t="s">
        <v>123</v>
      </c>
      <c r="B35" s="66">
        <v>192200</v>
      </c>
      <c r="C35" s="66">
        <v>1190000</v>
      </c>
      <c r="D35" s="37">
        <f>(B35/$B$3)*$D$3</f>
        <v>116.39856329603144</v>
      </c>
      <c r="E35" s="66"/>
      <c r="F35" s="66"/>
      <c r="G35" s="66"/>
      <c r="H35" s="66"/>
    </row>
    <row r="36" spans="1:8">
      <c r="A36" s="66" t="s">
        <v>129</v>
      </c>
      <c r="B36" s="66"/>
      <c r="C36" s="66"/>
      <c r="D36" s="66"/>
      <c r="E36" s="66"/>
      <c r="F36" s="66"/>
      <c r="G36" s="66"/>
      <c r="H36" s="66"/>
    </row>
    <row r="37" spans="1:8">
      <c r="A37" s="66" t="s">
        <v>123</v>
      </c>
      <c r="B37" s="66">
        <v>200114</v>
      </c>
      <c r="C37" s="66">
        <v>1239000</v>
      </c>
      <c r="D37" s="37">
        <f>(B37/$B$3)*$D$3</f>
        <v>121.19137406567137</v>
      </c>
      <c r="E37" s="66"/>
      <c r="F37" s="66"/>
      <c r="G37" s="66"/>
      <c r="H37" s="66"/>
    </row>
    <row r="38" spans="1:8">
      <c r="A38" s="66"/>
      <c r="B38" s="9">
        <f>SUM(B25:B37)</f>
        <v>1314870</v>
      </c>
      <c r="C38" s="66"/>
      <c r="D38" s="37">
        <f>SUM(D25:D37)</f>
        <v>796.30061873596696</v>
      </c>
      <c r="E38" s="66"/>
      <c r="F38" s="66"/>
      <c r="G38" s="66"/>
      <c r="H38" s="66"/>
    </row>
    <row r="39" spans="1:8">
      <c r="A39" s="66"/>
      <c r="B39" s="66"/>
      <c r="C39" s="66"/>
      <c r="D39" s="66"/>
      <c r="E39" s="66"/>
      <c r="F39" s="66"/>
      <c r="G39" s="66"/>
      <c r="H39" s="66"/>
    </row>
    <row r="40" spans="1:8">
      <c r="A40" s="66"/>
      <c r="B40" s="66"/>
      <c r="C40" s="66"/>
      <c r="D40" s="66"/>
      <c r="E40" s="66"/>
      <c r="F40" s="66"/>
      <c r="G40" s="66"/>
      <c r="H40" s="66"/>
    </row>
    <row r="41" spans="1:8">
      <c r="A41" s="66" t="s">
        <v>130</v>
      </c>
      <c r="B41" s="66"/>
      <c r="C41" s="66"/>
      <c r="D41" s="66"/>
      <c r="E41" s="66"/>
      <c r="F41" s="66"/>
      <c r="G41" s="66"/>
      <c r="H41" s="66"/>
    </row>
    <row r="42" spans="1:8">
      <c r="A42" s="66" t="s">
        <v>131</v>
      </c>
      <c r="B42" s="66">
        <v>22</v>
      </c>
      <c r="C42" s="66"/>
      <c r="D42" s="66"/>
      <c r="E42" s="66"/>
      <c r="F42" s="66"/>
      <c r="G42" s="66"/>
      <c r="H42" s="66"/>
    </row>
    <row r="43" spans="1:8">
      <c r="A43" s="66" t="s">
        <v>132</v>
      </c>
      <c r="B43" s="66">
        <v>2.3440000000000001E-4</v>
      </c>
      <c r="C43" s="66"/>
      <c r="D43" s="66"/>
      <c r="E43" s="66"/>
      <c r="F43" s="66"/>
      <c r="G43" s="66"/>
      <c r="H43" s="66"/>
    </row>
    <row r="44" spans="1:8">
      <c r="A44" s="66" t="s">
        <v>133</v>
      </c>
      <c r="B44" s="66">
        <v>1000</v>
      </c>
      <c r="C44" s="66"/>
      <c r="D44" s="66"/>
      <c r="E44" s="66"/>
      <c r="F44" s="66"/>
      <c r="G44" s="66"/>
      <c r="H44" s="66"/>
    </row>
    <row r="45" spans="1:8">
      <c r="A45" s="66" t="s">
        <v>134</v>
      </c>
      <c r="B45" s="66">
        <v>1430</v>
      </c>
      <c r="C45" s="66">
        <v>1608</v>
      </c>
      <c r="D45" s="66"/>
      <c r="E45" s="66"/>
      <c r="F45" s="66"/>
      <c r="G45" s="66"/>
      <c r="H45" s="66"/>
    </row>
    <row r="46" spans="1:8">
      <c r="A46" s="66" t="s">
        <v>135</v>
      </c>
      <c r="B46" s="62">
        <f>((B45/B43)/B44)*B42</f>
        <v>134215.01706484641</v>
      </c>
      <c r="C46" s="66"/>
      <c r="D46" s="66"/>
      <c r="E46" s="66"/>
      <c r="F46" s="66"/>
      <c r="G46" s="66"/>
      <c r="H46" s="66"/>
    </row>
    <row r="47" spans="1:8">
      <c r="A47" s="66"/>
      <c r="B47" s="66"/>
      <c r="C47" s="66"/>
      <c r="D47" s="66"/>
      <c r="E47" s="66"/>
      <c r="F47" s="66"/>
      <c r="G47" s="66"/>
      <c r="H47" s="66"/>
    </row>
    <row r="48" spans="1:8">
      <c r="A48" s="66" t="s">
        <v>136</v>
      </c>
      <c r="B48" s="66"/>
      <c r="C48" s="66"/>
      <c r="D48" s="66"/>
      <c r="E48" s="66"/>
      <c r="F48" s="66"/>
      <c r="G48" s="66"/>
      <c r="H48" s="66"/>
    </row>
    <row r="49" spans="1:8">
      <c r="A49" s="66" t="s">
        <v>131</v>
      </c>
      <c r="B49" s="66">
        <v>22</v>
      </c>
      <c r="C49" s="66"/>
      <c r="D49" s="66"/>
      <c r="E49" s="66"/>
      <c r="F49" s="66"/>
      <c r="G49" s="66"/>
      <c r="H49" s="66"/>
    </row>
    <row r="50" spans="1:8">
      <c r="A50" s="66" t="s">
        <v>132</v>
      </c>
      <c r="B50" s="66">
        <v>2.3440000000000001E-4</v>
      </c>
      <c r="C50" s="66"/>
      <c r="D50" s="66"/>
      <c r="E50" s="66"/>
      <c r="F50" s="66"/>
      <c r="G50" s="66"/>
      <c r="H50" s="66"/>
    </row>
    <row r="51" spans="1:8">
      <c r="A51" s="66" t="s">
        <v>133</v>
      </c>
      <c r="B51" s="66">
        <v>1000</v>
      </c>
      <c r="C51" s="66"/>
      <c r="D51" s="66"/>
      <c r="E51" s="66"/>
      <c r="F51" s="66"/>
      <c r="G51" s="66"/>
      <c r="H51" s="66"/>
    </row>
    <row r="52" spans="1:8">
      <c r="A52" s="66" t="s">
        <v>134</v>
      </c>
      <c r="B52" s="66">
        <v>1608</v>
      </c>
      <c r="C52" s="66"/>
      <c r="D52" s="66"/>
      <c r="E52" s="66"/>
      <c r="F52" s="66"/>
      <c r="G52" s="66"/>
      <c r="H52" s="66"/>
    </row>
    <row r="53" spans="1:8">
      <c r="A53" s="66" t="s">
        <v>135</v>
      </c>
      <c r="B53" s="62">
        <f>((B52/B50)/B51)*B49</f>
        <v>150921.50170648462</v>
      </c>
      <c r="C53" s="66"/>
      <c r="D53" s="66"/>
      <c r="E53" s="66"/>
      <c r="F53" s="66"/>
      <c r="G53" s="66"/>
      <c r="H53" s="66"/>
    </row>
    <row r="54" spans="1:8">
      <c r="A54" s="66"/>
      <c r="B54" s="66"/>
      <c r="C54" s="66"/>
      <c r="D54" s="66"/>
      <c r="E54" s="66"/>
      <c r="F54" s="66"/>
      <c r="G54" s="66"/>
      <c r="H54" s="66"/>
    </row>
    <row r="55" spans="1:8">
      <c r="A55" s="66"/>
      <c r="B55" s="12">
        <f>B53/B49</f>
        <v>6860.0682593856645</v>
      </c>
      <c r="C55" s="66"/>
      <c r="D55" s="66"/>
      <c r="E55" s="66"/>
      <c r="F55" s="66"/>
      <c r="G55" s="66"/>
      <c r="H55" s="66"/>
    </row>
    <row r="56" spans="1:8">
      <c r="A56" s="66"/>
      <c r="B56" s="66"/>
      <c r="C56" s="66"/>
      <c r="D56" s="66"/>
      <c r="E56" s="66"/>
      <c r="F56" s="66"/>
      <c r="G56" s="66"/>
      <c r="H56" s="66"/>
    </row>
    <row r="57" spans="1:8">
      <c r="A57" s="66"/>
      <c r="B57" s="66"/>
      <c r="C57" s="66"/>
      <c r="D57" s="66"/>
      <c r="E57" s="66"/>
      <c r="F57" s="66"/>
      <c r="G57" s="66"/>
      <c r="H57" s="66"/>
    </row>
    <row r="58" spans="1:8">
      <c r="A58" s="66"/>
      <c r="B58" s="66"/>
      <c r="C58" s="66"/>
      <c r="D58" s="66"/>
      <c r="E58" s="66"/>
      <c r="F58" s="66"/>
      <c r="G58" s="66"/>
      <c r="H58" s="66"/>
    </row>
    <row r="59" spans="1:8">
      <c r="A59" s="66"/>
      <c r="B59" s="66"/>
      <c r="C59" s="66"/>
      <c r="D59" s="66"/>
      <c r="E59" s="66"/>
      <c r="F59" s="66"/>
      <c r="G59" s="66"/>
      <c r="H59" s="66"/>
    </row>
    <row r="60" spans="1:8">
      <c r="A60" s="66"/>
      <c r="B60" s="66"/>
      <c r="C60" s="66"/>
      <c r="D60" s="66"/>
      <c r="E60" s="66"/>
      <c r="F60" s="66"/>
      <c r="G60" s="66"/>
      <c r="H60" s="66"/>
    </row>
    <row r="61" spans="1:8">
      <c r="A61" s="66"/>
      <c r="B61" s="66"/>
      <c r="C61" s="66"/>
      <c r="D61" s="66"/>
      <c r="E61" s="66"/>
      <c r="F61" s="66"/>
      <c r="G61" s="66"/>
      <c r="H61" s="66"/>
    </row>
    <row r="62" spans="1:8">
      <c r="A62" s="66"/>
      <c r="B62" s="66"/>
      <c r="C62" s="66"/>
      <c r="D62" s="66"/>
      <c r="E62" s="66"/>
      <c r="F62" s="66"/>
      <c r="G62" s="66"/>
      <c r="H62" s="66"/>
    </row>
    <row r="63" spans="1:8">
      <c r="A63" s="66"/>
      <c r="B63" s="66"/>
      <c r="C63" s="66"/>
      <c r="D63" s="66"/>
      <c r="E63" s="66"/>
      <c r="F63" s="66"/>
      <c r="G63" s="66"/>
      <c r="H63" s="66"/>
    </row>
    <row r="64" spans="1:8">
      <c r="A64" s="66"/>
      <c r="B64" s="66"/>
      <c r="C64" s="66"/>
      <c r="D64" s="66"/>
      <c r="E64" s="66"/>
      <c r="F64" s="66"/>
      <c r="G64" s="66"/>
      <c r="H64" s="66"/>
    </row>
    <row r="65" spans="1:8">
      <c r="A65" s="66"/>
      <c r="B65" s="66"/>
      <c r="C65" s="66"/>
      <c r="D65" s="66"/>
      <c r="E65" s="66"/>
      <c r="F65" s="66"/>
      <c r="G65" s="66"/>
      <c r="H65" s="66"/>
    </row>
    <row r="66" spans="1:8">
      <c r="A66" s="66"/>
      <c r="B66" s="66"/>
      <c r="C66" s="66"/>
      <c r="D66" s="66"/>
      <c r="E66" s="66"/>
      <c r="F66" s="66"/>
      <c r="G66" s="66"/>
      <c r="H66" s="66"/>
    </row>
    <row r="67" spans="1:8">
      <c r="A67" s="66"/>
      <c r="B67" s="66"/>
      <c r="C67" s="66"/>
      <c r="D67" s="66"/>
      <c r="E67" s="66"/>
      <c r="F67" s="66"/>
      <c r="G67" s="66"/>
      <c r="H67" s="66"/>
    </row>
    <row r="68" spans="1:8">
      <c r="A68" s="66"/>
      <c r="B68" s="66"/>
      <c r="C68" s="66"/>
      <c r="D68" s="66"/>
      <c r="E68" s="66"/>
      <c r="F68" s="66"/>
      <c r="G68" s="66"/>
      <c r="H68" s="66"/>
    </row>
    <row r="69" spans="1:8">
      <c r="A69" s="66"/>
      <c r="B69" s="66"/>
      <c r="C69" s="66"/>
      <c r="D69" s="66"/>
      <c r="E69" s="66"/>
      <c r="F69" s="66"/>
      <c r="G69" s="66"/>
      <c r="H69" s="66"/>
    </row>
    <row r="70" spans="1:8">
      <c r="A70" s="66"/>
      <c r="B70" s="66"/>
      <c r="C70" s="66"/>
      <c r="D70" s="66"/>
      <c r="E70" s="66"/>
      <c r="F70" s="66"/>
      <c r="G70" s="66"/>
      <c r="H70" s="66"/>
    </row>
    <row r="71" spans="1:8">
      <c r="A71" s="66"/>
      <c r="B71" s="66"/>
      <c r="C71" s="66"/>
      <c r="D71" s="66"/>
      <c r="E71" s="66"/>
      <c r="F71" s="66"/>
      <c r="G71" s="66"/>
      <c r="H71" s="66"/>
    </row>
    <row r="72" spans="1:8">
      <c r="A72" s="66"/>
      <c r="B72" s="66"/>
      <c r="C72" s="66"/>
      <c r="D72" s="66"/>
      <c r="E72" s="66"/>
      <c r="F72" s="66"/>
      <c r="G72" s="66"/>
      <c r="H72" s="66"/>
    </row>
    <row r="73" spans="1:8">
      <c r="A73" s="66"/>
      <c r="B73" s="66"/>
      <c r="C73" s="66"/>
      <c r="D73" s="66"/>
      <c r="E73" s="66"/>
      <c r="F73" s="66"/>
      <c r="G73" s="66"/>
      <c r="H73" s="66"/>
    </row>
    <row r="74" spans="1:8">
      <c r="A74" s="66"/>
      <c r="B74" s="66"/>
      <c r="C74" s="66"/>
      <c r="D74" s="66"/>
      <c r="E74" s="66"/>
      <c r="F74" s="66"/>
      <c r="G74" s="66"/>
      <c r="H74" s="66"/>
    </row>
    <row r="75" spans="1:8">
      <c r="A75" s="66"/>
      <c r="B75" s="66"/>
      <c r="C75" s="66"/>
      <c r="D75" s="66"/>
      <c r="E75" s="66"/>
      <c r="F75" s="66"/>
      <c r="G75" s="66"/>
      <c r="H75" s="66"/>
    </row>
    <row r="76" spans="1:8">
      <c r="A76" s="66"/>
      <c r="B76" s="66"/>
      <c r="C76" s="66"/>
      <c r="D76" s="66"/>
      <c r="E76" s="66"/>
      <c r="F76" s="66"/>
      <c r="G76" s="66"/>
      <c r="H76" s="66"/>
    </row>
    <row r="77" spans="1:8">
      <c r="A77" s="66"/>
      <c r="B77" s="66"/>
      <c r="C77" s="66"/>
      <c r="D77" s="66"/>
      <c r="E77" s="66"/>
      <c r="F77" s="66"/>
      <c r="G77" s="66"/>
      <c r="H77" s="66"/>
    </row>
    <row r="78" spans="1:8">
      <c r="A78" s="66"/>
      <c r="B78" s="66"/>
      <c r="C78" s="66"/>
      <c r="D78" s="66"/>
      <c r="E78" s="66"/>
      <c r="F78" s="66"/>
      <c r="G78" s="66"/>
      <c r="H78" s="66"/>
    </row>
    <row r="79" spans="1:8">
      <c r="A79" s="66"/>
      <c r="B79" s="66"/>
      <c r="C79" s="66"/>
      <c r="D79" s="66"/>
      <c r="E79" s="66"/>
      <c r="F79" s="66"/>
      <c r="G79" s="66"/>
      <c r="H79" s="66"/>
    </row>
    <row r="80" spans="1:8">
      <c r="A80" s="66"/>
      <c r="B80" s="66"/>
      <c r="C80" s="66"/>
      <c r="D80" s="66"/>
      <c r="E80" s="66"/>
      <c r="F80" s="66"/>
      <c r="G80" s="66"/>
      <c r="H80" s="66"/>
    </row>
    <row r="81" spans="1:8">
      <c r="A81" s="66"/>
      <c r="B81" s="66"/>
      <c r="C81" s="66"/>
      <c r="D81" s="66"/>
      <c r="E81" s="66"/>
      <c r="F81" s="66"/>
      <c r="G81" s="66"/>
      <c r="H81" s="66"/>
    </row>
    <row r="82" spans="1:8">
      <c r="A82" s="66"/>
      <c r="B82" s="66"/>
      <c r="C82" s="66"/>
      <c r="D82" s="66"/>
      <c r="E82" s="66"/>
      <c r="F82" s="66"/>
      <c r="G82" s="66"/>
      <c r="H82" s="66"/>
    </row>
    <row r="83" spans="1:8">
      <c r="A83" s="66"/>
      <c r="B83" s="66"/>
      <c r="C83" s="66"/>
      <c r="D83" s="66"/>
      <c r="E83" s="66"/>
      <c r="F83" s="66"/>
      <c r="G83" s="66"/>
      <c r="H83" s="66"/>
    </row>
    <row r="84" spans="1:8">
      <c r="A84" s="66"/>
      <c r="B84" s="66"/>
      <c r="C84" s="66"/>
      <c r="D84" s="66"/>
      <c r="E84" s="66"/>
      <c r="F84" s="66"/>
      <c r="G84" s="66"/>
      <c r="H84" s="66"/>
    </row>
    <row r="85" spans="1:8">
      <c r="A85" s="66"/>
      <c r="B85" s="66"/>
      <c r="C85" s="66"/>
      <c r="D85" s="66"/>
      <c r="E85" s="66"/>
      <c r="F85" s="66"/>
      <c r="G85" s="66"/>
      <c r="H85" s="66"/>
    </row>
    <row r="86" spans="1:8">
      <c r="A86" s="66"/>
      <c r="B86" s="66"/>
      <c r="C86" s="66"/>
      <c r="D86" s="66"/>
      <c r="E86" s="66"/>
      <c r="F86" s="66"/>
      <c r="G86" s="66"/>
      <c r="H86" s="66"/>
    </row>
    <row r="87" spans="1:8">
      <c r="A87" s="66"/>
      <c r="B87" s="66"/>
      <c r="C87" s="66"/>
      <c r="D87" s="66"/>
      <c r="E87" s="66"/>
      <c r="F87" s="66"/>
      <c r="G87" s="66"/>
      <c r="H87" s="66"/>
    </row>
    <row r="88" spans="1:8">
      <c r="A88" s="66"/>
      <c r="B88" s="66"/>
      <c r="C88" s="66"/>
      <c r="D88" s="66"/>
      <c r="E88" s="66"/>
      <c r="F88" s="66"/>
      <c r="G88" s="66"/>
      <c r="H88" s="66"/>
    </row>
    <row r="89" spans="1:8">
      <c r="A89" s="66"/>
      <c r="B89" s="66"/>
      <c r="C89" s="66"/>
      <c r="D89" s="66"/>
      <c r="E89" s="66"/>
      <c r="F89" s="66"/>
      <c r="G89" s="66"/>
      <c r="H89" s="66"/>
    </row>
    <row r="90" spans="1:8">
      <c r="A90" s="66"/>
      <c r="B90" s="66"/>
      <c r="C90" s="66"/>
      <c r="D90" s="66"/>
      <c r="E90" s="66"/>
      <c r="F90" s="66"/>
      <c r="G90" s="66"/>
      <c r="H90" s="66"/>
    </row>
    <row r="91" spans="1:8">
      <c r="A91" s="66"/>
      <c r="B91" s="66"/>
      <c r="C91" s="66"/>
      <c r="D91" s="66"/>
      <c r="E91" s="66"/>
      <c r="F91" s="66"/>
      <c r="G91" s="66"/>
      <c r="H91" s="66"/>
    </row>
    <row r="92" spans="1:8">
      <c r="A92" s="66"/>
      <c r="B92" s="66"/>
      <c r="C92" s="66"/>
      <c r="D92" s="66"/>
      <c r="E92" s="66"/>
      <c r="F92" s="66"/>
      <c r="G92" s="66"/>
      <c r="H92" s="66"/>
    </row>
    <row r="93" spans="1:8">
      <c r="A93" s="66"/>
      <c r="B93" s="66"/>
      <c r="C93" s="66"/>
      <c r="D93" s="66"/>
      <c r="E93" s="66"/>
      <c r="F93" s="66"/>
      <c r="G93" s="66"/>
      <c r="H93" s="66"/>
    </row>
    <row r="94" spans="1:8">
      <c r="A94" s="66"/>
      <c r="B94" s="66"/>
      <c r="C94" s="66"/>
      <c r="D94" s="66"/>
      <c r="E94" s="66"/>
      <c r="F94" s="66"/>
      <c r="G94" s="66"/>
      <c r="H94" s="66"/>
    </row>
    <row r="95" spans="1:8">
      <c r="A95" s="66"/>
      <c r="B95" s="66"/>
      <c r="C95" s="66"/>
      <c r="D95" s="66"/>
      <c r="E95" s="66"/>
      <c r="F95" s="66"/>
      <c r="G95" s="66"/>
      <c r="H95" s="66"/>
    </row>
    <row r="96" spans="1:8">
      <c r="A96" s="66"/>
      <c r="B96" s="66"/>
      <c r="C96" s="66"/>
      <c r="D96" s="66"/>
      <c r="E96" s="66"/>
      <c r="F96" s="66"/>
      <c r="G96" s="66"/>
      <c r="H96" s="66"/>
    </row>
    <row r="97" spans="1:8">
      <c r="A97" s="66"/>
      <c r="B97" s="66"/>
      <c r="C97" s="66"/>
      <c r="D97" s="66"/>
      <c r="E97" s="66"/>
      <c r="F97" s="66"/>
      <c r="G97" s="66"/>
      <c r="H97" s="66"/>
    </row>
    <row r="98" spans="1:8">
      <c r="A98" s="66"/>
      <c r="B98" s="66"/>
      <c r="C98" s="66"/>
      <c r="D98" s="66"/>
      <c r="E98" s="66"/>
      <c r="F98" s="66"/>
      <c r="G98" s="66"/>
      <c r="H98" s="66"/>
    </row>
    <row r="99" spans="1:8">
      <c r="A99" s="66"/>
      <c r="B99" s="66"/>
      <c r="C99" s="66"/>
      <c r="D99" s="66"/>
      <c r="E99" s="66"/>
      <c r="F99" s="66"/>
      <c r="G99" s="66"/>
      <c r="H99" s="66"/>
    </row>
    <row r="100" spans="1:8">
      <c r="A100" s="66"/>
      <c r="B100" s="66"/>
      <c r="C100" s="66"/>
      <c r="D100" s="66"/>
      <c r="E100" s="66"/>
      <c r="F100" s="66"/>
      <c r="G100" s="66"/>
      <c r="H100" s="66"/>
    </row>
    <row r="101" spans="1:8">
      <c r="A101" s="66"/>
      <c r="B101" s="66"/>
      <c r="C101" s="66"/>
      <c r="D101" s="66"/>
      <c r="E101" s="66"/>
      <c r="F101" s="66"/>
      <c r="G101" s="66"/>
      <c r="H101" s="66"/>
    </row>
    <row r="102" spans="1:8">
      <c r="A102" s="66"/>
      <c r="B102" s="66"/>
      <c r="C102" s="66"/>
      <c r="D102" s="66"/>
      <c r="E102" s="66"/>
      <c r="F102" s="66"/>
      <c r="G102" s="66"/>
      <c r="H102" s="66"/>
    </row>
    <row r="103" spans="1:8">
      <c r="A103" s="66"/>
      <c r="B103" s="66"/>
      <c r="C103" s="66"/>
      <c r="D103" s="66"/>
      <c r="E103" s="66"/>
      <c r="F103" s="66"/>
      <c r="G103" s="66"/>
      <c r="H103" s="66"/>
    </row>
    <row r="104" spans="1:8">
      <c r="A104" s="66"/>
      <c r="B104" s="66"/>
      <c r="C104" s="66"/>
      <c r="D104" s="66"/>
      <c r="E104" s="66"/>
      <c r="F104" s="66"/>
      <c r="G104" s="66"/>
      <c r="H104" s="66"/>
    </row>
    <row r="105" spans="1:8">
      <c r="A105" s="66"/>
      <c r="B105" s="66"/>
      <c r="C105" s="66"/>
      <c r="D105" s="66"/>
      <c r="E105" s="66"/>
      <c r="F105" s="66"/>
      <c r="G105" s="66"/>
      <c r="H105" s="66"/>
    </row>
    <row r="106" spans="1:8">
      <c r="A106" s="66"/>
      <c r="B106" s="66"/>
      <c r="C106" s="66"/>
      <c r="D106" s="66"/>
      <c r="E106" s="66"/>
      <c r="F106" s="66"/>
      <c r="G106" s="66"/>
      <c r="H106" s="66"/>
    </row>
    <row r="107" spans="1:8">
      <c r="A107" s="66"/>
      <c r="B107" s="66"/>
      <c r="C107" s="66"/>
      <c r="D107" s="66"/>
      <c r="E107" s="66"/>
      <c r="F107" s="66"/>
      <c r="G107" s="66"/>
      <c r="H107" s="66"/>
    </row>
    <row r="108" spans="1:8">
      <c r="A108" s="66"/>
      <c r="B108" s="66"/>
      <c r="C108" s="66"/>
      <c r="D108" s="66"/>
      <c r="E108" s="66"/>
      <c r="F108" s="66"/>
      <c r="G108" s="66"/>
      <c r="H108" s="66"/>
    </row>
    <row r="109" spans="1:8">
      <c r="A109" s="66"/>
      <c r="B109" s="66"/>
      <c r="C109" s="66"/>
      <c r="D109" s="66"/>
      <c r="E109" s="66"/>
      <c r="F109" s="66"/>
      <c r="G109" s="66"/>
      <c r="H109" s="66"/>
    </row>
    <row r="110" spans="1:8">
      <c r="A110" s="66"/>
      <c r="B110" s="66"/>
      <c r="C110" s="66"/>
      <c r="D110" s="66"/>
      <c r="E110" s="66"/>
      <c r="F110" s="66"/>
      <c r="G110" s="66"/>
      <c r="H110" s="66"/>
    </row>
    <row r="111" spans="1:8">
      <c r="A111" s="66"/>
      <c r="B111" s="66"/>
      <c r="C111" s="66"/>
      <c r="D111" s="66"/>
      <c r="E111" s="66"/>
      <c r="F111" s="66"/>
      <c r="G111" s="66"/>
      <c r="H111" s="66"/>
    </row>
    <row r="112" spans="1:8">
      <c r="A112" s="66"/>
      <c r="B112" s="66"/>
      <c r="C112" s="66"/>
      <c r="D112" s="66"/>
      <c r="E112" s="66"/>
      <c r="F112" s="66"/>
      <c r="G112" s="66"/>
      <c r="H112" s="66"/>
    </row>
    <row r="113" spans="1:8">
      <c r="A113" s="66"/>
      <c r="B113" s="66"/>
      <c r="C113" s="66"/>
      <c r="D113" s="66"/>
      <c r="E113" s="66"/>
      <c r="F113" s="66"/>
      <c r="G113" s="66"/>
      <c r="H113" s="66"/>
    </row>
    <row r="114" spans="1:8">
      <c r="A114" s="66"/>
      <c r="B114" s="66"/>
      <c r="C114" s="66"/>
      <c r="D114" s="66"/>
      <c r="E114" s="66"/>
      <c r="F114" s="66"/>
      <c r="G114" s="66"/>
      <c r="H114" s="66"/>
    </row>
    <row r="115" spans="1:8">
      <c r="A115" s="66"/>
      <c r="B115" s="66"/>
      <c r="C115" s="66"/>
      <c r="D115" s="66"/>
      <c r="E115" s="66"/>
      <c r="F115" s="66"/>
      <c r="G115" s="66"/>
      <c r="H115" s="66"/>
    </row>
    <row r="116" spans="1:8">
      <c r="A116" s="66"/>
      <c r="B116" s="66"/>
      <c r="C116" s="66"/>
      <c r="D116" s="66"/>
      <c r="E116" s="66"/>
      <c r="F116" s="66"/>
      <c r="G116" s="66"/>
      <c r="H116" s="66"/>
    </row>
    <row r="117" spans="1:8">
      <c r="A117" s="66"/>
      <c r="B117" s="66"/>
      <c r="C117" s="66"/>
      <c r="D117" s="66"/>
      <c r="E117" s="66"/>
      <c r="F117" s="66"/>
      <c r="G117" s="66"/>
      <c r="H117" s="66"/>
    </row>
    <row r="118" spans="1:8">
      <c r="A118" s="66"/>
      <c r="B118" s="66"/>
      <c r="C118" s="66"/>
      <c r="D118" s="66"/>
      <c r="E118" s="66"/>
      <c r="F118" s="66"/>
      <c r="G118" s="66"/>
      <c r="H118" s="66"/>
    </row>
    <row r="119" spans="1:8">
      <c r="A119" s="66"/>
      <c r="B119" s="66"/>
      <c r="C119" s="66"/>
      <c r="D119" s="66"/>
      <c r="E119" s="66"/>
      <c r="F119" s="66"/>
      <c r="G119" s="66"/>
      <c r="H119" s="66"/>
    </row>
    <row r="120" spans="1:8">
      <c r="A120" s="66"/>
      <c r="B120" s="66"/>
      <c r="C120" s="66"/>
      <c r="D120" s="66"/>
      <c r="E120" s="66"/>
      <c r="F120" s="66"/>
      <c r="G120" s="66"/>
      <c r="H120" s="66"/>
    </row>
    <row r="121" spans="1:8">
      <c r="A121" s="66"/>
      <c r="B121" s="66"/>
      <c r="C121" s="66"/>
      <c r="D121" s="66"/>
      <c r="E121" s="66"/>
      <c r="F121" s="66"/>
      <c r="G121" s="66"/>
      <c r="H121" s="66"/>
    </row>
    <row r="122" spans="1:8">
      <c r="A122" s="66"/>
      <c r="B122" s="66"/>
      <c r="C122" s="66"/>
      <c r="D122" s="66"/>
      <c r="E122" s="66"/>
      <c r="F122" s="66"/>
      <c r="G122" s="66"/>
      <c r="H122" s="66"/>
    </row>
    <row r="123" spans="1:8">
      <c r="A123" s="66"/>
      <c r="B123" s="66"/>
      <c r="C123" s="66"/>
      <c r="D123" s="66"/>
      <c r="E123" s="66"/>
      <c r="F123" s="66"/>
      <c r="G123" s="66"/>
      <c r="H123" s="66"/>
    </row>
    <row r="124" spans="1:8">
      <c r="A124" s="66"/>
      <c r="B124" s="66"/>
      <c r="C124" s="66"/>
      <c r="D124" s="66"/>
      <c r="E124" s="66"/>
      <c r="F124" s="66"/>
      <c r="G124" s="66"/>
      <c r="H124" s="66"/>
    </row>
    <row r="125" spans="1:8">
      <c r="A125" s="66"/>
      <c r="B125" s="66"/>
      <c r="C125" s="66"/>
      <c r="D125" s="66"/>
      <c r="E125" s="66"/>
      <c r="F125" s="66"/>
      <c r="G125" s="66"/>
      <c r="H125" s="66"/>
    </row>
    <row r="126" spans="1:8">
      <c r="A126" s="66"/>
      <c r="B126" s="66"/>
      <c r="C126" s="66"/>
      <c r="D126" s="66"/>
      <c r="E126" s="66"/>
      <c r="F126" s="66"/>
      <c r="G126" s="66"/>
      <c r="H126" s="66"/>
    </row>
    <row r="127" spans="1:8">
      <c r="A127" s="66"/>
      <c r="B127" s="66"/>
      <c r="C127" s="66"/>
      <c r="D127" s="66"/>
      <c r="E127" s="66"/>
      <c r="F127" s="66"/>
      <c r="G127" s="66"/>
      <c r="H127" s="66"/>
    </row>
    <row r="128" spans="1:8">
      <c r="A128" s="66"/>
      <c r="B128" s="66"/>
      <c r="C128" s="66"/>
      <c r="D128" s="66"/>
      <c r="E128" s="66"/>
      <c r="F128" s="66"/>
      <c r="G128" s="66"/>
      <c r="H128" s="66"/>
    </row>
    <row r="129" spans="1:8">
      <c r="A129" s="66"/>
      <c r="B129" s="66"/>
      <c r="C129" s="66"/>
      <c r="D129" s="66"/>
      <c r="E129" s="66"/>
      <c r="F129" s="66"/>
      <c r="G129" s="66"/>
      <c r="H129" s="66"/>
    </row>
    <row r="130" spans="1:8">
      <c r="A130" s="66"/>
      <c r="B130" s="66"/>
      <c r="C130" s="66"/>
      <c r="D130" s="66"/>
      <c r="E130" s="66"/>
      <c r="F130" s="66"/>
      <c r="G130" s="66"/>
      <c r="H130" s="66"/>
    </row>
    <row r="131" spans="1:8">
      <c r="A131" s="66"/>
      <c r="B131" s="66"/>
      <c r="C131" s="66"/>
      <c r="D131" s="66"/>
      <c r="E131" s="66"/>
      <c r="F131" s="66"/>
      <c r="G131" s="66"/>
      <c r="H131" s="66"/>
    </row>
    <row r="132" spans="1:8">
      <c r="A132" s="66"/>
      <c r="B132" s="66"/>
      <c r="C132" s="66"/>
      <c r="D132" s="66"/>
      <c r="E132" s="66"/>
      <c r="F132" s="66"/>
      <c r="G132" s="66"/>
      <c r="H132" s="66"/>
    </row>
    <row r="133" spans="1:8">
      <c r="A133" s="66"/>
      <c r="B133" s="66"/>
      <c r="C133" s="66"/>
      <c r="D133" s="66"/>
      <c r="E133" s="66"/>
      <c r="F133" s="66"/>
      <c r="G133" s="66"/>
      <c r="H133" s="66"/>
    </row>
    <row r="134" spans="1:8">
      <c r="A134" s="66"/>
      <c r="B134" s="66"/>
      <c r="C134" s="66"/>
      <c r="D134" s="66"/>
      <c r="E134" s="66"/>
      <c r="F134" s="66"/>
      <c r="G134" s="66"/>
      <c r="H134" s="66"/>
    </row>
    <row r="135" spans="1:8">
      <c r="A135" s="66"/>
      <c r="B135" s="66"/>
      <c r="C135" s="66"/>
      <c r="D135" s="66"/>
      <c r="E135" s="66"/>
      <c r="F135" s="66"/>
      <c r="G135" s="66"/>
      <c r="H135" s="66"/>
    </row>
    <row r="136" spans="1:8">
      <c r="A136" s="66"/>
      <c r="B136" s="66"/>
      <c r="C136" s="66"/>
      <c r="D136" s="66"/>
      <c r="E136" s="66"/>
      <c r="F136" s="66"/>
      <c r="G136" s="66"/>
      <c r="H136" s="66"/>
    </row>
    <row r="137" spans="1:8">
      <c r="A137" s="66"/>
      <c r="B137" s="66"/>
      <c r="C137" s="66"/>
      <c r="D137" s="66"/>
      <c r="E137" s="66"/>
      <c r="F137" s="66"/>
      <c r="G137" s="66"/>
      <c r="H137" s="66"/>
    </row>
    <row r="138" spans="1:8">
      <c r="A138" s="66"/>
      <c r="B138" s="66"/>
      <c r="C138" s="66"/>
      <c r="D138" s="66"/>
      <c r="E138" s="66"/>
      <c r="F138" s="66"/>
      <c r="G138" s="66"/>
      <c r="H138" s="66"/>
    </row>
    <row r="139" spans="1:8">
      <c r="A139" s="66"/>
      <c r="B139" s="66"/>
      <c r="C139" s="66"/>
      <c r="D139" s="66"/>
      <c r="E139" s="66"/>
      <c r="F139" s="66"/>
      <c r="G139" s="66"/>
      <c r="H139" s="66"/>
    </row>
    <row r="140" spans="1:8">
      <c r="A140" s="66"/>
      <c r="B140" s="66"/>
      <c r="C140" s="66"/>
      <c r="D140" s="66"/>
      <c r="E140" s="66"/>
      <c r="F140" s="66"/>
      <c r="G140" s="66"/>
      <c r="H140" s="66"/>
    </row>
    <row r="141" spans="1:8">
      <c r="A141" s="66"/>
      <c r="B141" s="66"/>
      <c r="C141" s="66"/>
      <c r="D141" s="66"/>
      <c r="E141" s="66"/>
      <c r="F141" s="66"/>
      <c r="G141" s="66"/>
      <c r="H141" s="66"/>
    </row>
    <row r="142" spans="1:8">
      <c r="A142" s="66"/>
      <c r="B142" s="66"/>
      <c r="C142" s="66"/>
      <c r="D142" s="66"/>
      <c r="E142" s="66"/>
      <c r="F142" s="66"/>
      <c r="G142" s="66"/>
      <c r="H142" s="66"/>
    </row>
    <row r="143" spans="1:8">
      <c r="A143" s="66"/>
      <c r="B143" s="66"/>
      <c r="C143" s="66"/>
      <c r="D143" s="66"/>
      <c r="E143" s="66"/>
      <c r="F143" s="66"/>
      <c r="G143" s="66"/>
      <c r="H143" s="66"/>
    </row>
    <row r="144" spans="1:8">
      <c r="A144" s="66"/>
      <c r="B144" s="66"/>
      <c r="C144" s="66"/>
      <c r="D144" s="66"/>
      <c r="E144" s="66"/>
      <c r="F144" s="66"/>
      <c r="G144" s="66"/>
      <c r="H144" s="66"/>
    </row>
    <row r="145" spans="1:8">
      <c r="A145" s="66"/>
      <c r="B145" s="66"/>
      <c r="C145" s="66"/>
      <c r="D145" s="66"/>
      <c r="E145" s="66"/>
      <c r="F145" s="66"/>
      <c r="G145" s="66"/>
      <c r="H145" s="66"/>
    </row>
    <row r="146" spans="1:8">
      <c r="A146" s="66"/>
      <c r="B146" s="66"/>
      <c r="C146" s="66"/>
      <c r="D146" s="66"/>
      <c r="E146" s="66"/>
      <c r="F146" s="66"/>
      <c r="G146" s="66"/>
      <c r="H146" s="66"/>
    </row>
    <row r="147" spans="1:8">
      <c r="A147" s="66"/>
      <c r="B147" s="66"/>
      <c r="C147" s="66"/>
      <c r="D147" s="66"/>
      <c r="E147" s="66"/>
      <c r="F147" s="66"/>
      <c r="G147" s="66"/>
      <c r="H147" s="66"/>
    </row>
    <row r="148" spans="1:8">
      <c r="A148" s="66"/>
      <c r="B148" s="66"/>
      <c r="C148" s="66"/>
      <c r="D148" s="66"/>
      <c r="E148" s="66"/>
      <c r="F148" s="66"/>
      <c r="G148" s="66"/>
      <c r="H148" s="66"/>
    </row>
    <row r="149" spans="1:8">
      <c r="A149" s="66"/>
      <c r="B149" s="66"/>
      <c r="C149" s="66"/>
      <c r="D149" s="66"/>
      <c r="E149" s="66"/>
      <c r="F149" s="66"/>
      <c r="G149" s="66"/>
      <c r="H149" s="66"/>
    </row>
    <row r="150" spans="1:8">
      <c r="A150" s="66"/>
      <c r="B150" s="66"/>
      <c r="C150" s="66"/>
      <c r="D150" s="66"/>
      <c r="E150" s="66"/>
      <c r="F150" s="66"/>
      <c r="G150" s="66"/>
      <c r="H150" s="66"/>
    </row>
    <row r="151" spans="1:8">
      <c r="A151" s="66"/>
      <c r="B151" s="66"/>
      <c r="C151" s="66"/>
      <c r="D151" s="66"/>
      <c r="E151" s="66"/>
      <c r="F151" s="66"/>
      <c r="G151" s="66"/>
      <c r="H151" s="66"/>
    </row>
    <row r="152" spans="1:8">
      <c r="A152" s="66"/>
      <c r="B152" s="66"/>
      <c r="C152" s="66"/>
      <c r="D152" s="66"/>
      <c r="E152" s="66"/>
      <c r="F152" s="66"/>
      <c r="G152" s="66"/>
      <c r="H152" s="66"/>
    </row>
    <row r="153" spans="1:8">
      <c r="A153" s="66"/>
      <c r="B153" s="66"/>
      <c r="C153" s="66"/>
      <c r="D153" s="66"/>
      <c r="E153" s="66"/>
      <c r="F153" s="66"/>
      <c r="G153" s="66"/>
      <c r="H153" s="66"/>
    </row>
    <row r="154" spans="1:8">
      <c r="A154" s="66"/>
      <c r="B154" s="66"/>
      <c r="C154" s="66"/>
      <c r="D154" s="66"/>
      <c r="E154" s="66"/>
      <c r="F154" s="66"/>
      <c r="G154" s="66"/>
      <c r="H154" s="66"/>
    </row>
    <row r="155" spans="1:8">
      <c r="A155" s="66"/>
      <c r="B155" s="66"/>
      <c r="C155" s="66"/>
      <c r="D155" s="66"/>
      <c r="E155" s="66"/>
      <c r="F155" s="66"/>
      <c r="G155" s="66"/>
      <c r="H155" s="66"/>
    </row>
    <row r="156" spans="1:8">
      <c r="A156" s="66"/>
      <c r="B156" s="66"/>
      <c r="C156" s="66"/>
      <c r="D156" s="66"/>
      <c r="E156" s="66"/>
      <c r="F156" s="66"/>
      <c r="G156" s="66"/>
      <c r="H156" s="66"/>
    </row>
    <row r="157" spans="1:8">
      <c r="A157" s="66"/>
      <c r="B157" s="66"/>
      <c r="C157" s="66"/>
      <c r="D157" s="66"/>
      <c r="E157" s="66"/>
      <c r="F157" s="66"/>
      <c r="G157" s="66"/>
      <c r="H157" s="66"/>
    </row>
    <row r="158" spans="1:8">
      <c r="A158" s="66"/>
      <c r="B158" s="66"/>
      <c r="C158" s="66"/>
      <c r="D158" s="66"/>
      <c r="E158" s="66"/>
      <c r="F158" s="66"/>
      <c r="G158" s="66"/>
      <c r="H158" s="66"/>
    </row>
    <row r="159" spans="1:8">
      <c r="A159" s="66"/>
      <c r="B159" s="66"/>
      <c r="C159" s="66"/>
      <c r="D159" s="66"/>
      <c r="E159" s="66"/>
      <c r="F159" s="66"/>
      <c r="G159" s="66"/>
      <c r="H159" s="66"/>
    </row>
    <row r="160" spans="1:8">
      <c r="A160" s="66"/>
      <c r="B160" s="66"/>
      <c r="C160" s="66"/>
      <c r="D160" s="66"/>
      <c r="E160" s="66"/>
      <c r="F160" s="66"/>
      <c r="G160" s="66"/>
      <c r="H160" s="66"/>
    </row>
    <row r="161" spans="1:8">
      <c r="A161" s="66"/>
      <c r="B161" s="66"/>
      <c r="C161" s="66"/>
      <c r="D161" s="66"/>
      <c r="E161" s="66"/>
      <c r="F161" s="66"/>
      <c r="G161" s="66"/>
      <c r="H161" s="66"/>
    </row>
    <row r="162" spans="1:8">
      <c r="A162" s="66"/>
      <c r="B162" s="66"/>
      <c r="C162" s="66"/>
      <c r="D162" s="66"/>
      <c r="E162" s="66"/>
      <c r="F162" s="66"/>
      <c r="G162" s="66"/>
      <c r="H162" s="66"/>
    </row>
    <row r="163" spans="1:8">
      <c r="A163" s="66"/>
      <c r="B163" s="66"/>
      <c r="C163" s="66"/>
      <c r="D163" s="66"/>
      <c r="E163" s="66"/>
      <c r="F163" s="66"/>
      <c r="G163" s="66"/>
      <c r="H163" s="66"/>
    </row>
    <row r="164" spans="1:8">
      <c r="A164" s="66"/>
      <c r="B164" s="66"/>
      <c r="C164" s="66"/>
      <c r="D164" s="66"/>
      <c r="E164" s="66"/>
      <c r="F164" s="66"/>
      <c r="G164" s="66"/>
      <c r="H164" s="66"/>
    </row>
    <row r="165" spans="1:8">
      <c r="A165" s="66"/>
      <c r="B165" s="66"/>
      <c r="C165" s="66"/>
      <c r="D165" s="66"/>
      <c r="E165" s="66"/>
      <c r="F165" s="66"/>
      <c r="G165" s="66"/>
      <c r="H165" s="66"/>
    </row>
    <row r="166" spans="1:8">
      <c r="A166" s="66"/>
      <c r="B166" s="66"/>
      <c r="C166" s="66"/>
      <c r="D166" s="66"/>
      <c r="E166" s="66"/>
      <c r="F166" s="66"/>
      <c r="G166" s="66"/>
      <c r="H166" s="66"/>
    </row>
    <row r="167" spans="1:8">
      <c r="A167" s="66"/>
      <c r="B167" s="66"/>
      <c r="C167" s="66"/>
      <c r="D167" s="66"/>
      <c r="E167" s="66"/>
      <c r="F167" s="66"/>
      <c r="G167" s="66"/>
      <c r="H167" s="66"/>
    </row>
    <row r="168" spans="1:8">
      <c r="A168" s="66"/>
      <c r="B168" s="66"/>
      <c r="C168" s="66"/>
      <c r="D168" s="66"/>
      <c r="E168" s="66"/>
      <c r="F168" s="66"/>
      <c r="G168" s="66"/>
      <c r="H168" s="66"/>
    </row>
    <row r="169" spans="1:8">
      <c r="A169" s="66"/>
      <c r="B169" s="66"/>
      <c r="C169" s="66"/>
      <c r="D169" s="66"/>
      <c r="E169" s="66"/>
      <c r="F169" s="66"/>
      <c r="G169" s="66"/>
      <c r="H169" s="66"/>
    </row>
    <row r="170" spans="1:8">
      <c r="A170" s="66"/>
      <c r="B170" s="66"/>
      <c r="C170" s="66"/>
      <c r="D170" s="66"/>
      <c r="E170" s="66"/>
      <c r="F170" s="66"/>
      <c r="G170" s="66"/>
      <c r="H170" s="66"/>
    </row>
    <row r="171" spans="1:8">
      <c r="A171" s="66"/>
      <c r="B171" s="66"/>
      <c r="C171" s="66"/>
      <c r="D171" s="66"/>
      <c r="E171" s="66"/>
      <c r="F171" s="66"/>
      <c r="G171" s="66"/>
      <c r="H171" s="66"/>
    </row>
    <row r="172" spans="1:8">
      <c r="A172" s="66"/>
      <c r="B172" s="66"/>
      <c r="C172" s="66"/>
      <c r="D172" s="66"/>
      <c r="E172" s="66"/>
      <c r="F172" s="66"/>
      <c r="G172" s="66"/>
      <c r="H172" s="66"/>
    </row>
    <row r="173" spans="1:8">
      <c r="A173" s="66"/>
      <c r="B173" s="66"/>
      <c r="C173" s="66"/>
      <c r="D173" s="66"/>
      <c r="E173" s="66"/>
      <c r="F173" s="66"/>
      <c r="G173" s="66"/>
      <c r="H173" s="66"/>
    </row>
    <row r="174" spans="1:8">
      <c r="A174" s="66"/>
      <c r="B174" s="66"/>
      <c r="C174" s="66"/>
      <c r="D174" s="66"/>
      <c r="E174" s="66"/>
      <c r="F174" s="66"/>
      <c r="G174" s="66"/>
      <c r="H174" s="66"/>
    </row>
    <row r="175" spans="1:8">
      <c r="A175" s="66"/>
      <c r="B175" s="66"/>
      <c r="C175" s="66"/>
      <c r="D175" s="66"/>
      <c r="E175" s="66"/>
      <c r="F175" s="66"/>
      <c r="G175" s="66"/>
      <c r="H175" s="66"/>
    </row>
    <row r="176" spans="1:8">
      <c r="A176" s="66"/>
      <c r="B176" s="66"/>
      <c r="C176" s="66"/>
      <c r="D176" s="66"/>
      <c r="E176" s="66"/>
      <c r="F176" s="66"/>
      <c r="G176" s="66"/>
      <c r="H176" s="66"/>
    </row>
    <row r="177" spans="1:8">
      <c r="A177" s="66"/>
      <c r="B177" s="66"/>
      <c r="C177" s="66"/>
      <c r="D177" s="66"/>
      <c r="E177" s="66"/>
      <c r="F177" s="66"/>
      <c r="G177" s="66"/>
      <c r="H177" s="66"/>
    </row>
    <row r="178" spans="1:8">
      <c r="A178" s="66"/>
      <c r="B178" s="66"/>
      <c r="C178" s="66"/>
      <c r="D178" s="66"/>
      <c r="E178" s="66"/>
      <c r="F178" s="66"/>
      <c r="G178" s="66"/>
      <c r="H178" s="66"/>
    </row>
    <row r="179" spans="1:8">
      <c r="A179" s="66"/>
      <c r="B179" s="66"/>
      <c r="C179" s="66"/>
      <c r="D179" s="66"/>
      <c r="E179" s="66"/>
      <c r="F179" s="66"/>
      <c r="G179" s="66"/>
      <c r="H179" s="66"/>
    </row>
    <row r="180" spans="1:8">
      <c r="A180" s="66"/>
      <c r="B180" s="66"/>
      <c r="C180" s="66"/>
      <c r="D180" s="66"/>
      <c r="E180" s="66"/>
      <c r="F180" s="66"/>
      <c r="G180" s="66"/>
      <c r="H180" s="66"/>
    </row>
    <row r="181" spans="1:8">
      <c r="A181" s="66"/>
      <c r="B181" s="66"/>
      <c r="C181" s="66"/>
      <c r="D181" s="66"/>
      <c r="E181" s="66"/>
      <c r="F181" s="66"/>
      <c r="G181" s="66"/>
      <c r="H181" s="66"/>
    </row>
    <row r="182" spans="1:8">
      <c r="A182" s="66"/>
      <c r="B182" s="66"/>
      <c r="C182" s="66"/>
      <c r="D182" s="66"/>
      <c r="E182" s="66"/>
      <c r="F182" s="66"/>
      <c r="G182" s="66"/>
      <c r="H182" s="66"/>
    </row>
    <row r="183" spans="1:8">
      <c r="A183" s="66"/>
      <c r="B183" s="66"/>
      <c r="C183" s="66"/>
      <c r="D183" s="66"/>
      <c r="E183" s="66"/>
      <c r="F183" s="66"/>
      <c r="G183" s="66"/>
      <c r="H183" s="66"/>
    </row>
    <row r="184" spans="1:8">
      <c r="A184" s="66"/>
      <c r="B184" s="66"/>
      <c r="C184" s="66"/>
      <c r="D184" s="66"/>
      <c r="E184" s="66"/>
      <c r="F184" s="66"/>
      <c r="G184" s="66"/>
      <c r="H184" s="66"/>
    </row>
    <row r="185" spans="1:8">
      <c r="A185" s="66"/>
      <c r="B185" s="66"/>
      <c r="C185" s="66"/>
      <c r="D185" s="66"/>
      <c r="E185" s="66"/>
      <c r="F185" s="66"/>
      <c r="G185" s="66"/>
      <c r="H185" s="66"/>
    </row>
    <row r="186" spans="1:8">
      <c r="A186" s="66"/>
      <c r="B186" s="66"/>
      <c r="C186" s="66"/>
      <c r="D186" s="66"/>
      <c r="E186" s="66"/>
      <c r="F186" s="66"/>
      <c r="G186" s="66"/>
      <c r="H186" s="66"/>
    </row>
    <row r="187" spans="1:8">
      <c r="A187" s="66"/>
      <c r="B187" s="66"/>
      <c r="C187" s="66"/>
      <c r="D187" s="66"/>
      <c r="E187" s="66"/>
      <c r="F187" s="66"/>
      <c r="G187" s="66"/>
      <c r="H187" s="66"/>
    </row>
    <row r="188" spans="1:8">
      <c r="A188" s="66"/>
      <c r="B188" s="66"/>
      <c r="C188" s="66"/>
      <c r="D188" s="66"/>
      <c r="E188" s="66"/>
      <c r="F188" s="66"/>
      <c r="G188" s="66"/>
      <c r="H188" s="66"/>
    </row>
    <row r="189" spans="1:8">
      <c r="A189" s="66"/>
      <c r="B189" s="66"/>
      <c r="C189" s="66"/>
      <c r="D189" s="66"/>
      <c r="E189" s="66"/>
      <c r="F189" s="66"/>
      <c r="G189" s="66"/>
      <c r="H189" s="66"/>
    </row>
    <row r="190" spans="1:8">
      <c r="A190" s="66"/>
      <c r="B190" s="66"/>
      <c r="C190" s="66"/>
      <c r="D190" s="66"/>
      <c r="E190" s="66"/>
      <c r="F190" s="66"/>
      <c r="G190" s="66"/>
      <c r="H190" s="66"/>
    </row>
    <row r="191" spans="1:8">
      <c r="A191" s="66"/>
      <c r="B191" s="66"/>
      <c r="C191" s="66"/>
      <c r="D191" s="66"/>
      <c r="E191" s="66"/>
      <c r="F191" s="66"/>
      <c r="G191" s="66"/>
      <c r="H191" s="66"/>
    </row>
    <row r="192" spans="1:8">
      <c r="A192" s="66"/>
      <c r="B192" s="66"/>
      <c r="C192" s="66"/>
      <c r="D192" s="66"/>
      <c r="E192" s="66"/>
      <c r="F192" s="66"/>
      <c r="G192" s="66"/>
      <c r="H192" s="66"/>
    </row>
    <row r="193" spans="1:8">
      <c r="A193" s="66"/>
      <c r="B193" s="66"/>
      <c r="C193" s="66"/>
      <c r="D193" s="66"/>
      <c r="E193" s="66"/>
      <c r="F193" s="66"/>
      <c r="G193" s="66"/>
      <c r="H193" s="66"/>
    </row>
    <row r="194" spans="1:8">
      <c r="A194" s="66"/>
      <c r="B194" s="66"/>
      <c r="C194" s="66"/>
      <c r="D194" s="66"/>
      <c r="E194" s="66"/>
      <c r="F194" s="66"/>
      <c r="G194" s="66"/>
      <c r="H194" s="66"/>
    </row>
    <row r="195" spans="1:8">
      <c r="A195" s="66"/>
      <c r="B195" s="66"/>
      <c r="C195" s="66"/>
      <c r="D195" s="66"/>
      <c r="E195" s="66"/>
      <c r="F195" s="66"/>
      <c r="G195" s="66"/>
      <c r="H195" s="66"/>
    </row>
    <row r="196" spans="1:8">
      <c r="A196" s="66"/>
      <c r="B196" s="66"/>
      <c r="C196" s="66"/>
      <c r="D196" s="66"/>
      <c r="E196" s="66"/>
      <c r="F196" s="66"/>
      <c r="G196" s="66"/>
      <c r="H196" s="66"/>
    </row>
    <row r="197" spans="1:8">
      <c r="A197" s="66"/>
      <c r="B197" s="66"/>
      <c r="C197" s="66"/>
      <c r="D197" s="66"/>
      <c r="E197" s="66"/>
      <c r="F197" s="66"/>
      <c r="G197" s="66"/>
      <c r="H197" s="66"/>
    </row>
    <row r="198" spans="1:8">
      <c r="A198" s="66"/>
      <c r="B198" s="66"/>
      <c r="C198" s="66"/>
      <c r="D198" s="66"/>
      <c r="E198" s="66"/>
      <c r="F198" s="66"/>
      <c r="G198" s="66"/>
      <c r="H198" s="66"/>
    </row>
    <row r="199" spans="1:8">
      <c r="A199" s="66"/>
      <c r="B199" s="66"/>
      <c r="C199" s="66"/>
      <c r="D199" s="66"/>
      <c r="E199" s="66"/>
      <c r="F199" s="66"/>
      <c r="G199" s="66"/>
      <c r="H199" s="66"/>
    </row>
    <row r="200" spans="1:8">
      <c r="A200" s="66"/>
      <c r="B200" s="66"/>
      <c r="C200" s="66"/>
      <c r="D200" s="66"/>
      <c r="E200" s="66"/>
      <c r="F200" s="66"/>
      <c r="G200" s="66"/>
      <c r="H200" s="66"/>
    </row>
    <row r="201" spans="1:8">
      <c r="A201" s="66"/>
      <c r="B201" s="66"/>
      <c r="C201" s="66"/>
      <c r="D201" s="66"/>
      <c r="E201" s="66"/>
      <c r="F201" s="66"/>
      <c r="G201" s="66"/>
      <c r="H201" s="66"/>
    </row>
    <row r="202" spans="1:8">
      <c r="A202" s="66"/>
      <c r="B202" s="66"/>
      <c r="C202" s="66"/>
      <c r="D202" s="66"/>
      <c r="E202" s="66"/>
      <c r="F202" s="66"/>
      <c r="G202" s="66"/>
      <c r="H202" s="66"/>
    </row>
    <row r="203" spans="1:8">
      <c r="A203" s="66"/>
      <c r="B203" s="66"/>
      <c r="C203" s="66"/>
      <c r="D203" s="66"/>
      <c r="E203" s="66"/>
      <c r="F203" s="66"/>
      <c r="G203" s="66"/>
      <c r="H203" s="66"/>
    </row>
    <row r="204" spans="1:8">
      <c r="A204" s="66"/>
      <c r="B204" s="66"/>
      <c r="C204" s="66"/>
      <c r="D204" s="66"/>
      <c r="E204" s="66"/>
      <c r="F204" s="66"/>
      <c r="G204" s="66"/>
      <c r="H204" s="66"/>
    </row>
    <row r="205" spans="1:8">
      <c r="A205" s="66"/>
      <c r="B205" s="66"/>
      <c r="C205" s="66"/>
      <c r="D205" s="66"/>
      <c r="E205" s="66"/>
      <c r="F205" s="66"/>
      <c r="G205" s="66"/>
      <c r="H205" s="66"/>
    </row>
    <row r="206" spans="1:8">
      <c r="A206" s="66"/>
      <c r="B206" s="66"/>
      <c r="C206" s="66"/>
      <c r="D206" s="66"/>
      <c r="E206" s="66"/>
      <c r="F206" s="66"/>
      <c r="G206" s="66"/>
      <c r="H206" s="66"/>
    </row>
    <row r="207" spans="1:8">
      <c r="A207" s="66"/>
      <c r="B207" s="66"/>
      <c r="C207" s="66"/>
      <c r="D207" s="66"/>
      <c r="E207" s="66"/>
      <c r="F207" s="66"/>
      <c r="G207" s="66"/>
      <c r="H207" s="66"/>
    </row>
    <row r="208" spans="1:8">
      <c r="A208" s="66"/>
      <c r="B208" s="66"/>
      <c r="C208" s="66"/>
      <c r="D208" s="66"/>
      <c r="E208" s="66"/>
      <c r="F208" s="66"/>
      <c r="G208" s="66"/>
      <c r="H208" s="66"/>
    </row>
    <row r="209" spans="1:8">
      <c r="A209" s="66"/>
      <c r="B209" s="66"/>
      <c r="C209" s="66"/>
      <c r="D209" s="66"/>
      <c r="E209" s="66"/>
      <c r="F209" s="66"/>
      <c r="G209" s="66"/>
      <c r="H209" s="66"/>
    </row>
    <row r="210" spans="1:8">
      <c r="A210" s="66"/>
      <c r="B210" s="66"/>
      <c r="C210" s="66"/>
      <c r="D210" s="66"/>
      <c r="E210" s="66"/>
      <c r="F210" s="66"/>
      <c r="G210" s="66"/>
      <c r="H210" s="66"/>
    </row>
    <row r="211" spans="1:8">
      <c r="A211" s="66"/>
      <c r="B211" s="66"/>
      <c r="C211" s="66"/>
      <c r="D211" s="66"/>
      <c r="E211" s="66"/>
      <c r="F211" s="66"/>
      <c r="G211" s="66"/>
      <c r="H211" s="66"/>
    </row>
    <row r="212" spans="1:8">
      <c r="A212" s="66"/>
      <c r="B212" s="66"/>
      <c r="C212" s="66"/>
      <c r="D212" s="66"/>
      <c r="E212" s="66"/>
      <c r="F212" s="66"/>
      <c r="G212" s="66"/>
      <c r="H212" s="66"/>
    </row>
    <row r="213" spans="1:8">
      <c r="A213" s="66"/>
      <c r="B213" s="66"/>
      <c r="C213" s="66"/>
      <c r="D213" s="66"/>
      <c r="E213" s="66"/>
      <c r="F213" s="66"/>
      <c r="G213" s="66"/>
      <c r="H213" s="66"/>
    </row>
    <row r="214" spans="1:8">
      <c r="A214" s="66"/>
      <c r="B214" s="66"/>
      <c r="C214" s="66"/>
      <c r="D214" s="66"/>
      <c r="E214" s="66"/>
      <c r="F214" s="66"/>
      <c r="G214" s="66"/>
      <c r="H214" s="66"/>
    </row>
    <row r="215" spans="1:8">
      <c r="A215" s="66"/>
      <c r="B215" s="66"/>
      <c r="C215" s="66"/>
      <c r="D215" s="66"/>
      <c r="E215" s="66"/>
      <c r="F215" s="66"/>
      <c r="G215" s="66"/>
      <c r="H215" s="66"/>
    </row>
    <row r="216" spans="1:8">
      <c r="A216" s="66"/>
      <c r="B216" s="66"/>
      <c r="C216" s="66"/>
      <c r="D216" s="66"/>
      <c r="E216" s="66"/>
      <c r="F216" s="66"/>
      <c r="G216" s="66"/>
      <c r="H216" s="66"/>
    </row>
    <row r="217" spans="1:8">
      <c r="A217" s="66"/>
      <c r="B217" s="66"/>
      <c r="C217" s="66"/>
      <c r="D217" s="66"/>
      <c r="E217" s="66"/>
      <c r="F217" s="66"/>
      <c r="G217" s="66"/>
      <c r="H217" s="66"/>
    </row>
    <row r="218" spans="1:8">
      <c r="A218" s="66"/>
      <c r="B218" s="66"/>
      <c r="C218" s="66"/>
      <c r="D218" s="66"/>
      <c r="E218" s="66"/>
      <c r="F218" s="66"/>
      <c r="G218" s="66"/>
      <c r="H218" s="66"/>
    </row>
    <row r="219" spans="1:8">
      <c r="A219" s="66"/>
      <c r="B219" s="66"/>
      <c r="C219" s="66"/>
      <c r="D219" s="66"/>
      <c r="E219" s="66"/>
      <c r="F219" s="66"/>
      <c r="G219" s="66"/>
      <c r="H219" s="66"/>
    </row>
    <row r="220" spans="1:8">
      <c r="A220" s="66"/>
      <c r="B220" s="66"/>
      <c r="C220" s="66"/>
      <c r="D220" s="66"/>
      <c r="E220" s="66"/>
      <c r="F220" s="66"/>
      <c r="G220" s="66"/>
      <c r="H220" s="66"/>
    </row>
    <row r="221" spans="1:8">
      <c r="A221" s="66"/>
      <c r="B221" s="66"/>
      <c r="C221" s="66"/>
      <c r="D221" s="66"/>
      <c r="E221" s="66"/>
      <c r="F221" s="66"/>
      <c r="G221" s="66"/>
      <c r="H221" s="66"/>
    </row>
    <row r="222" spans="1:8">
      <c r="A222" s="66"/>
      <c r="B222" s="66"/>
      <c r="C222" s="66"/>
      <c r="D222" s="66"/>
      <c r="E222" s="66"/>
      <c r="F222" s="66"/>
      <c r="G222" s="66"/>
      <c r="H222" s="66"/>
    </row>
    <row r="223" spans="1:8">
      <c r="A223" s="66"/>
      <c r="B223" s="66"/>
      <c r="C223" s="66"/>
      <c r="D223" s="66"/>
      <c r="E223" s="66"/>
      <c r="F223" s="66"/>
      <c r="G223" s="66"/>
      <c r="H223" s="66"/>
    </row>
    <row r="224" spans="1:8">
      <c r="A224" s="66"/>
      <c r="B224" s="66"/>
      <c r="C224" s="66"/>
      <c r="D224" s="66"/>
      <c r="E224" s="66"/>
      <c r="F224" s="66"/>
      <c r="G224" s="66"/>
      <c r="H224" s="66"/>
    </row>
    <row r="225" spans="1:8">
      <c r="A225" s="66"/>
      <c r="B225" s="66"/>
      <c r="C225" s="66"/>
      <c r="D225" s="66"/>
      <c r="E225" s="66"/>
      <c r="F225" s="66"/>
      <c r="G225" s="66"/>
      <c r="H225" s="66"/>
    </row>
    <row r="226" spans="1:8">
      <c r="A226" s="66"/>
      <c r="B226" s="66"/>
      <c r="C226" s="66"/>
      <c r="D226" s="66"/>
      <c r="E226" s="66"/>
      <c r="F226" s="66"/>
      <c r="G226" s="66"/>
      <c r="H226" s="66"/>
    </row>
    <row r="227" spans="1:8">
      <c r="A227" s="66"/>
      <c r="B227" s="66"/>
      <c r="C227" s="66"/>
      <c r="D227" s="66"/>
      <c r="E227" s="66"/>
      <c r="F227" s="66"/>
      <c r="G227" s="66"/>
      <c r="H227" s="66"/>
    </row>
    <row r="228" spans="1:8">
      <c r="A228" s="66"/>
      <c r="B228" s="66"/>
      <c r="C228" s="66"/>
      <c r="D228" s="66"/>
      <c r="E228" s="66"/>
      <c r="F228" s="66"/>
      <c r="G228" s="66"/>
      <c r="H228" s="66"/>
    </row>
    <row r="229" spans="1:8">
      <c r="A229" s="66"/>
      <c r="B229" s="66"/>
      <c r="C229" s="66"/>
      <c r="D229" s="66"/>
      <c r="E229" s="66"/>
      <c r="F229" s="66"/>
      <c r="G229" s="66"/>
      <c r="H229" s="66"/>
    </row>
    <row r="230" spans="1:8">
      <c r="A230" s="66"/>
      <c r="B230" s="66"/>
      <c r="C230" s="66"/>
      <c r="D230" s="66"/>
      <c r="E230" s="66"/>
      <c r="F230" s="66"/>
      <c r="G230" s="66"/>
      <c r="H230" s="66"/>
    </row>
    <row r="231" spans="1:8">
      <c r="A231" s="66"/>
      <c r="B231" s="66"/>
      <c r="C231" s="66"/>
      <c r="D231" s="66"/>
      <c r="E231" s="66"/>
      <c r="F231" s="66"/>
      <c r="G231" s="66"/>
      <c r="H231" s="66"/>
    </row>
    <row r="232" spans="1:8">
      <c r="A232" s="66"/>
      <c r="B232" s="66"/>
      <c r="C232" s="66"/>
      <c r="D232" s="66"/>
      <c r="E232" s="66"/>
      <c r="F232" s="66"/>
      <c r="G232" s="66"/>
      <c r="H232" s="66"/>
    </row>
    <row r="233" spans="1:8">
      <c r="A233" s="66"/>
      <c r="B233" s="66"/>
      <c r="C233" s="66"/>
      <c r="D233" s="66"/>
      <c r="E233" s="66"/>
      <c r="F233" s="66"/>
      <c r="G233" s="66"/>
      <c r="H233" s="66"/>
    </row>
    <row r="234" spans="1:8">
      <c r="A234" s="66"/>
      <c r="B234" s="66"/>
      <c r="C234" s="66"/>
      <c r="D234" s="66"/>
      <c r="E234" s="66"/>
      <c r="F234" s="66"/>
      <c r="G234" s="66"/>
      <c r="H234" s="66"/>
    </row>
    <row r="235" spans="1:8">
      <c r="A235" s="66"/>
      <c r="B235" s="66"/>
      <c r="C235" s="66"/>
      <c r="D235" s="66"/>
      <c r="E235" s="66"/>
      <c r="F235" s="66"/>
      <c r="G235" s="66"/>
      <c r="H235" s="66"/>
    </row>
    <row r="236" spans="1:8">
      <c r="A236" s="66"/>
      <c r="B236" s="66"/>
      <c r="C236" s="66"/>
      <c r="D236" s="66"/>
      <c r="E236" s="66"/>
      <c r="F236" s="66"/>
      <c r="G236" s="66"/>
      <c r="H236" s="66"/>
    </row>
    <row r="237" spans="1:8">
      <c r="A237" s="66"/>
      <c r="B237" s="66"/>
      <c r="C237" s="66"/>
      <c r="D237" s="66"/>
      <c r="E237" s="66"/>
      <c r="F237" s="66"/>
      <c r="G237" s="66"/>
      <c r="H237" s="66"/>
    </row>
    <row r="238" spans="1:8">
      <c r="A238" s="66"/>
      <c r="B238" s="66"/>
      <c r="C238" s="66"/>
      <c r="D238" s="66"/>
      <c r="E238" s="66"/>
      <c r="F238" s="66"/>
      <c r="G238" s="66"/>
      <c r="H238" s="66"/>
    </row>
    <row r="239" spans="1:8">
      <c r="A239" s="66"/>
      <c r="B239" s="66"/>
      <c r="C239" s="66"/>
      <c r="D239" s="66"/>
      <c r="E239" s="66"/>
      <c r="F239" s="66"/>
      <c r="G239" s="66"/>
      <c r="H239" s="66"/>
    </row>
    <row r="240" spans="1:8">
      <c r="A240" s="66"/>
      <c r="B240" s="66"/>
      <c r="C240" s="66"/>
      <c r="D240" s="66"/>
      <c r="E240" s="66"/>
      <c r="F240" s="66"/>
      <c r="G240" s="66"/>
      <c r="H240" s="66"/>
    </row>
    <row r="241" spans="1:8">
      <c r="A241" s="66"/>
      <c r="B241" s="66"/>
      <c r="C241" s="66"/>
      <c r="D241" s="66"/>
      <c r="E241" s="66"/>
      <c r="F241" s="66"/>
      <c r="G241" s="66"/>
      <c r="H241" s="66"/>
    </row>
    <row r="242" spans="1:8">
      <c r="A242" s="66"/>
      <c r="B242" s="66"/>
      <c r="C242" s="66"/>
      <c r="D242" s="66"/>
      <c r="E242" s="66"/>
      <c r="F242" s="66"/>
      <c r="G242" s="66"/>
      <c r="H242" s="66"/>
    </row>
    <row r="243" spans="1:8">
      <c r="A243" s="66"/>
      <c r="B243" s="66"/>
      <c r="C243" s="66"/>
      <c r="D243" s="66"/>
      <c r="E243" s="66"/>
      <c r="F243" s="66"/>
      <c r="G243" s="66"/>
      <c r="H243" s="66"/>
    </row>
    <row r="244" spans="1:8">
      <c r="A244" s="66"/>
      <c r="B244" s="66"/>
      <c r="C244" s="66"/>
      <c r="D244" s="66"/>
      <c r="E244" s="66"/>
      <c r="F244" s="66"/>
      <c r="G244" s="66"/>
      <c r="H244" s="66"/>
    </row>
    <row r="245" spans="1:8">
      <c r="A245" s="66"/>
      <c r="B245" s="66"/>
      <c r="C245" s="66"/>
      <c r="D245" s="66"/>
      <c r="E245" s="66"/>
      <c r="F245" s="66"/>
      <c r="G245" s="66"/>
      <c r="H245" s="66"/>
    </row>
    <row r="246" spans="1:8">
      <c r="A246" s="66"/>
      <c r="B246" s="66"/>
      <c r="C246" s="66"/>
      <c r="D246" s="66"/>
      <c r="E246" s="66"/>
      <c r="F246" s="66"/>
      <c r="G246" s="66"/>
      <c r="H246" s="66"/>
    </row>
    <row r="247" spans="1:8">
      <c r="A247" s="66"/>
      <c r="B247" s="66"/>
      <c r="C247" s="66"/>
      <c r="D247" s="66"/>
      <c r="E247" s="66"/>
      <c r="F247" s="66"/>
      <c r="G247" s="66"/>
      <c r="H247" s="66"/>
    </row>
    <row r="248" spans="1:8">
      <c r="A248" s="66"/>
      <c r="B248" s="66"/>
      <c r="C248" s="66"/>
      <c r="D248" s="66"/>
      <c r="E248" s="66"/>
      <c r="F248" s="66"/>
      <c r="G248" s="66"/>
      <c r="H248" s="66"/>
    </row>
    <row r="249" spans="1:8">
      <c r="A249" s="66"/>
      <c r="B249" s="66"/>
      <c r="C249" s="66"/>
      <c r="D249" s="66"/>
      <c r="E249" s="66"/>
      <c r="F249" s="66"/>
      <c r="G249" s="66"/>
      <c r="H249" s="66"/>
    </row>
    <row r="250" spans="1:8">
      <c r="A250" s="66"/>
      <c r="B250" s="66"/>
      <c r="C250" s="66"/>
      <c r="D250" s="66"/>
      <c r="E250" s="66"/>
      <c r="F250" s="66"/>
      <c r="G250" s="66"/>
      <c r="H250" s="66"/>
    </row>
    <row r="251" spans="1:8">
      <c r="A251" s="66"/>
      <c r="B251" s="66"/>
      <c r="C251" s="66"/>
      <c r="D251" s="66"/>
      <c r="E251" s="66"/>
      <c r="F251" s="66"/>
      <c r="G251" s="66"/>
      <c r="H251" s="66"/>
    </row>
    <row r="252" spans="1:8">
      <c r="A252" s="66"/>
      <c r="B252" s="66"/>
      <c r="C252" s="66"/>
      <c r="D252" s="66"/>
      <c r="E252" s="66"/>
      <c r="F252" s="66"/>
      <c r="G252" s="66"/>
      <c r="H252" s="66"/>
    </row>
    <row r="253" spans="1:8">
      <c r="A253" s="66"/>
      <c r="B253" s="66"/>
      <c r="C253" s="66"/>
      <c r="D253" s="66"/>
      <c r="E253" s="66"/>
      <c r="F253" s="66"/>
      <c r="G253" s="66"/>
      <c r="H253" s="66"/>
    </row>
    <row r="254" spans="1:8">
      <c r="A254" s="66"/>
      <c r="B254" s="66"/>
      <c r="C254" s="66"/>
      <c r="D254" s="66"/>
      <c r="E254" s="66"/>
      <c r="F254" s="66"/>
      <c r="G254" s="66"/>
      <c r="H254" s="66"/>
    </row>
    <row r="255" spans="1:8">
      <c r="A255" s="66"/>
      <c r="B255" s="66"/>
      <c r="C255" s="66"/>
      <c r="D255" s="66"/>
      <c r="E255" s="66"/>
      <c r="F255" s="66"/>
      <c r="G255" s="66"/>
      <c r="H255" s="66"/>
    </row>
    <row r="256" spans="1:8">
      <c r="A256" s="66"/>
      <c r="B256" s="66"/>
      <c r="C256" s="66"/>
      <c r="D256" s="66"/>
      <c r="E256" s="66"/>
      <c r="F256" s="66"/>
      <c r="G256" s="66"/>
      <c r="H256" s="66"/>
    </row>
    <row r="257" spans="1:8">
      <c r="A257" s="66"/>
      <c r="B257" s="66"/>
      <c r="C257" s="66"/>
      <c r="D257" s="66"/>
      <c r="E257" s="66"/>
      <c r="F257" s="66"/>
      <c r="G257" s="66"/>
      <c r="H257" s="66"/>
    </row>
    <row r="258" spans="1:8">
      <c r="A258" s="66"/>
      <c r="B258" s="66"/>
      <c r="C258" s="66"/>
      <c r="D258" s="66"/>
      <c r="E258" s="66"/>
      <c r="F258" s="66"/>
      <c r="G258" s="66"/>
      <c r="H258" s="66"/>
    </row>
    <row r="259" spans="1:8">
      <c r="A259" s="66"/>
      <c r="B259" s="66"/>
      <c r="C259" s="66"/>
      <c r="D259" s="66"/>
      <c r="E259" s="66"/>
      <c r="F259" s="66"/>
      <c r="G259" s="66"/>
      <c r="H259" s="66"/>
    </row>
    <row r="260" spans="1:8">
      <c r="A260" s="66"/>
      <c r="B260" s="66"/>
      <c r="C260" s="66"/>
      <c r="D260" s="66"/>
      <c r="E260" s="66"/>
      <c r="F260" s="66"/>
      <c r="G260" s="66"/>
      <c r="H260" s="66"/>
    </row>
    <row r="261" spans="1:8">
      <c r="A261" s="66"/>
      <c r="B261" s="66"/>
      <c r="C261" s="66"/>
      <c r="D261" s="66"/>
      <c r="E261" s="66"/>
      <c r="F261" s="66"/>
      <c r="G261" s="66"/>
      <c r="H261" s="66"/>
    </row>
    <row r="262" spans="1:8">
      <c r="A262" s="66"/>
      <c r="B262" s="66"/>
      <c r="C262" s="66"/>
      <c r="D262" s="66"/>
      <c r="E262" s="66"/>
      <c r="F262" s="66"/>
      <c r="G262" s="66"/>
      <c r="H262" s="66"/>
    </row>
    <row r="263" spans="1:8">
      <c r="A263" s="66"/>
      <c r="B263" s="66"/>
      <c r="C263" s="66"/>
      <c r="D263" s="66"/>
      <c r="E263" s="66"/>
      <c r="F263" s="66"/>
      <c r="G263" s="66"/>
      <c r="H263" s="66"/>
    </row>
    <row r="264" spans="1:8">
      <c r="A264" s="66"/>
      <c r="B264" s="66"/>
      <c r="C264" s="66"/>
      <c r="D264" s="66"/>
      <c r="E264" s="66"/>
      <c r="F264" s="66"/>
      <c r="G264" s="66"/>
      <c r="H264" s="66"/>
    </row>
    <row r="265" spans="1:8">
      <c r="A265" s="66"/>
      <c r="B265" s="66"/>
      <c r="C265" s="66"/>
      <c r="D265" s="66"/>
      <c r="E265" s="66"/>
      <c r="F265" s="66"/>
      <c r="G265" s="66"/>
      <c r="H265" s="66"/>
    </row>
    <row r="266" spans="1:8">
      <c r="A266" s="66"/>
      <c r="B266" s="66"/>
      <c r="C266" s="66"/>
      <c r="D266" s="66"/>
      <c r="E266" s="66"/>
      <c r="F266" s="66"/>
      <c r="G266" s="66"/>
      <c r="H266" s="66"/>
    </row>
    <row r="267" spans="1:8">
      <c r="A267" s="66"/>
      <c r="B267" s="66"/>
      <c r="C267" s="66"/>
      <c r="D267" s="66"/>
      <c r="E267" s="66"/>
      <c r="F267" s="66"/>
      <c r="G267" s="66"/>
      <c r="H267" s="66"/>
    </row>
    <row r="268" spans="1:8">
      <c r="A268" s="66"/>
      <c r="B268" s="66"/>
      <c r="C268" s="66"/>
      <c r="D268" s="66"/>
      <c r="E268" s="66"/>
      <c r="F268" s="66"/>
      <c r="G268" s="66"/>
      <c r="H268" s="66"/>
    </row>
    <row r="269" spans="1:8">
      <c r="A269" s="66"/>
      <c r="B269" s="66"/>
      <c r="C269" s="66"/>
      <c r="D269" s="66"/>
      <c r="E269" s="66"/>
      <c r="F269" s="66"/>
      <c r="G269" s="66"/>
      <c r="H269" s="66"/>
    </row>
    <row r="270" spans="1:8">
      <c r="A270" s="66"/>
      <c r="B270" s="66"/>
      <c r="C270" s="66"/>
      <c r="D270" s="66"/>
      <c r="E270" s="66"/>
      <c r="F270" s="66"/>
      <c r="G270" s="66"/>
      <c r="H270" s="66"/>
    </row>
    <row r="271" spans="1:8">
      <c r="A271" s="66"/>
      <c r="B271" s="66"/>
      <c r="C271" s="66"/>
      <c r="D271" s="66"/>
      <c r="E271" s="66"/>
      <c r="F271" s="66"/>
      <c r="G271" s="66"/>
      <c r="H271" s="66"/>
    </row>
    <row r="272" spans="1:8">
      <c r="A272" s="66"/>
      <c r="B272" s="66"/>
      <c r="C272" s="66"/>
      <c r="D272" s="66"/>
      <c r="E272" s="66"/>
      <c r="F272" s="66"/>
      <c r="G272" s="66"/>
      <c r="H272" s="66"/>
    </row>
    <row r="273" spans="1:8">
      <c r="A273" s="66"/>
      <c r="B273" s="66"/>
      <c r="C273" s="66"/>
      <c r="D273" s="66"/>
      <c r="E273" s="66"/>
      <c r="F273" s="66"/>
      <c r="G273" s="66"/>
      <c r="H273" s="66"/>
    </row>
    <row r="274" spans="1:8">
      <c r="A274" s="66"/>
      <c r="B274" s="66"/>
      <c r="C274" s="66"/>
      <c r="D274" s="66"/>
      <c r="E274" s="66"/>
      <c r="F274" s="66"/>
      <c r="G274" s="66"/>
      <c r="H274" s="66"/>
    </row>
    <row r="275" spans="1:8">
      <c r="A275" s="66"/>
      <c r="B275" s="66"/>
      <c r="C275" s="66"/>
      <c r="D275" s="66"/>
      <c r="E275" s="66"/>
      <c r="F275" s="66"/>
      <c r="G275" s="66"/>
      <c r="H275" s="66"/>
    </row>
    <row r="276" spans="1:8">
      <c r="A276" s="66"/>
      <c r="B276" s="66"/>
      <c r="C276" s="66"/>
      <c r="D276" s="66"/>
      <c r="E276" s="66"/>
      <c r="F276" s="66"/>
      <c r="G276" s="66"/>
      <c r="H276" s="66"/>
    </row>
    <row r="277" spans="1:8">
      <c r="A277" s="66"/>
      <c r="B277" s="66"/>
      <c r="C277" s="66"/>
      <c r="D277" s="66"/>
      <c r="E277" s="66"/>
      <c r="F277" s="66"/>
      <c r="G277" s="66"/>
      <c r="H277" s="66"/>
    </row>
    <row r="278" spans="1:8">
      <c r="A278" s="66"/>
      <c r="B278" s="66"/>
      <c r="C278" s="66"/>
      <c r="D278" s="66"/>
      <c r="E278" s="66"/>
      <c r="F278" s="66"/>
      <c r="G278" s="66"/>
      <c r="H278" s="66"/>
    </row>
    <row r="279" spans="1:8">
      <c r="A279" s="66"/>
      <c r="B279" s="66"/>
      <c r="C279" s="66"/>
      <c r="D279" s="66"/>
      <c r="E279" s="66"/>
      <c r="F279" s="66"/>
      <c r="G279" s="66"/>
      <c r="H279" s="66"/>
    </row>
    <row r="280" spans="1:8">
      <c r="A280" s="66"/>
      <c r="B280" s="66"/>
      <c r="C280" s="66"/>
      <c r="D280" s="66"/>
      <c r="E280" s="66"/>
      <c r="F280" s="66"/>
      <c r="G280" s="66"/>
      <c r="H280" s="66"/>
    </row>
    <row r="281" spans="1:8">
      <c r="A281" s="66"/>
      <c r="B281" s="66"/>
      <c r="C281" s="66"/>
      <c r="D281" s="66"/>
      <c r="E281" s="66"/>
      <c r="F281" s="66"/>
      <c r="G281" s="66"/>
      <c r="H281" s="66"/>
    </row>
    <row r="282" spans="1:8">
      <c r="A282" s="66"/>
      <c r="B282" s="66"/>
      <c r="C282" s="66"/>
      <c r="D282" s="66"/>
      <c r="E282" s="66"/>
      <c r="F282" s="66"/>
      <c r="G282" s="66"/>
      <c r="H282" s="66"/>
    </row>
    <row r="283" spans="1:8">
      <c r="A283" s="66"/>
      <c r="B283" s="66"/>
      <c r="C283" s="66"/>
      <c r="D283" s="66"/>
      <c r="E283" s="66"/>
      <c r="F283" s="66"/>
      <c r="G283" s="66"/>
      <c r="H283" s="66"/>
    </row>
    <row r="284" spans="1:8">
      <c r="A284" s="66"/>
      <c r="B284" s="66"/>
      <c r="C284" s="66"/>
      <c r="D284" s="66"/>
      <c r="E284" s="66"/>
      <c r="F284" s="66"/>
      <c r="G284" s="66"/>
      <c r="H284" s="66"/>
    </row>
    <row r="285" spans="1:8">
      <c r="A285" s="66"/>
      <c r="B285" s="66"/>
      <c r="C285" s="66"/>
      <c r="D285" s="66"/>
      <c r="E285" s="66"/>
      <c r="F285" s="66"/>
      <c r="G285" s="66"/>
      <c r="H285" s="66"/>
    </row>
    <row r="286" spans="1:8">
      <c r="A286" s="66"/>
      <c r="B286" s="66"/>
      <c r="C286" s="66"/>
      <c r="D286" s="66"/>
      <c r="E286" s="66"/>
      <c r="F286" s="66"/>
      <c r="G286" s="66"/>
      <c r="H286" s="66"/>
    </row>
    <row r="287" spans="1:8">
      <c r="A287" s="66"/>
      <c r="B287" s="66"/>
      <c r="C287" s="66"/>
      <c r="D287" s="66"/>
      <c r="E287" s="66"/>
      <c r="F287" s="66"/>
      <c r="G287" s="66"/>
      <c r="H287" s="66"/>
    </row>
    <row r="288" spans="1:8">
      <c r="A288" s="66"/>
      <c r="B288" s="66"/>
      <c r="C288" s="66"/>
      <c r="D288" s="66"/>
      <c r="E288" s="66"/>
      <c r="F288" s="66"/>
      <c r="G288" s="66"/>
      <c r="H288" s="66"/>
    </row>
    <row r="289" spans="1:8">
      <c r="A289" s="66"/>
      <c r="B289" s="66"/>
      <c r="C289" s="66"/>
      <c r="D289" s="66"/>
      <c r="E289" s="66"/>
      <c r="F289" s="66"/>
      <c r="G289" s="66"/>
      <c r="H289" s="66"/>
    </row>
    <row r="290" spans="1:8">
      <c r="A290" s="66"/>
      <c r="B290" s="66"/>
      <c r="C290" s="66"/>
      <c r="D290" s="66"/>
      <c r="E290" s="66"/>
      <c r="F290" s="66"/>
      <c r="G290" s="66"/>
      <c r="H290" s="66"/>
    </row>
    <row r="291" spans="1:8">
      <c r="A291" s="66"/>
      <c r="B291" s="66"/>
      <c r="C291" s="66"/>
      <c r="D291" s="66"/>
      <c r="E291" s="66"/>
      <c r="F291" s="66"/>
      <c r="G291" s="66"/>
      <c r="H291" s="66"/>
    </row>
    <row r="292" spans="1:8">
      <c r="A292" s="66"/>
      <c r="B292" s="66"/>
      <c r="C292" s="66"/>
      <c r="D292" s="66"/>
      <c r="E292" s="66"/>
      <c r="F292" s="66"/>
      <c r="G292" s="66"/>
      <c r="H292" s="66"/>
    </row>
    <row r="293" spans="1:8">
      <c r="A293" s="66"/>
      <c r="B293" s="66"/>
      <c r="C293" s="66"/>
      <c r="D293" s="66"/>
      <c r="E293" s="66"/>
      <c r="F293" s="66"/>
      <c r="G293" s="66"/>
      <c r="H293" s="66"/>
    </row>
    <row r="294" spans="1:8">
      <c r="A294" s="66"/>
      <c r="B294" s="66"/>
      <c r="C294" s="66"/>
      <c r="D294" s="66"/>
      <c r="E294" s="66"/>
      <c r="F294" s="66"/>
      <c r="G294" s="66"/>
      <c r="H294" s="66"/>
    </row>
    <row r="295" spans="1:8">
      <c r="A295" s="66"/>
      <c r="B295" s="66"/>
      <c r="C295" s="66"/>
      <c r="D295" s="66"/>
      <c r="E295" s="66"/>
      <c r="F295" s="66"/>
      <c r="G295" s="66"/>
      <c r="H295" s="66"/>
    </row>
    <row r="296" spans="1:8">
      <c r="A296" s="66"/>
      <c r="B296" s="66"/>
      <c r="C296" s="66"/>
      <c r="D296" s="66"/>
      <c r="E296" s="66"/>
      <c r="F296" s="66"/>
      <c r="G296" s="66"/>
      <c r="H296" s="66"/>
    </row>
    <row r="297" spans="1:8">
      <c r="A297" s="66"/>
      <c r="B297" s="66"/>
      <c r="C297" s="66"/>
      <c r="D297" s="66"/>
      <c r="E297" s="66"/>
      <c r="F297" s="66"/>
      <c r="G297" s="66"/>
      <c r="H297" s="66"/>
    </row>
    <row r="298" spans="1:8">
      <c r="A298" s="66"/>
      <c r="B298" s="66"/>
      <c r="C298" s="66"/>
      <c r="D298" s="66"/>
      <c r="E298" s="66"/>
      <c r="F298" s="66"/>
      <c r="G298" s="66"/>
      <c r="H298" s="66"/>
    </row>
    <row r="299" spans="1:8">
      <c r="A299" s="66"/>
      <c r="B299" s="66"/>
      <c r="C299" s="66"/>
      <c r="D299" s="66"/>
      <c r="E299" s="66"/>
      <c r="F299" s="66"/>
      <c r="G299" s="66"/>
      <c r="H299" s="66"/>
    </row>
    <row r="300" spans="1:8">
      <c r="A300" s="66"/>
      <c r="B300" s="66"/>
      <c r="C300" s="66"/>
      <c r="D300" s="66"/>
      <c r="E300" s="66"/>
      <c r="F300" s="66"/>
      <c r="G300" s="66"/>
      <c r="H300" s="66"/>
    </row>
    <row r="301" spans="1:8">
      <c r="A301" s="66"/>
      <c r="B301" s="66"/>
      <c r="C301" s="66"/>
      <c r="D301" s="66"/>
      <c r="E301" s="66"/>
      <c r="F301" s="66"/>
      <c r="G301" s="66"/>
      <c r="H301" s="66"/>
    </row>
    <row r="302" spans="1:8">
      <c r="A302" s="66"/>
      <c r="B302" s="66"/>
      <c r="C302" s="66"/>
      <c r="D302" s="66"/>
      <c r="E302" s="66"/>
      <c r="F302" s="66"/>
      <c r="G302" s="66"/>
      <c r="H302" s="66"/>
    </row>
    <row r="303" spans="1:8">
      <c r="A303" s="66"/>
      <c r="B303" s="66"/>
      <c r="C303" s="66"/>
      <c r="D303" s="66"/>
      <c r="E303" s="66"/>
      <c r="F303" s="66"/>
      <c r="G303" s="66"/>
      <c r="H303" s="66"/>
    </row>
    <row r="304" spans="1:8">
      <c r="A304" s="66"/>
      <c r="B304" s="66"/>
      <c r="C304" s="66"/>
      <c r="D304" s="66"/>
      <c r="E304" s="66"/>
      <c r="F304" s="66"/>
      <c r="G304" s="66"/>
      <c r="H304" s="66"/>
    </row>
    <row r="305" spans="1:8">
      <c r="A305" s="66"/>
      <c r="B305" s="66"/>
      <c r="C305" s="66"/>
      <c r="D305" s="66"/>
      <c r="E305" s="66"/>
      <c r="F305" s="66"/>
      <c r="G305" s="66"/>
      <c r="H305" s="66"/>
    </row>
    <row r="306" spans="1:8">
      <c r="A306" s="66"/>
      <c r="B306" s="66"/>
      <c r="C306" s="66"/>
      <c r="D306" s="66"/>
      <c r="E306" s="66"/>
      <c r="F306" s="66"/>
      <c r="G306" s="66"/>
      <c r="H306" s="66"/>
    </row>
    <row r="307" spans="1:8">
      <c r="A307" s="66"/>
      <c r="B307" s="66"/>
      <c r="C307" s="66"/>
      <c r="D307" s="66"/>
      <c r="E307" s="66"/>
      <c r="F307" s="66"/>
      <c r="G307" s="66"/>
      <c r="H307" s="66"/>
    </row>
    <row r="308" spans="1:8">
      <c r="A308" s="66"/>
      <c r="B308" s="66"/>
      <c r="C308" s="66"/>
      <c r="D308" s="66"/>
      <c r="E308" s="66"/>
      <c r="F308" s="66"/>
      <c r="G308" s="66"/>
      <c r="H308" s="66"/>
    </row>
    <row r="309" spans="1:8">
      <c r="A309" s="66"/>
      <c r="B309" s="66"/>
      <c r="C309" s="66"/>
      <c r="D309" s="66"/>
      <c r="E309" s="66"/>
      <c r="F309" s="66"/>
      <c r="G309" s="66"/>
      <c r="H309" s="66"/>
    </row>
    <row r="310" spans="1:8">
      <c r="A310" s="66"/>
      <c r="B310" s="66"/>
      <c r="C310" s="66"/>
      <c r="D310" s="66"/>
      <c r="E310" s="66"/>
      <c r="F310" s="66"/>
      <c r="G310" s="66"/>
      <c r="H310" s="66"/>
    </row>
    <row r="311" spans="1:8">
      <c r="A311" s="66"/>
      <c r="B311" s="66"/>
      <c r="C311" s="66"/>
      <c r="D311" s="66"/>
      <c r="E311" s="66"/>
      <c r="F311" s="66"/>
      <c r="G311" s="66"/>
      <c r="H311" s="66"/>
    </row>
    <row r="312" spans="1:8">
      <c r="A312" s="66"/>
      <c r="B312" s="66"/>
      <c r="C312" s="66"/>
      <c r="D312" s="66"/>
      <c r="E312" s="66"/>
      <c r="F312" s="66"/>
      <c r="G312" s="66"/>
      <c r="H312" s="66"/>
    </row>
    <row r="313" spans="1:8">
      <c r="A313" s="66"/>
      <c r="B313" s="66"/>
      <c r="C313" s="66"/>
      <c r="D313" s="66"/>
      <c r="E313" s="66"/>
      <c r="F313" s="66"/>
      <c r="G313" s="66"/>
      <c r="H313" s="66"/>
    </row>
    <row r="314" spans="1:8">
      <c r="A314" s="66"/>
      <c r="B314" s="66"/>
      <c r="C314" s="66"/>
      <c r="D314" s="66"/>
      <c r="E314" s="66"/>
      <c r="F314" s="66"/>
      <c r="G314" s="66"/>
      <c r="H314" s="66"/>
    </row>
    <row r="315" spans="1:8">
      <c r="A315" s="66"/>
      <c r="B315" s="66"/>
      <c r="C315" s="66"/>
      <c r="D315" s="66"/>
      <c r="E315" s="66"/>
      <c r="F315" s="66"/>
      <c r="G315" s="66"/>
      <c r="H315" s="66"/>
    </row>
    <row r="316" spans="1:8">
      <c r="A316" s="66"/>
      <c r="B316" s="66"/>
      <c r="C316" s="66"/>
      <c r="D316" s="66"/>
      <c r="E316" s="66"/>
      <c r="F316" s="66"/>
      <c r="G316" s="66"/>
      <c r="H316" s="66"/>
    </row>
    <row r="317" spans="1:8">
      <c r="A317" s="66"/>
      <c r="B317" s="66"/>
      <c r="C317" s="66"/>
      <c r="D317" s="66"/>
      <c r="E317" s="66"/>
      <c r="F317" s="66"/>
      <c r="G317" s="66"/>
      <c r="H317" s="66"/>
    </row>
    <row r="318" spans="1:8">
      <c r="A318" s="66"/>
      <c r="B318" s="66"/>
      <c r="C318" s="66"/>
      <c r="D318" s="66"/>
      <c r="E318" s="66"/>
      <c r="F318" s="66"/>
      <c r="G318" s="66"/>
      <c r="H318" s="66"/>
    </row>
    <row r="319" spans="1:8">
      <c r="A319" s="66"/>
      <c r="B319" s="66"/>
      <c r="C319" s="66"/>
      <c r="D319" s="66"/>
      <c r="E319" s="66"/>
      <c r="F319" s="66"/>
      <c r="G319" s="66"/>
      <c r="H319" s="66"/>
    </row>
    <row r="320" spans="1:8">
      <c r="A320" s="66"/>
      <c r="B320" s="66"/>
      <c r="C320" s="66"/>
      <c r="D320" s="66"/>
      <c r="E320" s="66"/>
      <c r="F320" s="66"/>
      <c r="G320" s="66"/>
      <c r="H320" s="66"/>
    </row>
    <row r="321" spans="1:8">
      <c r="A321" s="66"/>
      <c r="B321" s="66"/>
      <c r="C321" s="66"/>
      <c r="D321" s="66"/>
      <c r="E321" s="66"/>
      <c r="F321" s="66"/>
      <c r="G321" s="66"/>
      <c r="H321" s="66"/>
    </row>
    <row r="322" spans="1:8">
      <c r="A322" s="66"/>
      <c r="B322" s="66"/>
      <c r="C322" s="66"/>
      <c r="D322" s="66"/>
      <c r="E322" s="66"/>
      <c r="F322" s="66"/>
      <c r="G322" s="66"/>
      <c r="H322" s="66"/>
    </row>
    <row r="323" spans="1:8">
      <c r="A323" s="66"/>
      <c r="B323" s="66"/>
      <c r="C323" s="66"/>
      <c r="D323" s="66"/>
      <c r="E323" s="66"/>
      <c r="F323" s="66"/>
      <c r="G323" s="66"/>
      <c r="H323" s="66"/>
    </row>
    <row r="324" spans="1:8">
      <c r="A324" s="66"/>
      <c r="B324" s="66"/>
      <c r="C324" s="66"/>
      <c r="D324" s="66"/>
      <c r="E324" s="66"/>
      <c r="F324" s="66"/>
      <c r="G324" s="66"/>
      <c r="H324" s="66"/>
    </row>
    <row r="325" spans="1:8">
      <c r="A325" s="66"/>
      <c r="B325" s="66"/>
      <c r="C325" s="66"/>
      <c r="D325" s="66"/>
      <c r="E325" s="66"/>
      <c r="F325" s="66"/>
      <c r="G325" s="66"/>
      <c r="H325" s="66"/>
    </row>
    <row r="326" spans="1:8">
      <c r="A326" s="66"/>
      <c r="B326" s="66"/>
      <c r="C326" s="66"/>
      <c r="D326" s="66"/>
      <c r="E326" s="66"/>
      <c r="F326" s="66"/>
      <c r="G326" s="66"/>
      <c r="H326" s="66"/>
    </row>
    <row r="327" spans="1:8">
      <c r="A327" s="66"/>
      <c r="B327" s="66"/>
      <c r="C327" s="66"/>
      <c r="D327" s="66"/>
      <c r="E327" s="66"/>
      <c r="F327" s="66"/>
      <c r="G327" s="66"/>
      <c r="H327" s="66"/>
    </row>
    <row r="328" spans="1:8">
      <c r="A328" s="66"/>
      <c r="B328" s="66"/>
      <c r="C328" s="66"/>
      <c r="D328" s="66"/>
      <c r="E328" s="66"/>
      <c r="F328" s="66"/>
      <c r="G328" s="66"/>
      <c r="H328" s="66"/>
    </row>
    <row r="329" spans="1:8">
      <c r="A329" s="66"/>
      <c r="B329" s="66"/>
      <c r="C329" s="66"/>
      <c r="D329" s="66"/>
      <c r="E329" s="66"/>
      <c r="F329" s="66"/>
      <c r="G329" s="66"/>
      <c r="H329" s="66"/>
    </row>
    <row r="330" spans="1:8">
      <c r="A330" s="66"/>
      <c r="B330" s="66"/>
      <c r="C330" s="66"/>
      <c r="D330" s="66"/>
      <c r="E330" s="66"/>
      <c r="F330" s="66"/>
      <c r="G330" s="66"/>
      <c r="H330" s="66"/>
    </row>
    <row r="331" spans="1:8">
      <c r="A331" s="66"/>
      <c r="B331" s="66"/>
      <c r="C331" s="66"/>
      <c r="D331" s="66"/>
      <c r="E331" s="66"/>
      <c r="F331" s="66"/>
      <c r="G331" s="66"/>
      <c r="H331" s="66"/>
    </row>
    <row r="332" spans="1:8">
      <c r="A332" s="66"/>
      <c r="B332" s="66"/>
      <c r="C332" s="66"/>
      <c r="D332" s="66"/>
      <c r="E332" s="66"/>
      <c r="F332" s="66"/>
      <c r="G332" s="66"/>
      <c r="H332" s="66"/>
    </row>
    <row r="333" spans="1:8">
      <c r="A333" s="66"/>
      <c r="B333" s="66"/>
      <c r="C333" s="66"/>
      <c r="D333" s="66"/>
      <c r="E333" s="66"/>
      <c r="F333" s="66"/>
      <c r="G333" s="66"/>
      <c r="H333" s="66"/>
    </row>
    <row r="334" spans="1:8">
      <c r="A334" s="66"/>
      <c r="B334" s="66"/>
      <c r="C334" s="66"/>
      <c r="D334" s="66"/>
      <c r="E334" s="66"/>
      <c r="F334" s="66"/>
      <c r="G334" s="66"/>
      <c r="H334" s="66"/>
    </row>
    <row r="335" spans="1:8">
      <c r="A335" s="66"/>
      <c r="B335" s="66"/>
      <c r="C335" s="66"/>
      <c r="D335" s="66"/>
      <c r="E335" s="66"/>
      <c r="F335" s="66"/>
      <c r="G335" s="66"/>
      <c r="H335" s="66"/>
    </row>
    <row r="336" spans="1:8">
      <c r="A336" s="66"/>
      <c r="B336" s="66"/>
      <c r="C336" s="66"/>
      <c r="D336" s="66"/>
      <c r="E336" s="66"/>
      <c r="F336" s="66"/>
      <c r="G336" s="66"/>
      <c r="H336" s="66"/>
    </row>
    <row r="337" spans="1:8">
      <c r="A337" s="66"/>
      <c r="B337" s="66"/>
      <c r="C337" s="66"/>
      <c r="D337" s="66"/>
      <c r="E337" s="66"/>
      <c r="F337" s="66"/>
      <c r="G337" s="66"/>
      <c r="H337" s="66"/>
    </row>
    <row r="338" spans="1:8">
      <c r="A338" s="66"/>
      <c r="B338" s="66"/>
      <c r="C338" s="66"/>
      <c r="D338" s="66"/>
      <c r="E338" s="66"/>
      <c r="F338" s="66"/>
      <c r="G338" s="66"/>
      <c r="H338" s="66"/>
    </row>
    <row r="339" spans="1:8">
      <c r="A339" s="66"/>
      <c r="B339" s="66"/>
      <c r="C339" s="66"/>
      <c r="D339" s="66"/>
      <c r="E339" s="66"/>
      <c r="F339" s="66"/>
      <c r="G339" s="66"/>
      <c r="H339" s="66"/>
    </row>
    <row r="340" spans="1:8">
      <c r="A340" s="66"/>
      <c r="B340" s="66"/>
      <c r="C340" s="66"/>
      <c r="D340" s="66"/>
      <c r="E340" s="66"/>
      <c r="F340" s="66"/>
      <c r="G340" s="66"/>
      <c r="H340" s="66"/>
    </row>
    <row r="341" spans="1:8">
      <c r="A341" s="66"/>
      <c r="B341" s="66"/>
      <c r="C341" s="66"/>
      <c r="D341" s="66"/>
      <c r="E341" s="66"/>
      <c r="F341" s="66"/>
      <c r="G341" s="66"/>
      <c r="H341" s="66"/>
    </row>
    <row r="342" spans="1:8">
      <c r="A342" s="66"/>
      <c r="B342" s="66"/>
      <c r="C342" s="66"/>
      <c r="D342" s="66"/>
      <c r="E342" s="66"/>
      <c r="F342" s="66"/>
      <c r="G342" s="66"/>
      <c r="H342" s="66"/>
    </row>
    <row r="343" spans="1:8">
      <c r="A343" s="66"/>
      <c r="B343" s="66"/>
      <c r="C343" s="66"/>
      <c r="D343" s="66"/>
      <c r="E343" s="66"/>
      <c r="F343" s="66"/>
      <c r="G343" s="66"/>
      <c r="H343" s="66"/>
    </row>
    <row r="344" spans="1:8">
      <c r="A344" s="66"/>
      <c r="B344" s="66"/>
      <c r="C344" s="66"/>
      <c r="D344" s="66"/>
      <c r="E344" s="66"/>
      <c r="F344" s="66"/>
      <c r="G344" s="66"/>
      <c r="H344" s="66"/>
    </row>
    <row r="345" spans="1:8">
      <c r="A345" s="66"/>
      <c r="B345" s="66"/>
      <c r="C345" s="66"/>
      <c r="D345" s="66"/>
      <c r="E345" s="66"/>
      <c r="F345" s="66"/>
      <c r="G345" s="66"/>
      <c r="H345" s="66"/>
    </row>
    <row r="346" spans="1:8">
      <c r="A346" s="66"/>
      <c r="B346" s="66"/>
      <c r="C346" s="66"/>
      <c r="D346" s="66"/>
      <c r="E346" s="66"/>
      <c r="F346" s="66"/>
      <c r="G346" s="66"/>
      <c r="H346" s="66"/>
    </row>
    <row r="347" spans="1:8">
      <c r="A347" s="66"/>
      <c r="B347" s="66"/>
      <c r="C347" s="66"/>
      <c r="D347" s="66"/>
      <c r="E347" s="66"/>
      <c r="F347" s="66"/>
      <c r="G347" s="66"/>
      <c r="H347" s="66"/>
    </row>
    <row r="348" spans="1:8">
      <c r="A348" s="66"/>
      <c r="B348" s="66"/>
      <c r="C348" s="66"/>
      <c r="D348" s="66"/>
      <c r="E348" s="66"/>
      <c r="F348" s="66"/>
      <c r="G348" s="66"/>
      <c r="H348" s="66"/>
    </row>
    <row r="349" spans="1:8">
      <c r="A349" s="66"/>
      <c r="B349" s="66"/>
      <c r="C349" s="66"/>
      <c r="D349" s="66"/>
      <c r="E349" s="66"/>
      <c r="F349" s="66"/>
      <c r="G349" s="66"/>
      <c r="H349" s="66"/>
    </row>
    <row r="350" spans="1:8">
      <c r="A350" s="66"/>
      <c r="B350" s="66"/>
      <c r="C350" s="66"/>
      <c r="D350" s="66"/>
      <c r="E350" s="66"/>
      <c r="F350" s="66"/>
      <c r="G350" s="66"/>
      <c r="H350" s="66"/>
    </row>
    <row r="351" spans="1:8">
      <c r="A351" s="66"/>
      <c r="B351" s="66"/>
      <c r="C351" s="66"/>
      <c r="D351" s="66"/>
      <c r="E351" s="66"/>
      <c r="F351" s="66"/>
      <c r="G351" s="66"/>
      <c r="H351" s="66"/>
    </row>
    <row r="352" spans="1:8">
      <c r="A352" s="66"/>
      <c r="B352" s="66"/>
      <c r="C352" s="66"/>
      <c r="D352" s="66"/>
      <c r="E352" s="66"/>
      <c r="F352" s="66"/>
      <c r="G352" s="66"/>
      <c r="H352" s="66"/>
    </row>
    <row r="353" spans="1:8">
      <c r="A353" s="66"/>
      <c r="B353" s="66"/>
      <c r="C353" s="66"/>
      <c r="D353" s="66"/>
      <c r="E353" s="66"/>
      <c r="F353" s="66"/>
      <c r="G353" s="66"/>
      <c r="H353" s="66"/>
    </row>
    <row r="354" spans="1:8">
      <c r="A354" s="66"/>
      <c r="B354" s="66"/>
      <c r="C354" s="66"/>
      <c r="D354" s="66"/>
      <c r="E354" s="66"/>
      <c r="F354" s="66"/>
      <c r="G354" s="66"/>
      <c r="H354" s="66"/>
    </row>
    <row r="355" spans="1:8">
      <c r="A355" s="66"/>
      <c r="B355" s="66"/>
      <c r="C355" s="66"/>
      <c r="D355" s="66"/>
      <c r="E355" s="66"/>
      <c r="F355" s="66"/>
      <c r="G355" s="66"/>
      <c r="H355" s="66"/>
    </row>
    <row r="356" spans="1:8">
      <c r="A356" s="66"/>
      <c r="B356" s="66"/>
      <c r="C356" s="66"/>
      <c r="D356" s="66"/>
      <c r="E356" s="66"/>
      <c r="F356" s="66"/>
      <c r="G356" s="66"/>
      <c r="H356" s="66"/>
    </row>
    <row r="357" spans="1:8">
      <c r="A357" s="66"/>
      <c r="B357" s="66"/>
      <c r="C357" s="66"/>
      <c r="D357" s="66"/>
      <c r="E357" s="66"/>
      <c r="F357" s="66"/>
      <c r="G357" s="66"/>
      <c r="H357" s="66"/>
    </row>
    <row r="358" spans="1:8">
      <c r="A358" s="66"/>
      <c r="B358" s="66"/>
      <c r="C358" s="66"/>
      <c r="D358" s="66"/>
      <c r="E358" s="66"/>
      <c r="F358" s="66"/>
      <c r="G358" s="66"/>
      <c r="H358" s="66"/>
    </row>
    <row r="359" spans="1:8">
      <c r="A359" s="66"/>
      <c r="B359" s="66"/>
      <c r="C359" s="66"/>
      <c r="D359" s="66"/>
      <c r="E359" s="66"/>
      <c r="F359" s="66"/>
      <c r="G359" s="66"/>
      <c r="H359" s="66"/>
    </row>
    <row r="360" spans="1:8">
      <c r="A360" s="66"/>
      <c r="B360" s="66"/>
      <c r="C360" s="66"/>
      <c r="D360" s="66"/>
      <c r="E360" s="66"/>
      <c r="F360" s="66"/>
      <c r="G360" s="66"/>
      <c r="H360" s="66"/>
    </row>
    <row r="361" spans="1:8">
      <c r="A361" s="66"/>
      <c r="B361" s="66"/>
      <c r="C361" s="66"/>
      <c r="D361" s="66"/>
      <c r="E361" s="66"/>
      <c r="F361" s="66"/>
      <c r="G361" s="66"/>
      <c r="H361" s="66"/>
    </row>
    <row r="362" spans="1:8">
      <c r="A362" s="66"/>
      <c r="B362" s="66"/>
      <c r="C362" s="66"/>
      <c r="D362" s="66"/>
      <c r="E362" s="66"/>
      <c r="F362" s="66"/>
      <c r="G362" s="66"/>
      <c r="H362" s="66"/>
    </row>
    <row r="363" spans="1:8">
      <c r="A363" s="66"/>
      <c r="B363" s="66"/>
      <c r="C363" s="66"/>
      <c r="D363" s="66"/>
      <c r="E363" s="66"/>
      <c r="F363" s="66"/>
      <c r="G363" s="66"/>
      <c r="H363" s="66"/>
    </row>
    <row r="364" spans="1:8">
      <c r="A364" s="66"/>
      <c r="B364" s="66"/>
      <c r="C364" s="66"/>
      <c r="D364" s="66"/>
      <c r="E364" s="66"/>
      <c r="F364" s="66"/>
      <c r="G364" s="66"/>
      <c r="H364" s="66"/>
    </row>
    <row r="365" spans="1:8">
      <c r="A365" s="66"/>
      <c r="B365" s="66"/>
      <c r="C365" s="66"/>
      <c r="D365" s="66"/>
      <c r="E365" s="66"/>
      <c r="F365" s="66"/>
      <c r="G365" s="66"/>
      <c r="H365" s="66"/>
    </row>
    <row r="366" spans="1:8">
      <c r="A366" s="66"/>
      <c r="B366" s="66"/>
      <c r="C366" s="66"/>
      <c r="D366" s="66"/>
      <c r="E366" s="66"/>
      <c r="F366" s="66"/>
      <c r="G366" s="66"/>
      <c r="H366" s="66"/>
    </row>
    <row r="367" spans="1:8">
      <c r="A367" s="66"/>
      <c r="B367" s="66"/>
      <c r="C367" s="66"/>
      <c r="D367" s="66"/>
      <c r="E367" s="66"/>
      <c r="F367" s="66"/>
      <c r="G367" s="66"/>
      <c r="H367" s="66"/>
    </row>
    <row r="368" spans="1:8">
      <c r="A368" s="66"/>
      <c r="B368" s="66"/>
      <c r="C368" s="66"/>
      <c r="D368" s="66"/>
      <c r="E368" s="66"/>
      <c r="F368" s="66"/>
      <c r="G368" s="66"/>
      <c r="H368" s="66"/>
    </row>
    <row r="369" spans="1:8">
      <c r="A369" s="66"/>
      <c r="B369" s="66"/>
      <c r="C369" s="66"/>
      <c r="D369" s="66"/>
      <c r="E369" s="66"/>
      <c r="F369" s="66"/>
      <c r="G369" s="66"/>
      <c r="H369" s="66"/>
    </row>
    <row r="370" spans="1:8">
      <c r="A370" s="66"/>
      <c r="B370" s="66"/>
      <c r="C370" s="66"/>
      <c r="D370" s="66"/>
      <c r="E370" s="66"/>
      <c r="F370" s="66"/>
      <c r="G370" s="66"/>
      <c r="H370" s="66"/>
    </row>
    <row r="371" spans="1:8">
      <c r="A371" s="66"/>
      <c r="B371" s="66"/>
      <c r="C371" s="66"/>
      <c r="D371" s="66"/>
      <c r="E371" s="66"/>
      <c r="F371" s="66"/>
      <c r="G371" s="66"/>
      <c r="H371" s="66"/>
    </row>
    <row r="372" spans="1:8">
      <c r="A372" s="66"/>
      <c r="B372" s="66"/>
      <c r="C372" s="66"/>
      <c r="D372" s="66"/>
      <c r="E372" s="66"/>
      <c r="F372" s="66"/>
      <c r="G372" s="66"/>
      <c r="H372" s="66"/>
    </row>
    <row r="373" spans="1:8">
      <c r="A373" s="66"/>
      <c r="B373" s="66"/>
      <c r="C373" s="66"/>
      <c r="D373" s="66"/>
      <c r="E373" s="66"/>
      <c r="F373" s="66"/>
      <c r="G373" s="66"/>
      <c r="H373" s="66"/>
    </row>
    <row r="374" spans="1:8">
      <c r="A374" s="66"/>
      <c r="B374" s="66"/>
      <c r="C374" s="66"/>
      <c r="D374" s="66"/>
      <c r="E374" s="66"/>
      <c r="F374" s="66"/>
      <c r="G374" s="66"/>
      <c r="H374" s="66"/>
    </row>
    <row r="375" spans="1:8">
      <c r="A375" s="66"/>
      <c r="B375" s="66"/>
      <c r="C375" s="66"/>
      <c r="D375" s="66"/>
      <c r="E375" s="66"/>
      <c r="F375" s="66"/>
      <c r="G375" s="66"/>
      <c r="H375" s="66"/>
    </row>
    <row r="376" spans="1:8">
      <c r="A376" s="66"/>
      <c r="B376" s="66"/>
      <c r="C376" s="66"/>
      <c r="D376" s="66"/>
      <c r="E376" s="66"/>
      <c r="F376" s="66"/>
      <c r="G376" s="66"/>
      <c r="H376" s="66"/>
    </row>
    <row r="377" spans="1:8">
      <c r="A377" s="66"/>
      <c r="B377" s="66"/>
      <c r="C377" s="66"/>
      <c r="D377" s="66"/>
      <c r="E377" s="66"/>
      <c r="F377" s="66"/>
      <c r="G377" s="66"/>
      <c r="H377" s="66"/>
    </row>
    <row r="378" spans="1:8">
      <c r="A378" s="66"/>
      <c r="B378" s="66"/>
      <c r="C378" s="66"/>
      <c r="D378" s="66"/>
      <c r="E378" s="66"/>
      <c r="F378" s="66"/>
      <c r="G378" s="66"/>
      <c r="H378" s="66"/>
    </row>
    <row r="379" spans="1:8">
      <c r="A379" s="66"/>
      <c r="B379" s="66"/>
      <c r="C379" s="66"/>
      <c r="D379" s="66"/>
      <c r="E379" s="66"/>
      <c r="F379" s="66"/>
      <c r="G379" s="66"/>
      <c r="H379" s="66"/>
    </row>
    <row r="380" spans="1:8">
      <c r="A380" s="66"/>
      <c r="B380" s="66"/>
      <c r="C380" s="66"/>
      <c r="D380" s="66"/>
      <c r="E380" s="66"/>
      <c r="F380" s="66"/>
      <c r="G380" s="66"/>
      <c r="H380" s="66"/>
    </row>
    <row r="381" spans="1:8">
      <c r="A381" s="66"/>
      <c r="B381" s="66"/>
      <c r="C381" s="66"/>
      <c r="D381" s="66"/>
      <c r="E381" s="66"/>
      <c r="F381" s="66"/>
      <c r="G381" s="66"/>
      <c r="H381" s="66"/>
    </row>
    <row r="382" spans="1:8">
      <c r="A382" s="66"/>
      <c r="B382" s="66"/>
      <c r="C382" s="66"/>
      <c r="D382" s="66"/>
      <c r="E382" s="66"/>
      <c r="F382" s="66"/>
      <c r="G382" s="66"/>
      <c r="H382" s="66"/>
    </row>
    <row r="383" spans="1:8">
      <c r="A383" s="66"/>
      <c r="B383" s="66"/>
      <c r="C383" s="66"/>
      <c r="D383" s="66"/>
      <c r="E383" s="66"/>
      <c r="F383" s="66"/>
      <c r="G383" s="66"/>
      <c r="H383" s="66"/>
    </row>
    <row r="384" spans="1:8">
      <c r="A384" s="66"/>
      <c r="B384" s="66"/>
      <c r="C384" s="66"/>
      <c r="D384" s="66"/>
      <c r="E384" s="66"/>
      <c r="F384" s="66"/>
      <c r="G384" s="66"/>
      <c r="H384" s="66"/>
    </row>
    <row r="385" spans="1:8">
      <c r="A385" s="66"/>
      <c r="B385" s="66"/>
      <c r="C385" s="66"/>
      <c r="D385" s="66"/>
      <c r="E385" s="66"/>
      <c r="F385" s="66"/>
      <c r="G385" s="66"/>
      <c r="H385" s="66"/>
    </row>
    <row r="386" spans="1:8">
      <c r="A386" s="66"/>
      <c r="B386" s="66"/>
      <c r="C386" s="66"/>
      <c r="D386" s="66"/>
      <c r="E386" s="66"/>
      <c r="F386" s="66"/>
      <c r="G386" s="66"/>
      <c r="H386" s="66"/>
    </row>
    <row r="387" spans="1:8">
      <c r="A387" s="66"/>
      <c r="B387" s="66"/>
      <c r="C387" s="66"/>
      <c r="D387" s="66"/>
      <c r="E387" s="66"/>
      <c r="F387" s="66"/>
      <c r="G387" s="66"/>
      <c r="H387" s="66"/>
    </row>
    <row r="388" spans="1:8">
      <c r="A388" s="66"/>
      <c r="B388" s="66"/>
      <c r="C388" s="66"/>
      <c r="D388" s="66"/>
      <c r="E388" s="66"/>
      <c r="F388" s="66"/>
      <c r="G388" s="66"/>
      <c r="H388" s="66"/>
    </row>
    <row r="389" spans="1:8">
      <c r="A389" s="66"/>
      <c r="B389" s="66"/>
      <c r="C389" s="66"/>
      <c r="D389" s="66"/>
      <c r="E389" s="66"/>
      <c r="F389" s="66"/>
      <c r="G389" s="66"/>
      <c r="H389" s="66"/>
    </row>
    <row r="390" spans="1:8">
      <c r="A390" s="66"/>
      <c r="B390" s="66"/>
      <c r="C390" s="66"/>
      <c r="D390" s="66"/>
      <c r="E390" s="66"/>
      <c r="F390" s="66"/>
      <c r="G390" s="66"/>
      <c r="H390" s="66"/>
    </row>
    <row r="391" spans="1:8">
      <c r="A391" s="66"/>
      <c r="B391" s="66"/>
      <c r="C391" s="66"/>
      <c r="D391" s="66"/>
      <c r="E391" s="66"/>
      <c r="F391" s="66"/>
      <c r="G391" s="66"/>
      <c r="H391" s="66"/>
    </row>
    <row r="392" spans="1:8">
      <c r="A392" s="66"/>
      <c r="B392" s="66"/>
      <c r="C392" s="66"/>
      <c r="D392" s="66"/>
      <c r="E392" s="66"/>
      <c r="F392" s="66"/>
      <c r="G392" s="66"/>
      <c r="H392" s="66"/>
    </row>
    <row r="393" spans="1:8">
      <c r="A393" s="66"/>
      <c r="B393" s="66"/>
      <c r="C393" s="66"/>
      <c r="D393" s="66"/>
      <c r="E393" s="66"/>
      <c r="F393" s="66"/>
      <c r="G393" s="66"/>
      <c r="H393" s="66"/>
    </row>
    <row r="394" spans="1:8">
      <c r="A394" s="66"/>
      <c r="B394" s="66"/>
      <c r="C394" s="66"/>
      <c r="D394" s="66"/>
      <c r="E394" s="66"/>
      <c r="F394" s="66"/>
      <c r="G394" s="66"/>
      <c r="H394" s="66"/>
    </row>
    <row r="395" spans="1:8">
      <c r="A395" s="66"/>
      <c r="B395" s="66"/>
      <c r="C395" s="66"/>
      <c r="D395" s="66"/>
      <c r="E395" s="66"/>
      <c r="F395" s="66"/>
      <c r="G395" s="66"/>
      <c r="H395" s="66"/>
    </row>
    <row r="396" spans="1:8">
      <c r="A396" s="66"/>
      <c r="B396" s="66"/>
      <c r="C396" s="66"/>
      <c r="D396" s="66"/>
      <c r="E396" s="66"/>
      <c r="F396" s="66"/>
      <c r="G396" s="66"/>
      <c r="H396" s="66"/>
    </row>
    <row r="397" spans="1:8">
      <c r="A397" s="66"/>
      <c r="B397" s="66"/>
      <c r="C397" s="66"/>
      <c r="D397" s="66"/>
      <c r="E397" s="66"/>
      <c r="F397" s="66"/>
      <c r="G397" s="66"/>
      <c r="H397" s="66"/>
    </row>
    <row r="398" spans="1:8">
      <c r="A398" s="66"/>
      <c r="B398" s="66"/>
      <c r="C398" s="66"/>
      <c r="D398" s="66"/>
      <c r="E398" s="66"/>
      <c r="F398" s="66"/>
      <c r="G398" s="66"/>
      <c r="H398" s="66"/>
    </row>
    <row r="399" spans="1:8">
      <c r="A399" s="66"/>
      <c r="B399" s="66"/>
      <c r="C399" s="66"/>
      <c r="D399" s="66"/>
      <c r="E399" s="66"/>
      <c r="F399" s="66"/>
      <c r="G399" s="66"/>
      <c r="H399" s="66"/>
    </row>
    <row r="400" spans="1:8">
      <c r="A400" s="66"/>
      <c r="B400" s="66"/>
      <c r="C400" s="66"/>
      <c r="D400" s="66"/>
      <c r="E400" s="66"/>
      <c r="F400" s="66"/>
      <c r="G400" s="66"/>
      <c r="H400" s="66"/>
    </row>
    <row r="401" spans="1:8">
      <c r="A401" s="66"/>
      <c r="B401" s="66"/>
      <c r="C401" s="66"/>
      <c r="D401" s="66"/>
      <c r="E401" s="66"/>
      <c r="F401" s="66"/>
      <c r="G401" s="66"/>
      <c r="H401" s="66"/>
    </row>
    <row r="402" spans="1:8">
      <c r="A402" s="66"/>
      <c r="B402" s="66"/>
      <c r="C402" s="66"/>
      <c r="D402" s="66"/>
      <c r="E402" s="66"/>
      <c r="F402" s="66"/>
      <c r="G402" s="66"/>
      <c r="H402" s="66"/>
    </row>
    <row r="403" spans="1:8">
      <c r="A403" s="66"/>
      <c r="B403" s="66"/>
      <c r="C403" s="66"/>
      <c r="D403" s="66"/>
      <c r="E403" s="66"/>
      <c r="F403" s="66"/>
      <c r="G403" s="66"/>
      <c r="H403" s="66"/>
    </row>
    <row r="404" spans="1:8">
      <c r="A404" s="66"/>
      <c r="B404" s="66"/>
      <c r="C404" s="66"/>
      <c r="D404" s="66"/>
      <c r="E404" s="66"/>
      <c r="F404" s="66"/>
      <c r="G404" s="66"/>
      <c r="H404" s="66"/>
    </row>
    <row r="405" spans="1:8">
      <c r="A405" s="66"/>
      <c r="B405" s="66"/>
      <c r="C405" s="66"/>
      <c r="D405" s="66"/>
      <c r="E405" s="66"/>
      <c r="F405" s="66"/>
      <c r="G405" s="66"/>
      <c r="H405" s="66"/>
    </row>
    <row r="406" spans="1:8">
      <c r="A406" s="66"/>
      <c r="B406" s="66"/>
      <c r="C406" s="66"/>
      <c r="D406" s="66"/>
      <c r="E406" s="66"/>
      <c r="F406" s="66"/>
      <c r="G406" s="66"/>
      <c r="H406" s="66"/>
    </row>
    <row r="407" spans="1:8">
      <c r="A407" s="66"/>
      <c r="B407" s="66"/>
      <c r="C407" s="66"/>
      <c r="D407" s="66"/>
      <c r="E407" s="66"/>
      <c r="F407" s="66"/>
      <c r="G407" s="66"/>
      <c r="H407" s="66"/>
    </row>
    <row r="408" spans="1:8">
      <c r="A408" s="66"/>
      <c r="B408" s="66"/>
      <c r="C408" s="66"/>
      <c r="D408" s="66"/>
      <c r="E408" s="66"/>
      <c r="F408" s="66"/>
      <c r="G408" s="66"/>
      <c r="H408" s="66"/>
    </row>
    <row r="409" spans="1:8">
      <c r="A409" s="66"/>
      <c r="B409" s="66"/>
      <c r="C409" s="66"/>
      <c r="D409" s="66"/>
      <c r="E409" s="66"/>
      <c r="F409" s="66"/>
      <c r="G409" s="66"/>
      <c r="H409" s="66"/>
    </row>
    <row r="410" spans="1:8">
      <c r="A410" s="66"/>
      <c r="B410" s="66"/>
      <c r="C410" s="66"/>
      <c r="D410" s="66"/>
      <c r="E410" s="66"/>
      <c r="F410" s="66"/>
      <c r="G410" s="66"/>
      <c r="H410" s="66"/>
    </row>
    <row r="411" spans="1:8">
      <c r="A411" s="66"/>
      <c r="B411" s="66"/>
      <c r="C411" s="66"/>
      <c r="D411" s="66"/>
      <c r="E411" s="66"/>
      <c r="F411" s="66"/>
      <c r="G411" s="66"/>
      <c r="H411" s="66"/>
    </row>
    <row r="412" spans="1:8">
      <c r="A412" s="66"/>
      <c r="B412" s="66"/>
      <c r="C412" s="66"/>
      <c r="D412" s="66"/>
      <c r="E412" s="66"/>
      <c r="F412" s="66"/>
      <c r="G412" s="66"/>
      <c r="H412" s="66"/>
    </row>
    <row r="413" spans="1:8">
      <c r="A413" s="66"/>
      <c r="B413" s="66"/>
      <c r="C413" s="66"/>
      <c r="D413" s="66"/>
      <c r="E413" s="66"/>
      <c r="F413" s="66"/>
      <c r="G413" s="66"/>
      <c r="H413" s="66"/>
    </row>
    <row r="414" spans="1:8">
      <c r="A414" s="66"/>
      <c r="B414" s="66"/>
      <c r="C414" s="66"/>
      <c r="D414" s="66"/>
      <c r="E414" s="66"/>
      <c r="F414" s="66"/>
      <c r="G414" s="66"/>
      <c r="H414" s="66"/>
    </row>
    <row r="415" spans="1:8">
      <c r="A415" s="66"/>
      <c r="B415" s="66"/>
      <c r="C415" s="66"/>
      <c r="D415" s="66"/>
      <c r="E415" s="66"/>
      <c r="F415" s="66"/>
      <c r="G415" s="66"/>
      <c r="H415" s="66"/>
    </row>
    <row r="416" spans="1:8">
      <c r="A416" s="66"/>
      <c r="B416" s="66"/>
      <c r="C416" s="66"/>
      <c r="D416" s="66"/>
      <c r="E416" s="66"/>
      <c r="F416" s="66"/>
      <c r="G416" s="66"/>
      <c r="H416" s="66"/>
    </row>
    <row r="417" spans="1:8">
      <c r="A417" s="66"/>
      <c r="B417" s="66"/>
      <c r="C417" s="66"/>
      <c r="D417" s="66"/>
      <c r="E417" s="66"/>
      <c r="F417" s="66"/>
      <c r="G417" s="66"/>
      <c r="H417" s="66"/>
    </row>
    <row r="418" spans="1:8">
      <c r="A418" s="66"/>
      <c r="B418" s="66"/>
      <c r="C418" s="66"/>
      <c r="D418" s="66"/>
      <c r="E418" s="66"/>
      <c r="F418" s="66"/>
      <c r="G418" s="66"/>
      <c r="H418" s="66"/>
    </row>
    <row r="419" spans="1:8">
      <c r="A419" s="66"/>
      <c r="B419" s="66"/>
      <c r="C419" s="66"/>
      <c r="D419" s="66"/>
      <c r="E419" s="66"/>
      <c r="F419" s="66"/>
      <c r="G419" s="66"/>
      <c r="H419" s="66"/>
    </row>
    <row r="420" spans="1:8">
      <c r="A420" s="66"/>
      <c r="B420" s="66"/>
      <c r="C420" s="66"/>
      <c r="D420" s="66"/>
      <c r="E420" s="66"/>
      <c r="F420" s="66"/>
      <c r="G420" s="66"/>
      <c r="H420" s="66"/>
    </row>
    <row r="421" spans="1:8">
      <c r="A421" s="66"/>
      <c r="B421" s="66"/>
      <c r="C421" s="66"/>
      <c r="D421" s="66"/>
      <c r="E421" s="66"/>
      <c r="F421" s="66"/>
      <c r="G421" s="66"/>
      <c r="H421" s="66"/>
    </row>
    <row r="422" spans="1:8">
      <c r="A422" s="66"/>
      <c r="B422" s="66"/>
      <c r="C422" s="66"/>
      <c r="D422" s="66"/>
      <c r="E422" s="66"/>
      <c r="F422" s="66"/>
      <c r="G422" s="66"/>
      <c r="H422" s="66"/>
    </row>
    <row r="423" spans="1:8">
      <c r="A423" s="66"/>
      <c r="B423" s="66"/>
      <c r="C423" s="66"/>
      <c r="D423" s="66"/>
      <c r="E423" s="66"/>
      <c r="F423" s="66"/>
      <c r="G423" s="66"/>
      <c r="H423" s="66"/>
    </row>
    <row r="424" spans="1:8">
      <c r="A424" s="66"/>
      <c r="B424" s="66"/>
      <c r="C424" s="66"/>
      <c r="D424" s="66"/>
      <c r="E424" s="66"/>
      <c r="F424" s="66"/>
      <c r="G424" s="66"/>
      <c r="H424" s="66"/>
    </row>
    <row r="425" spans="1:8">
      <c r="A425" s="66"/>
      <c r="B425" s="66"/>
      <c r="C425" s="66"/>
      <c r="D425" s="66"/>
      <c r="E425" s="66"/>
      <c r="F425" s="66"/>
      <c r="G425" s="66"/>
      <c r="H425" s="66"/>
    </row>
    <row r="426" spans="1:8">
      <c r="A426" s="66"/>
      <c r="B426" s="66"/>
      <c r="C426" s="66"/>
      <c r="D426" s="66"/>
      <c r="E426" s="66"/>
      <c r="F426" s="66"/>
      <c r="G426" s="66"/>
      <c r="H426" s="66"/>
    </row>
    <row r="427" spans="1:8">
      <c r="A427" s="66"/>
      <c r="B427" s="66"/>
      <c r="C427" s="66"/>
      <c r="D427" s="66"/>
      <c r="E427" s="66"/>
      <c r="F427" s="66"/>
      <c r="G427" s="66"/>
      <c r="H427" s="66"/>
    </row>
    <row r="428" spans="1:8">
      <c r="A428" s="66"/>
      <c r="B428" s="66"/>
      <c r="C428" s="66"/>
      <c r="D428" s="66"/>
      <c r="E428" s="66"/>
      <c r="F428" s="66"/>
      <c r="G428" s="66"/>
      <c r="H428" s="66"/>
    </row>
    <row r="429" spans="1:8">
      <c r="A429" s="66"/>
      <c r="B429" s="66"/>
      <c r="C429" s="66"/>
      <c r="D429" s="66"/>
      <c r="E429" s="66"/>
      <c r="F429" s="66"/>
      <c r="G429" s="66"/>
      <c r="H429" s="66"/>
    </row>
    <row r="430" spans="1:8">
      <c r="A430" s="66"/>
      <c r="B430" s="66"/>
      <c r="C430" s="66"/>
      <c r="D430" s="66"/>
      <c r="E430" s="66"/>
      <c r="F430" s="66"/>
      <c r="G430" s="66"/>
      <c r="H430" s="66"/>
    </row>
    <row r="431" spans="1:8">
      <c r="A431" s="66"/>
      <c r="B431" s="66"/>
      <c r="C431" s="66"/>
      <c r="D431" s="66"/>
      <c r="E431" s="66"/>
      <c r="F431" s="66"/>
      <c r="G431" s="66"/>
      <c r="H431" s="66"/>
    </row>
    <row r="432" spans="1:8">
      <c r="A432" s="66"/>
      <c r="B432" s="66"/>
      <c r="C432" s="66"/>
      <c r="D432" s="66"/>
      <c r="E432" s="66"/>
      <c r="F432" s="66"/>
      <c r="G432" s="66"/>
      <c r="H432" s="66"/>
    </row>
    <row r="433" spans="1:8">
      <c r="A433" s="66"/>
      <c r="B433" s="66"/>
      <c r="C433" s="66"/>
      <c r="D433" s="66"/>
      <c r="E433" s="66"/>
      <c r="F433" s="66"/>
      <c r="G433" s="66"/>
      <c r="H433" s="66"/>
    </row>
    <row r="434" spans="1:8">
      <c r="A434" s="66"/>
      <c r="B434" s="66"/>
      <c r="C434" s="66"/>
      <c r="D434" s="66"/>
      <c r="E434" s="66"/>
      <c r="F434" s="66"/>
      <c r="G434" s="66"/>
      <c r="H434" s="66"/>
    </row>
    <row r="435" spans="1:8">
      <c r="A435" s="66"/>
      <c r="B435" s="66"/>
      <c r="C435" s="66"/>
      <c r="D435" s="66"/>
      <c r="E435" s="66"/>
      <c r="F435" s="66"/>
      <c r="G435" s="66"/>
      <c r="H435" s="66"/>
    </row>
    <row r="436" spans="1:8">
      <c r="A436" s="66"/>
      <c r="B436" s="66"/>
      <c r="C436" s="66"/>
      <c r="D436" s="66"/>
      <c r="E436" s="66"/>
      <c r="F436" s="66"/>
      <c r="G436" s="66"/>
      <c r="H436" s="66"/>
    </row>
    <row r="437" spans="1:8">
      <c r="A437" s="66"/>
      <c r="B437" s="66"/>
      <c r="C437" s="66"/>
      <c r="D437" s="66"/>
      <c r="E437" s="66"/>
      <c r="F437" s="66"/>
      <c r="G437" s="66"/>
      <c r="H437" s="66"/>
    </row>
    <row r="438" spans="1:8">
      <c r="A438" s="66"/>
      <c r="B438" s="66"/>
      <c r="C438" s="66"/>
      <c r="D438" s="66"/>
      <c r="E438" s="66"/>
      <c r="F438" s="66"/>
      <c r="G438" s="66"/>
      <c r="H438" s="66"/>
    </row>
    <row r="439" spans="1:8">
      <c r="A439" s="66"/>
      <c r="B439" s="66"/>
      <c r="C439" s="66"/>
      <c r="D439" s="66"/>
      <c r="E439" s="66"/>
      <c r="F439" s="66"/>
      <c r="G439" s="66"/>
      <c r="H439" s="66"/>
    </row>
    <row r="440" spans="1:8">
      <c r="A440" s="66"/>
      <c r="B440" s="66"/>
      <c r="C440" s="66"/>
      <c r="D440" s="66"/>
      <c r="E440" s="66"/>
      <c r="F440" s="66"/>
      <c r="G440" s="66"/>
      <c r="H440" s="66"/>
    </row>
    <row r="441" spans="1:8">
      <c r="A441" s="66"/>
      <c r="B441" s="66"/>
      <c r="C441" s="66"/>
      <c r="D441" s="66"/>
      <c r="E441" s="66"/>
      <c r="F441" s="66"/>
      <c r="G441" s="66"/>
      <c r="H441" s="66"/>
    </row>
    <row r="442" spans="1:8">
      <c r="A442" s="66"/>
      <c r="B442" s="66"/>
      <c r="C442" s="66"/>
      <c r="D442" s="66"/>
      <c r="E442" s="66"/>
      <c r="F442" s="66"/>
      <c r="G442" s="66"/>
      <c r="H442" s="66"/>
    </row>
    <row r="443" spans="1:8">
      <c r="A443" s="66"/>
      <c r="B443" s="66"/>
      <c r="C443" s="66"/>
      <c r="D443" s="66"/>
      <c r="E443" s="66"/>
      <c r="F443" s="66"/>
      <c r="G443" s="66"/>
      <c r="H443" s="66"/>
    </row>
    <row r="444" spans="1:8">
      <c r="A444" s="66"/>
      <c r="B444" s="66"/>
      <c r="C444" s="66"/>
      <c r="D444" s="66"/>
      <c r="E444" s="66"/>
      <c r="F444" s="66"/>
      <c r="G444" s="66"/>
      <c r="H444" s="66"/>
    </row>
    <row r="445" spans="1:8">
      <c r="A445" s="66"/>
      <c r="B445" s="66"/>
      <c r="C445" s="66"/>
      <c r="D445" s="66"/>
      <c r="E445" s="66"/>
      <c r="F445" s="66"/>
      <c r="G445" s="66"/>
      <c r="H445" s="66"/>
    </row>
    <row r="446" spans="1:8">
      <c r="A446" s="66"/>
      <c r="B446" s="66"/>
      <c r="C446" s="66"/>
      <c r="D446" s="66"/>
      <c r="E446" s="66"/>
      <c r="F446" s="66"/>
      <c r="G446" s="66"/>
      <c r="H446" s="66"/>
    </row>
    <row r="447" spans="1:8">
      <c r="A447" s="66"/>
      <c r="B447" s="66"/>
      <c r="C447" s="66"/>
      <c r="D447" s="66"/>
      <c r="E447" s="66"/>
      <c r="F447" s="66"/>
      <c r="G447" s="66"/>
      <c r="H447" s="66"/>
    </row>
    <row r="448" spans="1:8">
      <c r="A448" s="66"/>
      <c r="B448" s="66"/>
      <c r="C448" s="66"/>
      <c r="D448" s="66"/>
      <c r="E448" s="66"/>
      <c r="F448" s="66"/>
      <c r="G448" s="66"/>
      <c r="H448" s="66"/>
    </row>
    <row r="449" spans="1:8">
      <c r="A449" s="66"/>
      <c r="B449" s="66"/>
      <c r="C449" s="66"/>
      <c r="D449" s="66"/>
      <c r="E449" s="66"/>
      <c r="F449" s="66"/>
      <c r="G449" s="66"/>
      <c r="H449" s="66"/>
    </row>
    <row r="450" spans="1:8">
      <c r="A450" s="66"/>
      <c r="B450" s="66"/>
      <c r="C450" s="66"/>
      <c r="D450" s="66"/>
      <c r="E450" s="66"/>
      <c r="F450" s="66"/>
      <c r="G450" s="66"/>
      <c r="H450" s="66"/>
    </row>
    <row r="451" spans="1:8">
      <c r="A451" s="66"/>
      <c r="B451" s="66"/>
      <c r="C451" s="66"/>
      <c r="D451" s="66"/>
      <c r="E451" s="66"/>
      <c r="F451" s="66"/>
      <c r="G451" s="66"/>
      <c r="H451" s="66"/>
    </row>
    <row r="452" spans="1:8">
      <c r="A452" s="66"/>
      <c r="B452" s="66"/>
      <c r="C452" s="66"/>
      <c r="D452" s="66"/>
      <c r="E452" s="66"/>
      <c r="F452" s="66"/>
      <c r="G452" s="66"/>
      <c r="H452" s="66"/>
    </row>
    <row r="453" spans="1:8">
      <c r="A453" s="66"/>
      <c r="B453" s="66"/>
      <c r="C453" s="66"/>
      <c r="D453" s="66"/>
      <c r="E453" s="66"/>
      <c r="F453" s="66"/>
      <c r="G453" s="66"/>
      <c r="H453" s="66"/>
    </row>
    <row r="454" spans="1:8">
      <c r="A454" s="66"/>
      <c r="B454" s="66"/>
      <c r="C454" s="66"/>
      <c r="D454" s="66"/>
      <c r="E454" s="66"/>
      <c r="F454" s="66"/>
      <c r="G454" s="66"/>
      <c r="H454" s="66"/>
    </row>
    <row r="455" spans="1:8">
      <c r="A455" s="66"/>
      <c r="B455" s="66"/>
      <c r="C455" s="66"/>
      <c r="D455" s="66"/>
      <c r="E455" s="66"/>
      <c r="F455" s="66"/>
      <c r="G455" s="66"/>
      <c r="H455" s="66"/>
    </row>
    <row r="456" spans="1:8">
      <c r="A456" s="66"/>
      <c r="B456" s="66"/>
      <c r="C456" s="66"/>
      <c r="D456" s="66"/>
      <c r="E456" s="66"/>
      <c r="F456" s="66"/>
      <c r="G456" s="66"/>
      <c r="H456" s="66"/>
    </row>
    <row r="457" spans="1:8">
      <c r="A457" s="66"/>
      <c r="B457" s="66"/>
      <c r="C457" s="66"/>
      <c r="D457" s="66"/>
      <c r="E457" s="66"/>
      <c r="F457" s="66"/>
      <c r="G457" s="66"/>
      <c r="H457" s="66"/>
    </row>
    <row r="458" spans="1:8">
      <c r="A458" s="66"/>
      <c r="B458" s="66"/>
      <c r="C458" s="66"/>
      <c r="D458" s="66"/>
      <c r="E458" s="66"/>
      <c r="F458" s="66"/>
      <c r="G458" s="66"/>
      <c r="H458" s="66"/>
    </row>
    <row r="459" spans="1:8">
      <c r="A459" s="66"/>
      <c r="B459" s="66"/>
      <c r="C459" s="66"/>
      <c r="D459" s="66"/>
      <c r="E459" s="66"/>
      <c r="F459" s="66"/>
      <c r="G459" s="66"/>
      <c r="H459" s="66"/>
    </row>
    <row r="460" spans="1:8">
      <c r="A460" s="66"/>
      <c r="B460" s="66"/>
      <c r="C460" s="66"/>
      <c r="D460" s="66"/>
      <c r="E460" s="66"/>
      <c r="F460" s="66"/>
      <c r="G460" s="66"/>
      <c r="H460" s="66"/>
    </row>
    <row r="461" spans="1:8">
      <c r="A461" s="66"/>
      <c r="B461" s="66"/>
      <c r="C461" s="66"/>
      <c r="D461" s="66"/>
      <c r="E461" s="66"/>
      <c r="F461" s="66"/>
      <c r="G461" s="66"/>
      <c r="H461" s="66"/>
    </row>
    <row r="462" spans="1:8">
      <c r="A462" s="66"/>
      <c r="B462" s="66"/>
      <c r="C462" s="66"/>
      <c r="D462" s="66"/>
      <c r="E462" s="66"/>
      <c r="F462" s="66"/>
      <c r="G462" s="66"/>
      <c r="H462" s="66"/>
    </row>
    <row r="463" spans="1:8">
      <c r="A463" s="66"/>
      <c r="B463" s="66"/>
      <c r="C463" s="66"/>
      <c r="D463" s="66"/>
      <c r="E463" s="66"/>
      <c r="F463" s="66"/>
      <c r="G463" s="66"/>
      <c r="H463" s="66"/>
    </row>
    <row r="464" spans="1:8">
      <c r="A464" s="66"/>
      <c r="B464" s="66"/>
      <c r="C464" s="66"/>
      <c r="D464" s="66"/>
      <c r="E464" s="66"/>
      <c r="F464" s="66"/>
      <c r="G464" s="66"/>
      <c r="H464" s="66"/>
    </row>
    <row r="465" spans="1:8">
      <c r="A465" s="66"/>
      <c r="B465" s="66"/>
      <c r="C465" s="66"/>
      <c r="D465" s="66"/>
      <c r="E465" s="66"/>
      <c r="F465" s="66"/>
      <c r="G465" s="66"/>
      <c r="H465" s="66"/>
    </row>
    <row r="466" spans="1:8">
      <c r="A466" s="66"/>
      <c r="B466" s="66"/>
      <c r="C466" s="66"/>
      <c r="D466" s="66"/>
      <c r="E466" s="66"/>
      <c r="F466" s="66"/>
      <c r="G466" s="66"/>
      <c r="H466" s="66"/>
    </row>
    <row r="467" spans="1:8">
      <c r="A467" s="66"/>
      <c r="B467" s="66"/>
      <c r="C467" s="66"/>
      <c r="D467" s="66"/>
      <c r="E467" s="66"/>
      <c r="F467" s="66"/>
      <c r="G467" s="66"/>
      <c r="H467" s="66"/>
    </row>
    <row r="468" spans="1:8">
      <c r="A468" s="66"/>
      <c r="B468" s="66"/>
      <c r="C468" s="66"/>
      <c r="D468" s="66"/>
      <c r="E468" s="66"/>
      <c r="F468" s="66"/>
      <c r="G468" s="66"/>
      <c r="H468" s="66"/>
    </row>
    <row r="469" spans="1:8">
      <c r="A469" s="66"/>
      <c r="B469" s="66"/>
      <c r="C469" s="66"/>
      <c r="D469" s="66"/>
      <c r="E469" s="66"/>
      <c r="F469" s="66"/>
      <c r="G469" s="66"/>
      <c r="H469" s="66"/>
    </row>
    <row r="470" spans="1:8">
      <c r="A470" s="66"/>
      <c r="B470" s="66"/>
      <c r="C470" s="66"/>
      <c r="D470" s="66"/>
      <c r="E470" s="66"/>
      <c r="F470" s="66"/>
      <c r="G470" s="66"/>
      <c r="H470" s="66"/>
    </row>
    <row r="471" spans="1:8">
      <c r="A471" s="66"/>
      <c r="B471" s="66"/>
      <c r="C471" s="66"/>
      <c r="D471" s="66"/>
      <c r="E471" s="66"/>
      <c r="F471" s="66"/>
      <c r="G471" s="66"/>
      <c r="H471" s="66"/>
    </row>
    <row r="472" spans="1:8">
      <c r="A472" s="66"/>
      <c r="B472" s="66"/>
      <c r="C472" s="66"/>
      <c r="D472" s="66"/>
      <c r="E472" s="66"/>
      <c r="F472" s="66"/>
      <c r="G472" s="66"/>
      <c r="H472" s="66"/>
    </row>
    <row r="473" spans="1:8">
      <c r="A473" s="66"/>
      <c r="B473" s="66"/>
      <c r="C473" s="66"/>
      <c r="D473" s="66"/>
      <c r="E473" s="66"/>
      <c r="F473" s="66"/>
      <c r="G473" s="66"/>
      <c r="H473" s="66"/>
    </row>
    <row r="474" spans="1:8">
      <c r="A474" s="66"/>
      <c r="B474" s="66"/>
      <c r="C474" s="66"/>
      <c r="D474" s="66"/>
      <c r="E474" s="66"/>
      <c r="F474" s="66"/>
      <c r="G474" s="66"/>
      <c r="H474" s="66"/>
    </row>
    <row r="475" spans="1:8">
      <c r="A475" s="66"/>
      <c r="B475" s="66"/>
      <c r="C475" s="66"/>
      <c r="D475" s="66"/>
      <c r="E475" s="66"/>
      <c r="F475" s="66"/>
      <c r="G475" s="66"/>
      <c r="H475" s="66"/>
    </row>
    <row r="476" spans="1:8">
      <c r="A476" s="66"/>
      <c r="B476" s="66"/>
      <c r="C476" s="66"/>
      <c r="D476" s="66"/>
      <c r="E476" s="66"/>
      <c r="F476" s="66"/>
      <c r="G476" s="66"/>
      <c r="H476" s="66"/>
    </row>
    <row r="477" spans="1:8">
      <c r="A477" s="66"/>
      <c r="B477" s="66"/>
      <c r="C477" s="66"/>
      <c r="D477" s="66"/>
      <c r="E477" s="66"/>
      <c r="F477" s="66"/>
      <c r="G477" s="66"/>
      <c r="H477" s="66"/>
    </row>
    <row r="478" spans="1:8">
      <c r="A478" s="66"/>
      <c r="B478" s="66"/>
      <c r="C478" s="66"/>
      <c r="D478" s="66"/>
      <c r="E478" s="66"/>
      <c r="F478" s="66"/>
      <c r="G478" s="66"/>
      <c r="H478" s="66"/>
    </row>
    <row r="479" spans="1:8">
      <c r="A479" s="66"/>
      <c r="B479" s="66"/>
      <c r="C479" s="66"/>
      <c r="D479" s="66"/>
      <c r="E479" s="66"/>
      <c r="F479" s="66"/>
      <c r="G479" s="66"/>
      <c r="H479" s="66"/>
    </row>
    <row r="480" spans="1:8">
      <c r="A480" s="66"/>
      <c r="B480" s="66"/>
      <c r="C480" s="66"/>
      <c r="D480" s="66"/>
      <c r="E480" s="66"/>
      <c r="F480" s="66"/>
      <c r="G480" s="66"/>
      <c r="H480" s="66"/>
    </row>
    <row r="481" spans="1:8">
      <c r="A481" s="66"/>
      <c r="B481" s="66"/>
      <c r="C481" s="66"/>
      <c r="D481" s="66"/>
      <c r="E481" s="66"/>
      <c r="F481" s="66"/>
      <c r="G481" s="66"/>
      <c r="H481" s="66"/>
    </row>
    <row r="482" spans="1:8">
      <c r="A482" s="66"/>
      <c r="B482" s="66"/>
      <c r="C482" s="66"/>
      <c r="D482" s="66"/>
      <c r="E482" s="66"/>
      <c r="F482" s="66"/>
      <c r="G482" s="66"/>
      <c r="H482" s="66"/>
    </row>
    <row r="483" spans="1:8">
      <c r="A483" s="66"/>
      <c r="B483" s="66"/>
      <c r="C483" s="66"/>
      <c r="D483" s="66"/>
      <c r="E483" s="66"/>
      <c r="F483" s="66"/>
      <c r="G483" s="66"/>
      <c r="H483" s="66"/>
    </row>
    <row r="484" spans="1:8">
      <c r="A484" s="66"/>
      <c r="B484" s="66"/>
      <c r="C484" s="66"/>
      <c r="D484" s="66"/>
      <c r="E484" s="66"/>
      <c r="F484" s="66"/>
      <c r="G484" s="66"/>
      <c r="H484" s="66"/>
    </row>
    <row r="485" spans="1:8">
      <c r="A485" s="66"/>
      <c r="B485" s="66"/>
      <c r="C485" s="66"/>
      <c r="D485" s="66"/>
      <c r="E485" s="66"/>
      <c r="F485" s="66"/>
      <c r="G485" s="66"/>
      <c r="H485" s="66"/>
    </row>
    <row r="486" spans="1:8">
      <c r="A486" s="66"/>
      <c r="B486" s="66"/>
      <c r="C486" s="66"/>
      <c r="D486" s="66"/>
      <c r="E486" s="66"/>
      <c r="F486" s="66"/>
      <c r="G486" s="66"/>
      <c r="H486" s="66"/>
    </row>
    <row r="487" spans="1:8">
      <c r="A487" s="66"/>
      <c r="B487" s="66"/>
      <c r="C487" s="66"/>
      <c r="D487" s="66"/>
      <c r="E487" s="66"/>
      <c r="F487" s="66"/>
      <c r="G487" s="66"/>
      <c r="H487" s="66"/>
    </row>
    <row r="488" spans="1:8">
      <c r="A488" s="66"/>
      <c r="B488" s="66"/>
      <c r="C488" s="66"/>
      <c r="D488" s="66"/>
      <c r="E488" s="66"/>
      <c r="F488" s="66"/>
      <c r="G488" s="66"/>
      <c r="H488" s="66"/>
    </row>
    <row r="489" spans="1:8">
      <c r="A489" s="66"/>
      <c r="B489" s="66"/>
      <c r="C489" s="66"/>
      <c r="D489" s="66"/>
      <c r="E489" s="66"/>
      <c r="F489" s="66"/>
      <c r="G489" s="66"/>
      <c r="H489" s="66"/>
    </row>
    <row r="490" spans="1:8">
      <c r="A490" s="66"/>
      <c r="B490" s="66"/>
      <c r="C490" s="66"/>
      <c r="D490" s="66"/>
      <c r="E490" s="66"/>
      <c r="F490" s="66"/>
      <c r="G490" s="66"/>
      <c r="H490" s="66"/>
    </row>
    <row r="491" spans="1:8">
      <c r="A491" s="66"/>
      <c r="B491" s="66"/>
      <c r="C491" s="66"/>
      <c r="D491" s="66"/>
      <c r="E491" s="66"/>
      <c r="F491" s="66"/>
      <c r="G491" s="66"/>
      <c r="H491" s="66"/>
    </row>
    <row r="492" spans="1:8">
      <c r="A492" s="66"/>
      <c r="B492" s="66"/>
      <c r="C492" s="66"/>
      <c r="D492" s="66"/>
      <c r="E492" s="66"/>
      <c r="F492" s="66"/>
      <c r="G492" s="66"/>
      <c r="H492" s="66"/>
    </row>
    <row r="493" spans="1:8">
      <c r="A493" s="66"/>
      <c r="B493" s="66"/>
      <c r="C493" s="66"/>
      <c r="D493" s="66"/>
      <c r="E493" s="66"/>
      <c r="F493" s="66"/>
      <c r="G493" s="66"/>
      <c r="H493" s="66"/>
    </row>
    <row r="494" spans="1:8">
      <c r="A494" s="66"/>
      <c r="B494" s="66"/>
      <c r="C494" s="66"/>
      <c r="D494" s="66"/>
      <c r="E494" s="66"/>
      <c r="F494" s="66"/>
      <c r="G494" s="66"/>
      <c r="H494" s="66"/>
    </row>
    <row r="495" spans="1:8">
      <c r="A495" s="66"/>
      <c r="B495" s="66"/>
      <c r="C495" s="66"/>
      <c r="D495" s="66"/>
      <c r="E495" s="66"/>
      <c r="F495" s="66"/>
      <c r="G495" s="66"/>
      <c r="H495" s="66"/>
    </row>
    <row r="496" spans="1:8">
      <c r="A496" s="66"/>
      <c r="B496" s="66"/>
      <c r="C496" s="66"/>
      <c r="D496" s="66"/>
      <c r="E496" s="66"/>
      <c r="F496" s="66"/>
      <c r="G496" s="66"/>
      <c r="H496" s="66"/>
    </row>
    <row r="497" spans="1:8">
      <c r="A497" s="66"/>
      <c r="B497" s="66"/>
      <c r="C497" s="66"/>
      <c r="D497" s="66"/>
      <c r="E497" s="66"/>
      <c r="F497" s="66"/>
      <c r="G497" s="66"/>
      <c r="H497" s="66"/>
    </row>
    <row r="498" spans="1:8">
      <c r="A498" s="66"/>
      <c r="B498" s="66"/>
      <c r="C498" s="66"/>
      <c r="D498" s="66"/>
      <c r="E498" s="66"/>
      <c r="F498" s="66"/>
      <c r="G498" s="66"/>
      <c r="H498" s="66"/>
    </row>
    <row r="499" spans="1:8">
      <c r="A499" s="66"/>
      <c r="B499" s="66"/>
      <c r="C499" s="66"/>
      <c r="D499" s="66"/>
      <c r="E499" s="66"/>
      <c r="F499" s="66"/>
      <c r="G499" s="66"/>
      <c r="H499" s="66"/>
    </row>
    <row r="500" spans="1:8">
      <c r="A500" s="66"/>
      <c r="B500" s="66"/>
      <c r="C500" s="66"/>
      <c r="D500" s="66"/>
      <c r="E500" s="66"/>
      <c r="F500" s="66"/>
      <c r="G500" s="66"/>
      <c r="H500" s="66"/>
    </row>
    <row r="501" spans="1:8">
      <c r="A501" s="66"/>
      <c r="B501" s="66"/>
      <c r="C501" s="66"/>
      <c r="D501" s="66"/>
      <c r="E501" s="66"/>
      <c r="F501" s="66"/>
      <c r="G501" s="66"/>
      <c r="H501" s="66"/>
    </row>
    <row r="502" spans="1:8">
      <c r="A502" s="66"/>
      <c r="B502" s="66"/>
      <c r="C502" s="66"/>
      <c r="D502" s="66"/>
      <c r="E502" s="66"/>
      <c r="F502" s="66"/>
      <c r="G502" s="66"/>
      <c r="H502" s="66"/>
    </row>
    <row r="503" spans="1:8">
      <c r="A503" s="66"/>
      <c r="B503" s="66"/>
      <c r="C503" s="66"/>
      <c r="D503" s="66"/>
      <c r="E503" s="66"/>
      <c r="F503" s="66"/>
      <c r="G503" s="66"/>
      <c r="H503" s="66"/>
    </row>
    <row r="504" spans="1:8">
      <c r="A504" s="66"/>
      <c r="B504" s="66"/>
      <c r="C504" s="66"/>
      <c r="D504" s="66"/>
      <c r="E504" s="66"/>
      <c r="F504" s="66"/>
      <c r="G504" s="66"/>
      <c r="H504" s="66"/>
    </row>
    <row r="505" spans="1:8">
      <c r="A505" s="66"/>
      <c r="B505" s="66"/>
      <c r="C505" s="66"/>
      <c r="D505" s="66"/>
      <c r="E505" s="66"/>
      <c r="F505" s="66"/>
      <c r="G505" s="66"/>
      <c r="H505" s="66"/>
    </row>
    <row r="506" spans="1:8">
      <c r="A506" s="66"/>
      <c r="B506" s="66"/>
      <c r="C506" s="66"/>
      <c r="D506" s="66"/>
      <c r="E506" s="66"/>
      <c r="F506" s="66"/>
      <c r="G506" s="66"/>
      <c r="H506" s="66"/>
    </row>
    <row r="507" spans="1:8">
      <c r="A507" s="66"/>
      <c r="B507" s="66"/>
      <c r="C507" s="66"/>
      <c r="D507" s="66"/>
      <c r="E507" s="66"/>
      <c r="F507" s="66"/>
      <c r="G507" s="66"/>
      <c r="H507" s="66"/>
    </row>
    <row r="508" spans="1:8">
      <c r="A508" s="66"/>
      <c r="B508" s="66"/>
      <c r="C508" s="66"/>
      <c r="D508" s="66"/>
      <c r="E508" s="66"/>
      <c r="F508" s="66"/>
      <c r="G508" s="66"/>
      <c r="H508" s="66"/>
    </row>
    <row r="509" spans="1:8">
      <c r="A509" s="66"/>
      <c r="B509" s="66"/>
      <c r="C509" s="66"/>
      <c r="D509" s="66"/>
      <c r="E509" s="66"/>
      <c r="F509" s="66"/>
      <c r="G509" s="66"/>
      <c r="H509" s="66"/>
    </row>
    <row r="510" spans="1:8">
      <c r="A510" s="66"/>
      <c r="B510" s="66"/>
      <c r="C510" s="66"/>
      <c r="D510" s="66"/>
      <c r="E510" s="66"/>
      <c r="F510" s="66"/>
      <c r="G510" s="66"/>
      <c r="H510" s="66"/>
    </row>
    <row r="511" spans="1:8">
      <c r="A511" s="66"/>
      <c r="B511" s="66"/>
      <c r="C511" s="66"/>
      <c r="D511" s="66"/>
      <c r="E511" s="66"/>
      <c r="F511" s="66"/>
      <c r="G511" s="66"/>
      <c r="H511" s="66"/>
    </row>
    <row r="512" spans="1:8">
      <c r="A512" s="66"/>
      <c r="B512" s="66"/>
      <c r="C512" s="66"/>
      <c r="D512" s="66"/>
      <c r="E512" s="66"/>
      <c r="F512" s="66"/>
      <c r="G512" s="66"/>
      <c r="H512" s="66"/>
    </row>
    <row r="513" spans="1:8">
      <c r="A513" s="66"/>
      <c r="B513" s="66"/>
      <c r="C513" s="66"/>
      <c r="D513" s="66"/>
      <c r="E513" s="66"/>
      <c r="F513" s="66"/>
      <c r="G513" s="66"/>
      <c r="H513" s="66"/>
    </row>
    <row r="514" spans="1:8">
      <c r="A514" s="66"/>
      <c r="B514" s="66"/>
      <c r="C514" s="66"/>
      <c r="D514" s="66"/>
      <c r="E514" s="66"/>
      <c r="F514" s="66"/>
      <c r="G514" s="66"/>
      <c r="H514" s="66"/>
    </row>
    <row r="515" spans="1:8">
      <c r="A515" s="66"/>
      <c r="B515" s="66"/>
      <c r="C515" s="66"/>
      <c r="D515" s="66"/>
      <c r="E515" s="66"/>
      <c r="F515" s="66"/>
      <c r="G515" s="66"/>
      <c r="H515" s="66"/>
    </row>
    <row r="516" spans="1:8">
      <c r="A516" s="66"/>
      <c r="B516" s="66"/>
      <c r="C516" s="66"/>
      <c r="D516" s="66"/>
      <c r="E516" s="66"/>
      <c r="F516" s="66"/>
      <c r="G516" s="66"/>
      <c r="H516" s="66"/>
    </row>
    <row r="517" spans="1:8">
      <c r="A517" s="66"/>
      <c r="B517" s="66"/>
      <c r="C517" s="66"/>
      <c r="D517" s="66"/>
      <c r="E517" s="66"/>
      <c r="F517" s="66"/>
      <c r="G517" s="66"/>
      <c r="H517" s="66"/>
    </row>
    <row r="518" spans="1:8">
      <c r="A518" s="66"/>
      <c r="B518" s="66"/>
      <c r="C518" s="66"/>
      <c r="D518" s="66"/>
      <c r="E518" s="66"/>
      <c r="F518" s="66"/>
      <c r="G518" s="66"/>
      <c r="H518" s="66"/>
    </row>
    <row r="519" spans="1:8">
      <c r="A519" s="66"/>
      <c r="B519" s="66"/>
      <c r="C519" s="66"/>
      <c r="D519" s="66"/>
      <c r="E519" s="66"/>
      <c r="F519" s="66"/>
      <c r="G519" s="66"/>
      <c r="H519" s="66"/>
    </row>
    <row r="520" spans="1:8">
      <c r="A520" s="66"/>
      <c r="B520" s="66"/>
      <c r="C520" s="66"/>
      <c r="D520" s="66"/>
      <c r="E520" s="66"/>
      <c r="F520" s="66"/>
      <c r="G520" s="66"/>
      <c r="H520" s="66"/>
    </row>
    <row r="521" spans="1:8">
      <c r="A521" s="66"/>
      <c r="B521" s="66"/>
      <c r="C521" s="66"/>
      <c r="D521" s="66"/>
      <c r="E521" s="66"/>
      <c r="F521" s="66"/>
      <c r="G521" s="66"/>
      <c r="H521" s="66"/>
    </row>
    <row r="522" spans="1:8">
      <c r="A522" s="66"/>
      <c r="B522" s="66"/>
      <c r="C522" s="66"/>
      <c r="D522" s="66"/>
      <c r="E522" s="66"/>
      <c r="F522" s="66"/>
      <c r="G522" s="66"/>
      <c r="H522" s="66"/>
    </row>
    <row r="523" spans="1:8">
      <c r="A523" s="66"/>
      <c r="B523" s="66"/>
      <c r="C523" s="66"/>
      <c r="D523" s="66"/>
      <c r="E523" s="66"/>
      <c r="F523" s="66"/>
      <c r="G523" s="66"/>
      <c r="H523" s="66"/>
    </row>
    <row r="524" spans="1:8">
      <c r="A524" s="66"/>
      <c r="B524" s="66"/>
      <c r="C524" s="66"/>
      <c r="D524" s="66"/>
      <c r="E524" s="66"/>
      <c r="F524" s="66"/>
      <c r="G524" s="66"/>
      <c r="H524" s="66"/>
    </row>
    <row r="525" spans="1:8">
      <c r="A525" s="66"/>
      <c r="B525" s="66"/>
      <c r="C525" s="66"/>
      <c r="D525" s="66"/>
      <c r="E525" s="66"/>
      <c r="F525" s="66"/>
      <c r="G525" s="66"/>
      <c r="H525" s="66"/>
    </row>
    <row r="526" spans="1:8">
      <c r="A526" s="66"/>
      <c r="B526" s="66"/>
      <c r="C526" s="66"/>
      <c r="D526" s="66"/>
      <c r="E526" s="66"/>
      <c r="F526" s="66"/>
      <c r="G526" s="66"/>
      <c r="H526" s="66"/>
    </row>
    <row r="527" spans="1:8">
      <c r="A527" s="66"/>
      <c r="B527" s="66"/>
      <c r="C527" s="66"/>
      <c r="D527" s="66"/>
      <c r="E527" s="66"/>
      <c r="F527" s="66"/>
      <c r="G527" s="66"/>
      <c r="H527" s="66"/>
    </row>
    <row r="528" spans="1:8">
      <c r="A528" s="66"/>
      <c r="B528" s="66"/>
      <c r="C528" s="66"/>
      <c r="D528" s="66"/>
      <c r="E528" s="66"/>
      <c r="F528" s="66"/>
      <c r="G528" s="66"/>
      <c r="H528" s="66"/>
    </row>
    <row r="529" spans="1:8">
      <c r="A529" s="66"/>
      <c r="B529" s="66"/>
      <c r="C529" s="66"/>
      <c r="D529" s="66"/>
      <c r="E529" s="66"/>
      <c r="F529" s="66"/>
      <c r="G529" s="66"/>
      <c r="H529" s="66"/>
    </row>
    <row r="530" spans="1:8">
      <c r="A530" s="66"/>
      <c r="B530" s="66"/>
      <c r="C530" s="66"/>
      <c r="D530" s="66"/>
      <c r="E530" s="66"/>
      <c r="F530" s="66"/>
      <c r="G530" s="66"/>
      <c r="H530" s="66"/>
    </row>
    <row r="531" spans="1:8">
      <c r="A531" s="66"/>
      <c r="B531" s="66"/>
      <c r="C531" s="66"/>
      <c r="D531" s="66"/>
      <c r="E531" s="66"/>
      <c r="F531" s="66"/>
      <c r="G531" s="66"/>
      <c r="H531" s="66"/>
    </row>
    <row r="532" spans="1:8">
      <c r="A532" s="66"/>
      <c r="B532" s="66"/>
      <c r="C532" s="66"/>
      <c r="D532" s="66"/>
      <c r="E532" s="66"/>
      <c r="F532" s="66"/>
      <c r="G532" s="66"/>
      <c r="H532" s="66"/>
    </row>
    <row r="533" spans="1:8">
      <c r="A533" s="66"/>
      <c r="B533" s="66"/>
      <c r="C533" s="66"/>
      <c r="D533" s="66"/>
      <c r="E533" s="66"/>
      <c r="F533" s="66"/>
      <c r="G533" s="66"/>
      <c r="H533" s="66"/>
    </row>
    <row r="534" spans="1:8">
      <c r="A534" s="66"/>
      <c r="B534" s="66"/>
      <c r="C534" s="66"/>
      <c r="D534" s="66"/>
      <c r="E534" s="66"/>
      <c r="F534" s="66"/>
      <c r="G534" s="66"/>
      <c r="H534" s="66"/>
    </row>
    <row r="535" spans="1:8">
      <c r="A535" s="66"/>
      <c r="B535" s="66"/>
      <c r="C535" s="66"/>
      <c r="D535" s="66"/>
      <c r="E535" s="66"/>
      <c r="F535" s="66"/>
      <c r="G535" s="66"/>
      <c r="H535" s="66"/>
    </row>
    <row r="536" spans="1:8">
      <c r="A536" s="66"/>
      <c r="B536" s="66"/>
      <c r="C536" s="66"/>
      <c r="D536" s="66"/>
      <c r="E536" s="66"/>
      <c r="F536" s="66"/>
      <c r="G536" s="66"/>
      <c r="H536" s="66"/>
    </row>
    <row r="537" spans="1:8">
      <c r="A537" s="66"/>
      <c r="B537" s="66"/>
      <c r="C537" s="66"/>
      <c r="D537" s="66"/>
      <c r="E537" s="66"/>
      <c r="F537" s="66"/>
      <c r="G537" s="66"/>
      <c r="H537" s="66"/>
    </row>
    <row r="538" spans="1:8">
      <c r="A538" s="66"/>
      <c r="B538" s="66"/>
      <c r="C538" s="66"/>
      <c r="D538" s="66"/>
      <c r="E538" s="66"/>
      <c r="F538" s="66"/>
      <c r="G538" s="66"/>
      <c r="H538" s="66"/>
    </row>
    <row r="539" spans="1:8">
      <c r="A539" s="66"/>
      <c r="B539" s="66"/>
      <c r="C539" s="66"/>
      <c r="D539" s="66"/>
      <c r="E539" s="66"/>
      <c r="F539" s="66"/>
      <c r="G539" s="66"/>
      <c r="H539" s="66"/>
    </row>
    <row r="540" spans="1:8">
      <c r="A540" s="66"/>
      <c r="B540" s="66"/>
      <c r="C540" s="66"/>
      <c r="D540" s="66"/>
      <c r="E540" s="66"/>
      <c r="F540" s="66"/>
      <c r="G540" s="66"/>
      <c r="H540" s="66"/>
    </row>
    <row r="541" spans="1:8">
      <c r="A541" s="66"/>
      <c r="B541" s="66"/>
      <c r="C541" s="66"/>
      <c r="D541" s="66"/>
      <c r="E541" s="66"/>
      <c r="F541" s="66"/>
      <c r="G541" s="66"/>
      <c r="H541" s="66"/>
    </row>
    <row r="542" spans="1:8">
      <c r="A542" s="66"/>
      <c r="B542" s="66"/>
      <c r="C542" s="66"/>
      <c r="D542" s="66"/>
      <c r="E542" s="66"/>
      <c r="F542" s="66"/>
      <c r="G542" s="66"/>
      <c r="H542" s="66"/>
    </row>
    <row r="543" spans="1:8">
      <c r="A543" s="66"/>
      <c r="B543" s="66"/>
      <c r="C543" s="66"/>
      <c r="D543" s="66"/>
      <c r="E543" s="66"/>
      <c r="F543" s="66"/>
      <c r="G543" s="66"/>
      <c r="H543" s="66"/>
    </row>
    <row r="544" spans="1:8">
      <c r="A544" s="66"/>
      <c r="B544" s="66"/>
      <c r="C544" s="66"/>
      <c r="D544" s="66"/>
      <c r="E544" s="66"/>
      <c r="F544" s="66"/>
      <c r="G544" s="66"/>
      <c r="H544" s="66"/>
    </row>
    <row r="545" spans="1:8">
      <c r="A545" s="66"/>
      <c r="B545" s="66"/>
      <c r="C545" s="66"/>
      <c r="D545" s="66"/>
      <c r="E545" s="66"/>
      <c r="F545" s="66"/>
      <c r="G545" s="66"/>
      <c r="H545" s="66"/>
    </row>
    <row r="546" spans="1:8">
      <c r="A546" s="66"/>
      <c r="B546" s="66"/>
      <c r="C546" s="66"/>
      <c r="D546" s="66"/>
      <c r="E546" s="66"/>
      <c r="F546" s="66"/>
      <c r="G546" s="66"/>
      <c r="H546" s="66"/>
    </row>
    <row r="547" spans="1:8">
      <c r="A547" s="66"/>
      <c r="B547" s="66"/>
      <c r="C547" s="66"/>
      <c r="D547" s="66"/>
      <c r="E547" s="66"/>
      <c r="F547" s="66"/>
      <c r="G547" s="66"/>
      <c r="H547" s="66"/>
    </row>
    <row r="548" spans="1:8">
      <c r="A548" s="66"/>
      <c r="B548" s="66"/>
      <c r="C548" s="66"/>
      <c r="D548" s="66"/>
      <c r="E548" s="66"/>
      <c r="F548" s="66"/>
      <c r="G548" s="66"/>
      <c r="H548" s="66"/>
    </row>
    <row r="549" spans="1:8">
      <c r="A549" s="66"/>
      <c r="B549" s="66"/>
      <c r="C549" s="66"/>
      <c r="D549" s="66"/>
      <c r="E549" s="66"/>
      <c r="F549" s="66"/>
      <c r="G549" s="66"/>
      <c r="H549" s="66"/>
    </row>
    <row r="550" spans="1:8">
      <c r="A550" s="66"/>
      <c r="B550" s="66"/>
      <c r="C550" s="66"/>
      <c r="D550" s="66"/>
      <c r="E550" s="66"/>
      <c r="F550" s="66"/>
      <c r="G550" s="66"/>
      <c r="H550" s="66"/>
    </row>
    <row r="551" spans="1:8">
      <c r="A551" s="66"/>
      <c r="B551" s="66"/>
      <c r="C551" s="66"/>
      <c r="D551" s="66"/>
      <c r="E551" s="66"/>
      <c r="F551" s="66"/>
      <c r="G551" s="66"/>
      <c r="H551" s="66"/>
    </row>
    <row r="552" spans="1:8">
      <c r="A552" s="66"/>
      <c r="B552" s="66"/>
      <c r="C552" s="66"/>
      <c r="D552" s="66"/>
      <c r="E552" s="66"/>
      <c r="F552" s="66"/>
      <c r="G552" s="66"/>
      <c r="H552" s="66"/>
    </row>
    <row r="553" spans="1:8">
      <c r="A553" s="66"/>
      <c r="B553" s="66"/>
      <c r="C553" s="66"/>
      <c r="D553" s="66"/>
      <c r="E553" s="66"/>
      <c r="F553" s="66"/>
      <c r="G553" s="66"/>
      <c r="H553" s="66"/>
    </row>
    <row r="554" spans="1:8">
      <c r="A554" s="66"/>
      <c r="B554" s="66"/>
      <c r="C554" s="66"/>
      <c r="D554" s="66"/>
      <c r="E554" s="66"/>
      <c r="F554" s="66"/>
      <c r="G554" s="66"/>
      <c r="H554" s="66"/>
    </row>
    <row r="555" spans="1:8">
      <c r="A555" s="66"/>
      <c r="B555" s="66"/>
      <c r="C555" s="66"/>
      <c r="D555" s="66"/>
      <c r="E555" s="66"/>
      <c r="F555" s="66"/>
      <c r="G555" s="66"/>
      <c r="H555" s="66"/>
    </row>
    <row r="556" spans="1:8">
      <c r="A556" s="66"/>
      <c r="B556" s="66"/>
      <c r="C556" s="66"/>
      <c r="D556" s="66"/>
      <c r="E556" s="66"/>
      <c r="F556" s="66"/>
      <c r="G556" s="66"/>
      <c r="H556" s="66"/>
    </row>
    <row r="557" spans="1:8">
      <c r="A557" s="66"/>
      <c r="B557" s="66"/>
      <c r="C557" s="66"/>
      <c r="D557" s="66"/>
      <c r="E557" s="66"/>
      <c r="F557" s="66"/>
      <c r="G557" s="66"/>
      <c r="H557" s="66"/>
    </row>
    <row r="558" spans="1:8">
      <c r="A558" s="66"/>
      <c r="B558" s="66"/>
      <c r="C558" s="66"/>
      <c r="D558" s="66"/>
      <c r="E558" s="66"/>
      <c r="F558" s="66"/>
      <c r="G558" s="66"/>
      <c r="H558" s="66"/>
    </row>
    <row r="559" spans="1:8">
      <c r="A559" s="66"/>
      <c r="B559" s="66"/>
      <c r="C559" s="66"/>
      <c r="D559" s="66"/>
      <c r="E559" s="66"/>
      <c r="F559" s="66"/>
      <c r="G559" s="66"/>
      <c r="H559" s="66"/>
    </row>
    <row r="560" spans="1:8">
      <c r="A560" s="66"/>
      <c r="B560" s="66"/>
      <c r="C560" s="66"/>
      <c r="D560" s="66"/>
      <c r="E560" s="66"/>
      <c r="F560" s="66"/>
      <c r="G560" s="66"/>
      <c r="H560" s="66"/>
    </row>
    <row r="561" spans="1:8">
      <c r="A561" s="66"/>
      <c r="B561" s="66"/>
      <c r="C561" s="66"/>
      <c r="D561" s="66"/>
      <c r="E561" s="66"/>
      <c r="F561" s="66"/>
      <c r="G561" s="66"/>
      <c r="H561" s="66"/>
    </row>
    <row r="562" spans="1:8">
      <c r="A562" s="66"/>
      <c r="B562" s="66"/>
      <c r="C562" s="66"/>
      <c r="D562" s="66"/>
      <c r="E562" s="66"/>
      <c r="F562" s="66"/>
      <c r="G562" s="66"/>
      <c r="H562" s="66"/>
    </row>
    <row r="563" spans="1:8">
      <c r="A563" s="66"/>
      <c r="B563" s="66"/>
      <c r="C563" s="66"/>
      <c r="D563" s="66"/>
      <c r="E563" s="66"/>
      <c r="F563" s="66"/>
      <c r="G563" s="66"/>
      <c r="H563" s="66"/>
    </row>
    <row r="564" spans="1:8">
      <c r="A564" s="66"/>
      <c r="B564" s="66"/>
      <c r="C564" s="66"/>
      <c r="D564" s="66"/>
      <c r="E564" s="66"/>
      <c r="F564" s="66"/>
      <c r="G564" s="66"/>
      <c r="H564" s="66"/>
    </row>
    <row r="565" spans="1:8">
      <c r="A565" s="66"/>
      <c r="B565" s="66"/>
      <c r="C565" s="66"/>
      <c r="D565" s="66"/>
      <c r="E565" s="66"/>
      <c r="F565" s="66"/>
      <c r="G565" s="66"/>
      <c r="H565" s="66"/>
    </row>
    <row r="566" spans="1:8">
      <c r="A566" s="66"/>
      <c r="B566" s="66"/>
      <c r="C566" s="66"/>
      <c r="D566" s="66"/>
      <c r="E566" s="66"/>
      <c r="F566" s="66"/>
      <c r="G566" s="66"/>
      <c r="H566" s="66"/>
    </row>
    <row r="567" spans="1:8">
      <c r="A567" s="66"/>
      <c r="B567" s="66"/>
      <c r="C567" s="66"/>
      <c r="D567" s="66"/>
      <c r="E567" s="66"/>
      <c r="F567" s="66"/>
      <c r="G567" s="66"/>
      <c r="H567" s="66"/>
    </row>
    <row r="568" spans="1:8">
      <c r="A568" s="66"/>
      <c r="B568" s="66"/>
      <c r="C568" s="66"/>
      <c r="D568" s="66"/>
      <c r="E568" s="66"/>
      <c r="F568" s="66"/>
      <c r="G568" s="66"/>
      <c r="H568" s="66"/>
    </row>
    <row r="569" spans="1:8">
      <c r="A569" s="66"/>
      <c r="B569" s="66"/>
      <c r="C569" s="66"/>
      <c r="D569" s="66"/>
      <c r="E569" s="66"/>
      <c r="F569" s="66"/>
      <c r="G569" s="66"/>
      <c r="H569" s="66"/>
    </row>
    <row r="570" spans="1:8">
      <c r="A570" s="66"/>
      <c r="B570" s="66"/>
      <c r="C570" s="66"/>
      <c r="D570" s="66"/>
      <c r="E570" s="66"/>
      <c r="F570" s="66"/>
      <c r="G570" s="66"/>
      <c r="H570" s="66"/>
    </row>
    <row r="571" spans="1:8">
      <c r="A571" s="66"/>
      <c r="B571" s="66"/>
      <c r="C571" s="66"/>
      <c r="D571" s="66"/>
      <c r="E571" s="66"/>
      <c r="F571" s="66"/>
      <c r="G571" s="66"/>
      <c r="H571" s="66"/>
    </row>
    <row r="572" spans="1:8">
      <c r="A572" s="66"/>
      <c r="B572" s="66"/>
      <c r="C572" s="66"/>
      <c r="D572" s="66"/>
      <c r="E572" s="66"/>
      <c r="F572" s="66"/>
      <c r="G572" s="66"/>
      <c r="H572" s="66"/>
    </row>
    <row r="573" spans="1:8">
      <c r="A573" s="66"/>
      <c r="B573" s="66"/>
      <c r="C573" s="66"/>
      <c r="D573" s="66"/>
      <c r="E573" s="66"/>
      <c r="F573" s="66"/>
      <c r="G573" s="66"/>
      <c r="H573" s="66"/>
    </row>
    <row r="574" spans="1:8">
      <c r="A574" s="66"/>
      <c r="B574" s="66"/>
      <c r="C574" s="66"/>
      <c r="D574" s="66"/>
      <c r="E574" s="66"/>
      <c r="F574" s="66"/>
      <c r="G574" s="66"/>
      <c r="H574" s="66"/>
    </row>
    <row r="575" spans="1:8">
      <c r="A575" s="66"/>
      <c r="B575" s="66"/>
      <c r="C575" s="66"/>
      <c r="D575" s="66"/>
      <c r="E575" s="66"/>
      <c r="F575" s="66"/>
      <c r="G575" s="66"/>
      <c r="H575" s="66"/>
    </row>
    <row r="576" spans="1:8">
      <c r="A576" s="66"/>
      <c r="B576" s="66"/>
      <c r="C576" s="66"/>
      <c r="D576" s="66"/>
      <c r="E576" s="66"/>
      <c r="F576" s="66"/>
      <c r="G576" s="66"/>
      <c r="H576" s="66"/>
    </row>
    <row r="577" spans="1:8">
      <c r="A577" s="66"/>
      <c r="B577" s="66"/>
      <c r="C577" s="66"/>
      <c r="D577" s="66"/>
      <c r="E577" s="66"/>
      <c r="F577" s="66"/>
      <c r="G577" s="66"/>
      <c r="H577" s="66"/>
    </row>
    <row r="578" spans="1:8">
      <c r="A578" s="66"/>
      <c r="B578" s="66"/>
      <c r="C578" s="66"/>
      <c r="D578" s="66"/>
      <c r="E578" s="66"/>
      <c r="F578" s="66"/>
      <c r="G578" s="66"/>
      <c r="H578" s="66"/>
    </row>
    <row r="579" spans="1:8">
      <c r="A579" s="66"/>
      <c r="B579" s="66"/>
      <c r="C579" s="66"/>
      <c r="D579" s="66"/>
      <c r="E579" s="66"/>
      <c r="F579" s="66"/>
      <c r="G579" s="66"/>
      <c r="H579" s="66"/>
    </row>
    <row r="580" spans="1:8">
      <c r="A580" s="66"/>
      <c r="B580" s="66"/>
      <c r="C580" s="66"/>
      <c r="D580" s="66"/>
      <c r="E580" s="66"/>
      <c r="F580" s="66"/>
      <c r="G580" s="66"/>
      <c r="H580" s="66"/>
    </row>
    <row r="581" spans="1:8">
      <c r="A581" s="66"/>
      <c r="B581" s="66"/>
      <c r="C581" s="66"/>
      <c r="D581" s="66"/>
      <c r="E581" s="66"/>
      <c r="F581" s="66"/>
      <c r="G581" s="66"/>
      <c r="H581" s="66"/>
    </row>
    <row r="582" spans="1:8">
      <c r="A582" s="66"/>
      <c r="B582" s="66"/>
      <c r="C582" s="66"/>
      <c r="D582" s="66"/>
      <c r="E582" s="66"/>
      <c r="F582" s="66"/>
      <c r="G582" s="66"/>
      <c r="H582" s="66"/>
    </row>
    <row r="583" spans="1:8">
      <c r="A583" s="66"/>
      <c r="B583" s="66"/>
      <c r="C583" s="66"/>
      <c r="D583" s="66"/>
      <c r="E583" s="66"/>
      <c r="F583" s="66"/>
      <c r="G583" s="66"/>
      <c r="H583" s="66"/>
    </row>
    <row r="584" spans="1:8">
      <c r="A584" s="66"/>
      <c r="B584" s="66"/>
      <c r="C584" s="66"/>
      <c r="D584" s="66"/>
      <c r="E584" s="66"/>
      <c r="F584" s="66"/>
      <c r="G584" s="66"/>
      <c r="H584" s="66"/>
    </row>
    <row r="585" spans="1:8">
      <c r="A585" s="66"/>
      <c r="B585" s="66"/>
      <c r="C585" s="66"/>
      <c r="D585" s="66"/>
      <c r="E585" s="66"/>
      <c r="F585" s="66"/>
      <c r="G585" s="66"/>
      <c r="H585" s="66"/>
    </row>
    <row r="586" spans="1:8">
      <c r="A586" s="66"/>
      <c r="B586" s="66"/>
      <c r="C586" s="66"/>
      <c r="D586" s="66"/>
      <c r="E586" s="66"/>
      <c r="F586" s="66"/>
      <c r="G586" s="66"/>
      <c r="H586" s="66"/>
    </row>
    <row r="587" spans="1:8">
      <c r="A587" s="66"/>
      <c r="B587" s="66"/>
      <c r="C587" s="66"/>
      <c r="D587" s="66"/>
      <c r="E587" s="66"/>
      <c r="F587" s="66"/>
      <c r="G587" s="66"/>
      <c r="H587" s="66"/>
    </row>
    <row r="588" spans="1:8">
      <c r="A588" s="66"/>
      <c r="B588" s="66"/>
      <c r="C588" s="66"/>
      <c r="D588" s="66"/>
      <c r="E588" s="66"/>
      <c r="F588" s="66"/>
      <c r="G588" s="66"/>
      <c r="H588" s="66"/>
    </row>
    <row r="589" spans="1:8">
      <c r="A589" s="66"/>
      <c r="B589" s="66"/>
      <c r="C589" s="66"/>
      <c r="D589" s="66"/>
      <c r="E589" s="66"/>
      <c r="F589" s="66"/>
      <c r="G589" s="66"/>
      <c r="H589" s="66"/>
    </row>
    <row r="590" spans="1:8">
      <c r="A590" s="66"/>
      <c r="B590" s="66"/>
      <c r="C590" s="66"/>
      <c r="D590" s="66"/>
      <c r="E590" s="66"/>
      <c r="F590" s="66"/>
      <c r="G590" s="66"/>
      <c r="H590" s="66"/>
    </row>
    <row r="591" spans="1:8">
      <c r="A591" s="66"/>
      <c r="B591" s="66"/>
      <c r="C591" s="66"/>
      <c r="D591" s="66"/>
      <c r="E591" s="66"/>
      <c r="F591" s="66"/>
      <c r="G591" s="66"/>
      <c r="H591" s="66"/>
    </row>
    <row r="592" spans="1:8">
      <c r="A592" s="66"/>
      <c r="B592" s="66"/>
      <c r="C592" s="66"/>
      <c r="D592" s="66"/>
      <c r="E592" s="66"/>
      <c r="F592" s="66"/>
      <c r="G592" s="66"/>
      <c r="H592" s="66"/>
    </row>
    <row r="593" spans="1:8">
      <c r="A593" s="66"/>
      <c r="B593" s="66"/>
      <c r="C593" s="66"/>
      <c r="D593" s="66"/>
      <c r="E593" s="66"/>
      <c r="F593" s="66"/>
      <c r="G593" s="66"/>
      <c r="H593" s="66"/>
    </row>
    <row r="594" spans="1:8">
      <c r="A594" s="66"/>
      <c r="B594" s="66"/>
      <c r="C594" s="66"/>
      <c r="D594" s="66"/>
      <c r="E594" s="66"/>
      <c r="F594" s="66"/>
      <c r="G594" s="66"/>
      <c r="H594" s="66"/>
    </row>
    <row r="595" spans="1:8">
      <c r="A595" s="66"/>
      <c r="B595" s="66"/>
      <c r="C595" s="66"/>
      <c r="D595" s="66"/>
      <c r="E595" s="66"/>
      <c r="F595" s="66"/>
      <c r="G595" s="66"/>
      <c r="H595" s="66"/>
    </row>
    <row r="596" spans="1:8">
      <c r="A596" s="66"/>
      <c r="B596" s="66"/>
      <c r="C596" s="66"/>
      <c r="D596" s="66"/>
      <c r="E596" s="66"/>
      <c r="F596" s="66"/>
      <c r="G596" s="66"/>
      <c r="H596" s="66"/>
    </row>
    <row r="597" spans="1:8">
      <c r="A597" s="66"/>
      <c r="B597" s="66"/>
      <c r="C597" s="66"/>
      <c r="D597" s="66"/>
      <c r="E597" s="66"/>
      <c r="F597" s="66"/>
      <c r="G597" s="66"/>
      <c r="H597" s="66"/>
    </row>
    <row r="598" spans="1:8">
      <c r="A598" s="66"/>
      <c r="B598" s="66"/>
      <c r="C598" s="66"/>
      <c r="D598" s="66"/>
      <c r="E598" s="66"/>
      <c r="F598" s="66"/>
      <c r="G598" s="66"/>
      <c r="H598" s="66"/>
    </row>
    <row r="599" spans="1:8">
      <c r="A599" s="66"/>
      <c r="B599" s="66"/>
      <c r="C599" s="66"/>
      <c r="D599" s="66"/>
      <c r="E599" s="66"/>
      <c r="F599" s="66"/>
      <c r="G599" s="66"/>
      <c r="H599" s="66"/>
    </row>
    <row r="600" spans="1:8">
      <c r="A600" s="66"/>
      <c r="B600" s="66"/>
      <c r="C600" s="66"/>
      <c r="D600" s="66"/>
      <c r="E600" s="66"/>
      <c r="F600" s="66"/>
      <c r="G600" s="66"/>
      <c r="H600" s="66"/>
    </row>
    <row r="601" spans="1:8">
      <c r="A601" s="66"/>
      <c r="B601" s="66"/>
      <c r="C601" s="66"/>
      <c r="D601" s="66"/>
      <c r="E601" s="66"/>
      <c r="F601" s="66"/>
      <c r="G601" s="66"/>
      <c r="H601" s="66"/>
    </row>
    <row r="602" spans="1:8">
      <c r="A602" s="66"/>
      <c r="B602" s="66"/>
      <c r="C602" s="66"/>
      <c r="D602" s="66"/>
      <c r="E602" s="66"/>
      <c r="F602" s="66"/>
      <c r="G602" s="66"/>
      <c r="H602" s="66"/>
    </row>
    <row r="603" spans="1:8">
      <c r="A603" s="66"/>
      <c r="B603" s="66"/>
      <c r="C603" s="66"/>
      <c r="D603" s="66"/>
      <c r="E603" s="66"/>
      <c r="F603" s="66"/>
      <c r="G603" s="66"/>
      <c r="H603" s="66"/>
    </row>
    <row r="604" spans="1:8">
      <c r="A604" s="66"/>
      <c r="B604" s="66"/>
      <c r="C604" s="66"/>
      <c r="D604" s="66"/>
      <c r="E604" s="66"/>
      <c r="F604" s="66"/>
      <c r="G604" s="66"/>
      <c r="H604" s="66"/>
    </row>
    <row r="605" spans="1:8">
      <c r="A605" s="66"/>
      <c r="B605" s="66"/>
      <c r="C605" s="66"/>
      <c r="D605" s="66"/>
      <c r="E605" s="66"/>
      <c r="F605" s="66"/>
      <c r="G605" s="66"/>
      <c r="H605" s="66"/>
    </row>
    <row r="606" spans="1:8">
      <c r="A606" s="66"/>
      <c r="B606" s="66"/>
      <c r="C606" s="66"/>
      <c r="D606" s="66"/>
      <c r="E606" s="66"/>
      <c r="F606" s="66"/>
      <c r="G606" s="66"/>
      <c r="H606" s="66"/>
    </row>
    <row r="607" spans="1:8">
      <c r="A607" s="66"/>
      <c r="B607" s="66"/>
      <c r="C607" s="66"/>
      <c r="D607" s="66"/>
      <c r="E607" s="66"/>
      <c r="F607" s="66"/>
      <c r="G607" s="66"/>
      <c r="H607" s="66"/>
    </row>
    <row r="608" spans="1:8">
      <c r="A608" s="66"/>
      <c r="B608" s="66"/>
      <c r="C608" s="66"/>
      <c r="D608" s="66"/>
      <c r="E608" s="66"/>
      <c r="F608" s="66"/>
      <c r="G608" s="66"/>
      <c r="H608" s="66"/>
    </row>
    <row r="609" spans="1:8">
      <c r="A609" s="66"/>
      <c r="B609" s="66"/>
      <c r="C609" s="66"/>
      <c r="D609" s="66"/>
      <c r="E609" s="66"/>
      <c r="F609" s="66"/>
      <c r="G609" s="66"/>
      <c r="H609" s="66"/>
    </row>
    <row r="610" spans="1:8">
      <c r="A610" s="66"/>
      <c r="B610" s="66"/>
      <c r="C610" s="66"/>
      <c r="D610" s="66"/>
      <c r="E610" s="66"/>
      <c r="F610" s="66"/>
      <c r="G610" s="66"/>
      <c r="H610" s="66"/>
    </row>
    <row r="611" spans="1:8">
      <c r="A611" s="66"/>
      <c r="B611" s="66"/>
      <c r="C611" s="66"/>
      <c r="D611" s="66"/>
      <c r="E611" s="66"/>
      <c r="F611" s="66"/>
      <c r="G611" s="66"/>
      <c r="H611" s="66"/>
    </row>
    <row r="612" spans="1:8">
      <c r="A612" s="66"/>
      <c r="B612" s="66"/>
      <c r="C612" s="66"/>
      <c r="D612" s="66"/>
      <c r="E612" s="66"/>
      <c r="F612" s="66"/>
      <c r="G612" s="66"/>
      <c r="H612" s="66"/>
    </row>
    <row r="613" spans="1:8">
      <c r="A613" s="66"/>
      <c r="B613" s="66"/>
      <c r="C613" s="66"/>
      <c r="D613" s="66"/>
      <c r="E613" s="66"/>
      <c r="F613" s="66"/>
      <c r="G613" s="66"/>
      <c r="H613" s="66"/>
    </row>
    <row r="614" spans="1:8">
      <c r="A614" s="66"/>
      <c r="B614" s="66"/>
      <c r="C614" s="66"/>
      <c r="D614" s="66"/>
      <c r="E614" s="66"/>
      <c r="F614" s="66"/>
      <c r="G614" s="66"/>
      <c r="H614" s="66"/>
    </row>
    <row r="615" spans="1:8">
      <c r="A615" s="66"/>
      <c r="B615" s="66"/>
      <c r="C615" s="66"/>
      <c r="D615" s="66"/>
      <c r="E615" s="66"/>
      <c r="F615" s="66"/>
      <c r="G615" s="66"/>
      <c r="H615" s="66"/>
    </row>
    <row r="616" spans="1:8">
      <c r="A616" s="66"/>
      <c r="B616" s="66"/>
      <c r="C616" s="66"/>
      <c r="D616" s="66"/>
      <c r="E616" s="66"/>
      <c r="F616" s="66"/>
      <c r="G616" s="66"/>
      <c r="H616" s="66"/>
    </row>
    <row r="617" spans="1:8">
      <c r="A617" s="66"/>
      <c r="B617" s="66"/>
      <c r="C617" s="66"/>
      <c r="D617" s="66"/>
      <c r="E617" s="66"/>
      <c r="F617" s="66"/>
      <c r="G617" s="66"/>
      <c r="H617" s="66"/>
    </row>
    <row r="618" spans="1:8">
      <c r="A618" s="66"/>
      <c r="B618" s="66"/>
      <c r="C618" s="66"/>
      <c r="D618" s="66"/>
      <c r="E618" s="66"/>
      <c r="F618" s="66"/>
      <c r="G618" s="66"/>
      <c r="H618" s="66"/>
    </row>
    <row r="619" spans="1:8">
      <c r="A619" s="66"/>
      <c r="B619" s="66"/>
      <c r="C619" s="66"/>
      <c r="D619" s="66"/>
      <c r="E619" s="66"/>
      <c r="F619" s="66"/>
      <c r="G619" s="66"/>
      <c r="H619" s="66"/>
    </row>
    <row r="620" spans="1:8">
      <c r="A620" s="66"/>
      <c r="B620" s="66"/>
      <c r="C620" s="66"/>
      <c r="D620" s="66"/>
      <c r="E620" s="66"/>
      <c r="F620" s="66"/>
      <c r="G620" s="66"/>
      <c r="H620" s="66"/>
    </row>
    <row r="621" spans="1:8">
      <c r="A621" s="66"/>
      <c r="B621" s="66"/>
      <c r="C621" s="66"/>
      <c r="D621" s="66"/>
      <c r="E621" s="66"/>
      <c r="F621" s="66"/>
      <c r="G621" s="66"/>
      <c r="H621" s="66"/>
    </row>
    <row r="622" spans="1:8">
      <c r="A622" s="66"/>
      <c r="B622" s="66"/>
      <c r="C622" s="66"/>
      <c r="D622" s="66"/>
      <c r="E622" s="66"/>
      <c r="F622" s="66"/>
      <c r="G622" s="66"/>
      <c r="H622" s="66"/>
    </row>
    <row r="623" spans="1:8">
      <c r="A623" s="66"/>
      <c r="B623" s="66"/>
      <c r="C623" s="66"/>
      <c r="D623" s="66"/>
      <c r="E623" s="66"/>
      <c r="F623" s="66"/>
      <c r="G623" s="66"/>
      <c r="H623" s="66"/>
    </row>
    <row r="624" spans="1:8">
      <c r="A624" s="66"/>
      <c r="B624" s="66"/>
      <c r="C624" s="66"/>
      <c r="D624" s="66"/>
      <c r="E624" s="66"/>
      <c r="F624" s="66"/>
      <c r="G624" s="66"/>
      <c r="H624" s="66"/>
    </row>
    <row r="625" spans="1:8">
      <c r="A625" s="66"/>
      <c r="B625" s="66"/>
      <c r="C625" s="66"/>
      <c r="D625" s="66"/>
      <c r="E625" s="66"/>
      <c r="F625" s="66"/>
      <c r="G625" s="66"/>
      <c r="H625" s="66"/>
    </row>
    <row r="626" spans="1:8">
      <c r="A626" s="66"/>
      <c r="B626" s="66"/>
      <c r="C626" s="66"/>
      <c r="D626" s="66"/>
      <c r="E626" s="66"/>
      <c r="F626" s="66"/>
      <c r="G626" s="66"/>
      <c r="H626" s="66"/>
    </row>
    <row r="627" spans="1:8">
      <c r="A627" s="66"/>
      <c r="B627" s="66"/>
      <c r="C627" s="66"/>
      <c r="D627" s="66"/>
      <c r="E627" s="66"/>
      <c r="F627" s="66"/>
      <c r="G627" s="66"/>
      <c r="H627" s="66"/>
    </row>
    <row r="628" spans="1:8">
      <c r="A628" s="66"/>
      <c r="B628" s="66"/>
      <c r="C628" s="66"/>
      <c r="D628" s="66"/>
      <c r="E628" s="66"/>
      <c r="F628" s="66"/>
      <c r="G628" s="66"/>
      <c r="H628" s="66"/>
    </row>
    <row r="629" spans="1:8">
      <c r="A629" s="66"/>
      <c r="B629" s="66"/>
      <c r="C629" s="66"/>
      <c r="D629" s="66"/>
      <c r="E629" s="66"/>
      <c r="F629" s="66"/>
      <c r="G629" s="66"/>
      <c r="H629" s="66"/>
    </row>
    <row r="630" spans="1:8">
      <c r="A630" s="66"/>
      <c r="B630" s="66"/>
      <c r="C630" s="66"/>
      <c r="D630" s="66"/>
      <c r="E630" s="66"/>
      <c r="F630" s="66"/>
      <c r="G630" s="66"/>
      <c r="H630" s="66"/>
    </row>
    <row r="631" spans="1:8">
      <c r="A631" s="66"/>
      <c r="B631" s="66"/>
      <c r="C631" s="66"/>
      <c r="D631" s="66"/>
      <c r="E631" s="66"/>
      <c r="F631" s="66"/>
      <c r="G631" s="66"/>
      <c r="H631" s="66"/>
    </row>
    <row r="632" spans="1:8">
      <c r="A632" s="66"/>
      <c r="B632" s="66"/>
      <c r="C632" s="66"/>
      <c r="D632" s="66"/>
      <c r="E632" s="66"/>
      <c r="F632" s="66"/>
      <c r="G632" s="66"/>
      <c r="H632" s="66"/>
    </row>
    <row r="633" spans="1:8">
      <c r="A633" s="66"/>
      <c r="B633" s="66"/>
      <c r="C633" s="66"/>
      <c r="D633" s="66"/>
      <c r="E633" s="66"/>
      <c r="F633" s="66"/>
      <c r="G633" s="66"/>
      <c r="H633" s="66"/>
    </row>
    <row r="634" spans="1:8">
      <c r="A634" s="66"/>
      <c r="B634" s="66"/>
      <c r="C634" s="66"/>
      <c r="D634" s="66"/>
      <c r="E634" s="66"/>
      <c r="F634" s="66"/>
      <c r="G634" s="66"/>
      <c r="H634" s="66"/>
    </row>
    <row r="635" spans="1:8">
      <c r="A635" s="66"/>
      <c r="B635" s="66"/>
      <c r="C635" s="66"/>
      <c r="D635" s="66"/>
      <c r="E635" s="66"/>
      <c r="F635" s="66"/>
      <c r="G635" s="66"/>
      <c r="H635" s="66"/>
    </row>
    <row r="636" spans="1:8">
      <c r="A636" s="66"/>
      <c r="B636" s="66"/>
      <c r="C636" s="66"/>
      <c r="D636" s="66"/>
      <c r="E636" s="66"/>
      <c r="F636" s="66"/>
      <c r="G636" s="66"/>
      <c r="H636" s="66"/>
    </row>
    <row r="637" spans="1:8">
      <c r="A637" s="66"/>
      <c r="B637" s="66"/>
      <c r="C637" s="66"/>
      <c r="D637" s="66"/>
      <c r="E637" s="66"/>
      <c r="F637" s="66"/>
      <c r="G637" s="66"/>
      <c r="H637" s="66"/>
    </row>
    <row r="638" spans="1:8">
      <c r="A638" s="66"/>
      <c r="B638" s="66"/>
      <c r="C638" s="66"/>
      <c r="D638" s="66"/>
      <c r="E638" s="66"/>
      <c r="F638" s="66"/>
      <c r="G638" s="66"/>
      <c r="H638" s="66"/>
    </row>
    <row r="639" spans="1:8">
      <c r="A639" s="66"/>
      <c r="B639" s="66"/>
      <c r="C639" s="66"/>
      <c r="D639" s="66"/>
      <c r="E639" s="66"/>
      <c r="F639" s="66"/>
      <c r="G639" s="66"/>
      <c r="H639" s="66"/>
    </row>
    <row r="640" spans="1:8">
      <c r="A640" s="66"/>
      <c r="B640" s="66"/>
      <c r="C640" s="66"/>
      <c r="D640" s="66"/>
      <c r="E640" s="66"/>
      <c r="F640" s="66"/>
      <c r="G640" s="66"/>
      <c r="H640" s="66"/>
    </row>
    <row r="641" spans="1:8">
      <c r="A641" s="66"/>
      <c r="B641" s="66"/>
      <c r="C641" s="66"/>
      <c r="D641" s="66"/>
      <c r="E641" s="66"/>
      <c r="F641" s="66"/>
      <c r="G641" s="66"/>
      <c r="H641" s="66"/>
    </row>
    <row r="642" spans="1:8">
      <c r="A642" s="66"/>
      <c r="B642" s="66"/>
      <c r="C642" s="66"/>
      <c r="D642" s="66"/>
      <c r="E642" s="66"/>
      <c r="F642" s="66"/>
      <c r="G642" s="66"/>
      <c r="H642" s="66"/>
    </row>
    <row r="643" spans="1:8">
      <c r="A643" s="66"/>
      <c r="B643" s="66"/>
      <c r="C643" s="66"/>
      <c r="D643" s="66"/>
      <c r="E643" s="66"/>
      <c r="F643" s="66"/>
      <c r="G643" s="66"/>
      <c r="H643" s="66"/>
    </row>
    <row r="644" spans="1:8">
      <c r="A644" s="66"/>
      <c r="B644" s="66"/>
      <c r="C644" s="66"/>
      <c r="D644" s="66"/>
      <c r="E644" s="66"/>
      <c r="F644" s="66"/>
      <c r="G644" s="66"/>
      <c r="H644" s="66"/>
    </row>
    <row r="645" spans="1:8">
      <c r="A645" s="66"/>
      <c r="B645" s="66"/>
      <c r="C645" s="66"/>
      <c r="D645" s="66"/>
      <c r="E645" s="66"/>
      <c r="F645" s="66"/>
      <c r="G645" s="66"/>
      <c r="H645" s="66"/>
    </row>
    <row r="646" spans="1:8">
      <c r="A646" s="66"/>
      <c r="B646" s="66"/>
      <c r="C646" s="66"/>
      <c r="D646" s="66"/>
      <c r="E646" s="66"/>
      <c r="F646" s="66"/>
      <c r="G646" s="66"/>
      <c r="H646" s="66"/>
    </row>
    <row r="647" spans="1:8">
      <c r="A647" s="66"/>
      <c r="B647" s="66"/>
      <c r="C647" s="66"/>
      <c r="D647" s="66"/>
      <c r="E647" s="66"/>
      <c r="F647" s="66"/>
      <c r="G647" s="66"/>
      <c r="H647" s="66"/>
    </row>
    <row r="648" spans="1:8">
      <c r="A648" s="66"/>
      <c r="B648" s="66"/>
      <c r="C648" s="66"/>
      <c r="D648" s="66"/>
      <c r="E648" s="66"/>
      <c r="F648" s="66"/>
      <c r="G648" s="66"/>
      <c r="H648" s="66"/>
    </row>
    <row r="649" spans="1:8">
      <c r="A649" s="66"/>
      <c r="B649" s="66"/>
      <c r="C649" s="66"/>
      <c r="D649" s="66"/>
      <c r="E649" s="66"/>
      <c r="F649" s="66"/>
      <c r="G649" s="66"/>
      <c r="H649" s="66"/>
    </row>
    <row r="650" spans="1:8">
      <c r="A650" s="66"/>
      <c r="B650" s="66"/>
      <c r="C650" s="66"/>
      <c r="D650" s="66"/>
      <c r="E650" s="66"/>
      <c r="F650" s="66"/>
      <c r="G650" s="66"/>
      <c r="H650" s="66"/>
    </row>
    <row r="651" spans="1:8">
      <c r="A651" s="66"/>
      <c r="B651" s="66"/>
      <c r="C651" s="66"/>
      <c r="D651" s="66"/>
      <c r="E651" s="66"/>
      <c r="F651" s="66"/>
      <c r="G651" s="66"/>
      <c r="H651" s="66"/>
    </row>
    <row r="652" spans="1:8">
      <c r="A652" s="66"/>
      <c r="B652" s="66"/>
      <c r="C652" s="66"/>
      <c r="D652" s="66"/>
      <c r="E652" s="66"/>
      <c r="F652" s="66"/>
      <c r="G652" s="66"/>
      <c r="H652" s="66"/>
    </row>
    <row r="653" spans="1:8">
      <c r="A653" s="66"/>
      <c r="B653" s="66"/>
      <c r="C653" s="66"/>
      <c r="D653" s="66"/>
      <c r="E653" s="66"/>
      <c r="F653" s="66"/>
      <c r="G653" s="66"/>
      <c r="H653" s="66"/>
    </row>
    <row r="654" spans="1:8">
      <c r="A654" s="66"/>
      <c r="B654" s="66"/>
      <c r="C654" s="66"/>
      <c r="D654" s="66"/>
      <c r="E654" s="66"/>
      <c r="F654" s="66"/>
      <c r="G654" s="66"/>
      <c r="H654" s="66"/>
    </row>
    <row r="655" spans="1:8">
      <c r="A655" s="66"/>
      <c r="B655" s="66"/>
      <c r="C655" s="66"/>
      <c r="D655" s="66"/>
      <c r="E655" s="66"/>
      <c r="F655" s="66"/>
      <c r="G655" s="66"/>
      <c r="H655" s="66"/>
    </row>
    <row r="656" spans="1:8">
      <c r="A656" s="66"/>
      <c r="B656" s="66"/>
      <c r="C656" s="66"/>
      <c r="D656" s="66"/>
      <c r="E656" s="66"/>
      <c r="F656" s="66"/>
      <c r="G656" s="66"/>
      <c r="H656" s="66"/>
    </row>
    <row r="657" spans="1:8">
      <c r="A657" s="66"/>
      <c r="B657" s="66"/>
      <c r="C657" s="66"/>
      <c r="D657" s="66"/>
      <c r="E657" s="66"/>
      <c r="F657" s="66"/>
      <c r="G657" s="66"/>
      <c r="H657" s="66"/>
    </row>
    <row r="658" spans="1:8">
      <c r="A658" s="66"/>
      <c r="B658" s="66"/>
      <c r="C658" s="66"/>
      <c r="D658" s="66"/>
      <c r="E658" s="66"/>
      <c r="F658" s="66"/>
      <c r="G658" s="66"/>
      <c r="H658" s="66"/>
    </row>
    <row r="659" spans="1:8">
      <c r="A659" s="66"/>
      <c r="B659" s="66"/>
      <c r="C659" s="66"/>
      <c r="D659" s="66"/>
      <c r="E659" s="66"/>
      <c r="F659" s="66"/>
      <c r="G659" s="66"/>
      <c r="H659" s="66"/>
    </row>
    <row r="660" spans="1:8">
      <c r="A660" s="66"/>
      <c r="B660" s="66"/>
      <c r="C660" s="66"/>
      <c r="D660" s="66"/>
      <c r="E660" s="66"/>
      <c r="F660" s="66"/>
      <c r="G660" s="66"/>
      <c r="H660" s="66"/>
    </row>
    <row r="661" spans="1:8">
      <c r="A661" s="66"/>
      <c r="B661" s="66"/>
      <c r="C661" s="66"/>
      <c r="D661" s="66"/>
      <c r="E661" s="66"/>
      <c r="F661" s="66"/>
      <c r="G661" s="66"/>
      <c r="H661" s="66"/>
    </row>
    <row r="662" spans="1:8">
      <c r="A662" s="66"/>
      <c r="B662" s="66"/>
      <c r="C662" s="66"/>
      <c r="D662" s="66"/>
      <c r="E662" s="66"/>
      <c r="F662" s="66"/>
      <c r="G662" s="66"/>
      <c r="H662" s="66"/>
    </row>
    <row r="663" spans="1:8">
      <c r="A663" s="66"/>
      <c r="B663" s="66"/>
      <c r="C663" s="66"/>
      <c r="D663" s="66"/>
      <c r="E663" s="66"/>
      <c r="F663" s="66"/>
      <c r="G663" s="66"/>
      <c r="H663" s="66"/>
    </row>
    <row r="664" spans="1:8">
      <c r="A664" s="66"/>
      <c r="B664" s="66"/>
      <c r="C664" s="66"/>
      <c r="D664" s="66"/>
      <c r="E664" s="66"/>
      <c r="F664" s="66"/>
      <c r="G664" s="66"/>
      <c r="H664" s="66"/>
    </row>
    <row r="665" spans="1:8">
      <c r="A665" s="66"/>
      <c r="B665" s="66"/>
      <c r="C665" s="66"/>
      <c r="D665" s="66"/>
      <c r="E665" s="66"/>
      <c r="F665" s="66"/>
      <c r="G665" s="66"/>
      <c r="H665" s="66"/>
    </row>
    <row r="666" spans="1:8">
      <c r="A666" s="66"/>
      <c r="B666" s="66"/>
      <c r="C666" s="66"/>
      <c r="D666" s="66"/>
      <c r="E666" s="66"/>
      <c r="F666" s="66"/>
      <c r="G666" s="66"/>
      <c r="H666" s="66"/>
    </row>
    <row r="667" spans="1:8">
      <c r="A667" s="66"/>
      <c r="B667" s="66"/>
      <c r="C667" s="66"/>
      <c r="D667" s="66"/>
      <c r="E667" s="66"/>
      <c r="F667" s="66"/>
      <c r="G667" s="66"/>
      <c r="H667" s="66"/>
    </row>
    <row r="668" spans="1:8">
      <c r="A668" s="66"/>
      <c r="B668" s="66"/>
      <c r="C668" s="66"/>
      <c r="D668" s="66"/>
      <c r="E668" s="66"/>
      <c r="F668" s="66"/>
      <c r="G668" s="66"/>
      <c r="H668" s="66"/>
    </row>
    <row r="669" spans="1:8">
      <c r="A669" s="66"/>
      <c r="B669" s="66"/>
      <c r="C669" s="66"/>
      <c r="D669" s="66"/>
      <c r="E669" s="66"/>
      <c r="F669" s="66"/>
      <c r="G669" s="66"/>
      <c r="H669" s="66"/>
    </row>
    <row r="670" spans="1:8">
      <c r="A670" s="66"/>
      <c r="B670" s="66"/>
      <c r="C670" s="66"/>
      <c r="D670" s="66"/>
      <c r="E670" s="66"/>
      <c r="F670" s="66"/>
      <c r="G670" s="66"/>
      <c r="H670" s="66"/>
    </row>
    <row r="671" spans="1:8">
      <c r="A671" s="66"/>
      <c r="B671" s="66"/>
      <c r="C671" s="66"/>
      <c r="D671" s="66"/>
      <c r="E671" s="66"/>
      <c r="F671" s="66"/>
      <c r="G671" s="66"/>
      <c r="H671" s="66"/>
    </row>
    <row r="672" spans="1:8">
      <c r="A672" s="66"/>
      <c r="B672" s="66"/>
      <c r="C672" s="66"/>
      <c r="D672" s="66"/>
      <c r="E672" s="66"/>
      <c r="F672" s="66"/>
      <c r="G672" s="66"/>
      <c r="H672" s="66"/>
    </row>
    <row r="673" spans="1:8">
      <c r="A673" s="66"/>
      <c r="B673" s="66"/>
      <c r="C673" s="66"/>
      <c r="D673" s="66"/>
      <c r="E673" s="66"/>
      <c r="F673" s="66"/>
      <c r="G673" s="66"/>
      <c r="H673" s="66"/>
    </row>
    <row r="674" spans="1:8">
      <c r="A674" s="66"/>
      <c r="B674" s="66"/>
      <c r="C674" s="66"/>
      <c r="D674" s="66"/>
      <c r="E674" s="66"/>
      <c r="F674" s="66"/>
      <c r="G674" s="66"/>
      <c r="H674" s="66"/>
    </row>
    <row r="675" spans="1:8">
      <c r="A675" s="66"/>
      <c r="B675" s="66"/>
      <c r="C675" s="66"/>
      <c r="D675" s="66"/>
      <c r="E675" s="66"/>
      <c r="F675" s="66"/>
      <c r="G675" s="66"/>
      <c r="H675" s="66"/>
    </row>
    <row r="676" spans="1:8">
      <c r="A676" s="66"/>
      <c r="B676" s="66"/>
      <c r="C676" s="66"/>
      <c r="D676" s="66"/>
      <c r="E676" s="66"/>
      <c r="F676" s="66"/>
      <c r="G676" s="66"/>
      <c r="H676" s="66"/>
    </row>
    <row r="677" spans="1:8">
      <c r="A677" s="66"/>
      <c r="B677" s="66"/>
      <c r="C677" s="66"/>
      <c r="D677" s="66"/>
      <c r="E677" s="66"/>
      <c r="F677" s="66"/>
      <c r="G677" s="66"/>
      <c r="H677" s="66"/>
    </row>
    <row r="678" spans="1:8">
      <c r="A678" s="66"/>
      <c r="B678" s="66"/>
      <c r="C678" s="66"/>
      <c r="D678" s="66"/>
      <c r="E678" s="66"/>
      <c r="F678" s="66"/>
      <c r="G678" s="66"/>
      <c r="H678" s="66"/>
    </row>
    <row r="679" spans="1:8">
      <c r="A679" s="66"/>
      <c r="B679" s="66"/>
      <c r="C679" s="66"/>
      <c r="D679" s="66"/>
      <c r="E679" s="66"/>
      <c r="F679" s="66"/>
      <c r="G679" s="66"/>
      <c r="H679" s="66"/>
    </row>
    <row r="680" spans="1:8">
      <c r="A680" s="66"/>
      <c r="B680" s="66"/>
      <c r="C680" s="66"/>
      <c r="D680" s="66"/>
      <c r="E680" s="66"/>
      <c r="F680" s="66"/>
      <c r="G680" s="66"/>
      <c r="H680" s="66"/>
    </row>
    <row r="681" spans="1:8">
      <c r="A681" s="66"/>
      <c r="B681" s="66"/>
      <c r="C681" s="66"/>
      <c r="D681" s="66"/>
      <c r="E681" s="66"/>
      <c r="F681" s="66"/>
      <c r="G681" s="66"/>
      <c r="H681" s="66"/>
    </row>
    <row r="682" spans="1:8">
      <c r="A682" s="66"/>
      <c r="B682" s="66"/>
      <c r="C682" s="66"/>
      <c r="D682" s="66"/>
      <c r="E682" s="66"/>
      <c r="F682" s="66"/>
      <c r="G682" s="66"/>
      <c r="H682" s="66"/>
    </row>
    <row r="683" spans="1:8">
      <c r="A683" s="66"/>
      <c r="B683" s="66"/>
      <c r="C683" s="66"/>
      <c r="D683" s="66"/>
      <c r="E683" s="66"/>
      <c r="F683" s="66"/>
      <c r="G683" s="66"/>
      <c r="H683" s="66"/>
    </row>
    <row r="684" spans="1:8">
      <c r="A684" s="66"/>
      <c r="B684" s="66"/>
      <c r="C684" s="66"/>
      <c r="D684" s="66"/>
      <c r="E684" s="66"/>
      <c r="F684" s="66"/>
      <c r="G684" s="66"/>
      <c r="H684" s="66"/>
    </row>
    <row r="685" spans="1:8">
      <c r="A685" s="66"/>
      <c r="B685" s="66"/>
      <c r="C685" s="66"/>
      <c r="D685" s="66"/>
      <c r="E685" s="66"/>
      <c r="F685" s="66"/>
      <c r="G685" s="66"/>
      <c r="H685" s="66"/>
    </row>
    <row r="686" spans="1:8">
      <c r="A686" s="66"/>
      <c r="B686" s="66"/>
      <c r="C686" s="66"/>
      <c r="D686" s="66"/>
      <c r="E686" s="66"/>
      <c r="F686" s="66"/>
      <c r="G686" s="66"/>
      <c r="H686" s="66"/>
    </row>
    <row r="687" spans="1:8">
      <c r="A687" s="66"/>
      <c r="B687" s="66"/>
      <c r="C687" s="66"/>
      <c r="D687" s="66"/>
      <c r="E687" s="66"/>
      <c r="F687" s="66"/>
      <c r="G687" s="66"/>
      <c r="H687" s="66"/>
    </row>
    <row r="688" spans="1:8">
      <c r="A688" s="66"/>
      <c r="B688" s="66"/>
      <c r="C688" s="66"/>
      <c r="D688" s="66"/>
      <c r="E688" s="66"/>
      <c r="F688" s="66"/>
      <c r="G688" s="66"/>
      <c r="H688" s="66"/>
    </row>
    <row r="689" spans="1:8">
      <c r="A689" s="66"/>
      <c r="B689" s="66"/>
      <c r="C689" s="66"/>
      <c r="D689" s="66"/>
      <c r="E689" s="66"/>
      <c r="F689" s="66"/>
      <c r="G689" s="66"/>
      <c r="H689" s="66"/>
    </row>
    <row r="690" spans="1:8">
      <c r="A690" s="66"/>
      <c r="B690" s="66"/>
      <c r="C690" s="66"/>
      <c r="D690" s="66"/>
      <c r="E690" s="66"/>
      <c r="F690" s="66"/>
      <c r="G690" s="66"/>
      <c r="H690" s="66"/>
    </row>
    <row r="691" spans="1:8">
      <c r="A691" s="66"/>
      <c r="B691" s="66"/>
      <c r="C691" s="66"/>
      <c r="D691" s="66"/>
      <c r="E691" s="66"/>
      <c r="F691" s="66"/>
      <c r="G691" s="66"/>
      <c r="H691" s="66"/>
    </row>
    <row r="692" spans="1:8">
      <c r="A692" s="66"/>
      <c r="B692" s="66"/>
      <c r="C692" s="66"/>
      <c r="D692" s="66"/>
      <c r="E692" s="66"/>
      <c r="F692" s="66"/>
      <c r="G692" s="66"/>
      <c r="H692" s="66"/>
    </row>
    <row r="693" spans="1:8">
      <c r="A693" s="66"/>
      <c r="B693" s="66"/>
      <c r="C693" s="66"/>
      <c r="D693" s="66"/>
      <c r="E693" s="66"/>
      <c r="F693" s="66"/>
      <c r="G693" s="66"/>
      <c r="H693" s="66"/>
    </row>
    <row r="694" spans="1:8">
      <c r="A694" s="66"/>
      <c r="B694" s="66"/>
      <c r="C694" s="66"/>
      <c r="D694" s="66"/>
      <c r="E694" s="66"/>
      <c r="F694" s="66"/>
      <c r="G694" s="66"/>
      <c r="H694" s="66"/>
    </row>
    <row r="695" spans="1:8">
      <c r="A695" s="66"/>
      <c r="B695" s="66"/>
      <c r="C695" s="66"/>
      <c r="D695" s="66"/>
      <c r="E695" s="66"/>
      <c r="F695" s="66"/>
      <c r="G695" s="66"/>
      <c r="H695" s="66"/>
    </row>
    <row r="696" spans="1:8">
      <c r="A696" s="66"/>
      <c r="B696" s="66"/>
      <c r="C696" s="66"/>
      <c r="D696" s="66"/>
      <c r="E696" s="66"/>
      <c r="F696" s="66"/>
      <c r="G696" s="66"/>
      <c r="H696" s="66"/>
    </row>
    <row r="697" spans="1:8">
      <c r="A697" s="66"/>
      <c r="B697" s="66"/>
      <c r="C697" s="66"/>
      <c r="D697" s="66"/>
      <c r="E697" s="66"/>
      <c r="F697" s="66"/>
      <c r="G697" s="66"/>
      <c r="H697" s="66"/>
    </row>
    <row r="698" spans="1:8">
      <c r="A698" s="66"/>
      <c r="B698" s="66"/>
      <c r="C698" s="66"/>
      <c r="D698" s="66"/>
      <c r="E698" s="66"/>
      <c r="F698" s="66"/>
      <c r="G698" s="66"/>
      <c r="H698" s="66"/>
    </row>
    <row r="699" spans="1:8">
      <c r="A699" s="66"/>
      <c r="B699" s="66"/>
      <c r="C699" s="66"/>
      <c r="D699" s="66"/>
      <c r="E699" s="66"/>
      <c r="F699" s="66"/>
      <c r="G699" s="66"/>
      <c r="H699" s="66"/>
    </row>
    <row r="700" spans="1:8">
      <c r="A700" s="66"/>
      <c r="B700" s="66"/>
      <c r="C700" s="66"/>
      <c r="D700" s="66"/>
      <c r="E700" s="66"/>
      <c r="F700" s="66"/>
      <c r="G700" s="66"/>
      <c r="H700" s="66"/>
    </row>
    <row r="701" spans="1:8">
      <c r="A701" s="66"/>
      <c r="B701" s="66"/>
      <c r="C701" s="66"/>
      <c r="D701" s="66"/>
      <c r="E701" s="66"/>
      <c r="F701" s="66"/>
      <c r="G701" s="66"/>
      <c r="H701" s="66"/>
    </row>
    <row r="702" spans="1:8">
      <c r="A702" s="66"/>
      <c r="B702" s="66"/>
      <c r="C702" s="66"/>
      <c r="D702" s="66"/>
      <c r="E702" s="66"/>
      <c r="F702" s="66"/>
      <c r="G702" s="66"/>
      <c r="H702" s="66"/>
    </row>
    <row r="703" spans="1:8">
      <c r="A703" s="66"/>
      <c r="B703" s="66"/>
      <c r="C703" s="66"/>
      <c r="D703" s="66"/>
      <c r="E703" s="66"/>
      <c r="F703" s="66"/>
      <c r="G703" s="66"/>
      <c r="H703" s="66"/>
    </row>
    <row r="704" spans="1:8">
      <c r="A704" s="66"/>
      <c r="B704" s="66"/>
      <c r="C704" s="66"/>
      <c r="D704" s="66"/>
      <c r="E704" s="66"/>
      <c r="F704" s="66"/>
      <c r="G704" s="66"/>
      <c r="H704" s="66"/>
    </row>
    <row r="705" spans="1:8">
      <c r="A705" s="66"/>
      <c r="B705" s="66"/>
      <c r="C705" s="66"/>
      <c r="D705" s="66"/>
      <c r="E705" s="66"/>
      <c r="F705" s="66"/>
      <c r="G705" s="66"/>
      <c r="H705" s="66"/>
    </row>
    <row r="706" spans="1:8">
      <c r="A706" s="66"/>
      <c r="B706" s="66"/>
      <c r="C706" s="66"/>
      <c r="D706" s="66"/>
      <c r="E706" s="66"/>
      <c r="F706" s="66"/>
      <c r="G706" s="66"/>
      <c r="H706" s="66"/>
    </row>
    <row r="707" spans="1:8">
      <c r="A707" s="66"/>
      <c r="B707" s="66"/>
      <c r="C707" s="66"/>
      <c r="D707" s="66"/>
      <c r="E707" s="66"/>
      <c r="F707" s="66"/>
      <c r="G707" s="66"/>
      <c r="H707" s="66"/>
    </row>
    <row r="708" spans="1:8">
      <c r="A708" s="66"/>
      <c r="B708" s="66"/>
      <c r="C708" s="66"/>
      <c r="D708" s="66"/>
      <c r="E708" s="66"/>
      <c r="F708" s="66"/>
      <c r="G708" s="66"/>
      <c r="H708" s="66"/>
    </row>
    <row r="709" spans="1:8">
      <c r="A709" s="66"/>
      <c r="B709" s="66"/>
      <c r="C709" s="66"/>
      <c r="D709" s="66"/>
      <c r="E709" s="66"/>
      <c r="F709" s="66"/>
      <c r="G709" s="66"/>
      <c r="H709" s="66"/>
    </row>
    <row r="710" spans="1:8">
      <c r="A710" s="66"/>
      <c r="B710" s="66"/>
      <c r="C710" s="66"/>
      <c r="D710" s="66"/>
      <c r="E710" s="66"/>
      <c r="F710" s="66"/>
      <c r="G710" s="66"/>
      <c r="H710" s="66"/>
    </row>
    <row r="711" spans="1:8">
      <c r="A711" s="66"/>
      <c r="B711" s="66"/>
      <c r="C711" s="66"/>
      <c r="D711" s="66"/>
      <c r="E711" s="66"/>
      <c r="F711" s="66"/>
      <c r="G711" s="66"/>
      <c r="H711" s="66"/>
    </row>
    <row r="712" spans="1:8">
      <c r="A712" s="66"/>
      <c r="B712" s="66"/>
      <c r="C712" s="66"/>
      <c r="D712" s="66"/>
      <c r="E712" s="66"/>
      <c r="F712" s="66"/>
      <c r="G712" s="66"/>
      <c r="H712" s="66"/>
    </row>
    <row r="713" spans="1:8">
      <c r="A713" s="66"/>
      <c r="B713" s="66"/>
      <c r="C713" s="66"/>
      <c r="D713" s="66"/>
      <c r="E713" s="66"/>
      <c r="F713" s="66"/>
      <c r="G713" s="66"/>
      <c r="H713" s="66"/>
    </row>
    <row r="714" spans="1:8">
      <c r="A714" s="66"/>
      <c r="B714" s="66"/>
      <c r="C714" s="66"/>
      <c r="D714" s="66"/>
      <c r="E714" s="66"/>
      <c r="F714" s="66"/>
      <c r="G714" s="66"/>
      <c r="H714" s="66"/>
    </row>
    <row r="715" spans="1:8">
      <c r="A715" s="66"/>
      <c r="B715" s="66"/>
      <c r="C715" s="66"/>
      <c r="D715" s="66"/>
      <c r="E715" s="66"/>
      <c r="F715" s="66"/>
      <c r="G715" s="66"/>
      <c r="H715" s="66"/>
    </row>
    <row r="716" spans="1:8">
      <c r="A716" s="66"/>
      <c r="B716" s="66"/>
      <c r="C716" s="66"/>
      <c r="D716" s="66"/>
      <c r="E716" s="66"/>
      <c r="F716" s="66"/>
      <c r="G716" s="66"/>
      <c r="H716" s="66"/>
    </row>
    <row r="717" spans="1:8">
      <c r="A717" s="66"/>
      <c r="B717" s="66"/>
      <c r="C717" s="66"/>
      <c r="D717" s="66"/>
      <c r="E717" s="66"/>
      <c r="F717" s="66"/>
      <c r="G717" s="66"/>
      <c r="H717" s="66"/>
    </row>
    <row r="718" spans="1:8">
      <c r="A718" s="66"/>
      <c r="B718" s="66"/>
      <c r="C718" s="66"/>
      <c r="D718" s="66"/>
      <c r="E718" s="66"/>
      <c r="F718" s="66"/>
      <c r="G718" s="66"/>
      <c r="H718" s="66"/>
    </row>
    <row r="719" spans="1:8">
      <c r="A719" s="66"/>
      <c r="B719" s="66"/>
      <c r="C719" s="66"/>
      <c r="D719" s="66"/>
      <c r="E719" s="66"/>
      <c r="F719" s="66"/>
      <c r="G719" s="66"/>
      <c r="H719" s="66"/>
    </row>
    <row r="720" spans="1:8">
      <c r="A720" s="66"/>
      <c r="B720" s="66"/>
      <c r="C720" s="66"/>
      <c r="D720" s="66"/>
      <c r="E720" s="66"/>
      <c r="F720" s="66"/>
      <c r="G720" s="66"/>
      <c r="H720" s="66"/>
    </row>
    <row r="721" spans="1:8">
      <c r="A721" s="66"/>
      <c r="B721" s="66"/>
      <c r="C721" s="66"/>
      <c r="D721" s="66"/>
      <c r="E721" s="66"/>
      <c r="F721" s="66"/>
      <c r="G721" s="66"/>
      <c r="H721" s="66"/>
    </row>
    <row r="722" spans="1:8">
      <c r="A722" s="66"/>
      <c r="B722" s="66"/>
      <c r="C722" s="66"/>
      <c r="D722" s="66"/>
      <c r="E722" s="66"/>
      <c r="F722" s="66"/>
      <c r="G722" s="66"/>
      <c r="H722" s="66"/>
    </row>
    <row r="723" spans="1:8">
      <c r="A723" s="66"/>
      <c r="B723" s="66"/>
      <c r="C723" s="66"/>
      <c r="D723" s="66"/>
      <c r="E723" s="66"/>
      <c r="F723" s="66"/>
      <c r="G723" s="66"/>
      <c r="H723" s="66"/>
    </row>
    <row r="724" spans="1:8">
      <c r="A724" s="66"/>
      <c r="B724" s="66"/>
      <c r="C724" s="66"/>
      <c r="D724" s="66"/>
      <c r="E724" s="66"/>
      <c r="F724" s="66"/>
      <c r="G724" s="66"/>
      <c r="H724" s="66"/>
    </row>
    <row r="725" spans="1:8">
      <c r="A725" s="66"/>
      <c r="B725" s="66"/>
      <c r="C725" s="66"/>
      <c r="D725" s="66"/>
      <c r="E725" s="66"/>
      <c r="F725" s="66"/>
      <c r="G725" s="66"/>
      <c r="H725" s="66"/>
    </row>
    <row r="726" spans="1:8">
      <c r="A726" s="66"/>
      <c r="B726" s="66"/>
      <c r="C726" s="66"/>
      <c r="D726" s="66"/>
      <c r="E726" s="66"/>
      <c r="F726" s="66"/>
      <c r="G726" s="66"/>
      <c r="H726" s="66"/>
    </row>
    <row r="727" spans="1:8">
      <c r="A727" s="66"/>
      <c r="B727" s="66"/>
      <c r="C727" s="66"/>
      <c r="D727" s="66"/>
      <c r="E727" s="66"/>
      <c r="F727" s="66"/>
      <c r="G727" s="66"/>
      <c r="H727" s="66"/>
    </row>
    <row r="728" spans="1:8">
      <c r="A728" s="66"/>
      <c r="B728" s="66"/>
      <c r="C728" s="66"/>
      <c r="D728" s="66"/>
      <c r="E728" s="66"/>
      <c r="F728" s="66"/>
      <c r="G728" s="66"/>
      <c r="H728" s="66"/>
    </row>
    <row r="729" spans="1:8">
      <c r="A729" s="66"/>
      <c r="B729" s="66"/>
      <c r="C729" s="66"/>
      <c r="D729" s="66"/>
      <c r="E729" s="66"/>
      <c r="F729" s="66"/>
      <c r="G729" s="66"/>
      <c r="H729" s="66"/>
    </row>
    <row r="730" spans="1:8">
      <c r="A730" s="66"/>
      <c r="B730" s="66"/>
      <c r="C730" s="66"/>
      <c r="D730" s="66"/>
      <c r="E730" s="66"/>
      <c r="F730" s="66"/>
      <c r="G730" s="66"/>
      <c r="H730" s="66"/>
    </row>
    <row r="731" spans="1:8">
      <c r="A731" s="66"/>
      <c r="B731" s="66"/>
      <c r="C731" s="66"/>
      <c r="D731" s="66"/>
      <c r="E731" s="66"/>
      <c r="F731" s="66"/>
      <c r="G731" s="66"/>
      <c r="H731" s="66"/>
    </row>
    <row r="732" spans="1:8">
      <c r="A732" s="66"/>
      <c r="B732" s="66"/>
      <c r="C732" s="66"/>
      <c r="D732" s="66"/>
      <c r="E732" s="66"/>
      <c r="F732" s="66"/>
      <c r="G732" s="66"/>
      <c r="H732" s="66"/>
    </row>
    <row r="733" spans="1:8">
      <c r="A733" s="66"/>
      <c r="B733" s="66"/>
      <c r="C733" s="66"/>
      <c r="D733" s="66"/>
      <c r="E733" s="66"/>
      <c r="F733" s="66"/>
      <c r="G733" s="66"/>
      <c r="H733" s="66"/>
    </row>
    <row r="734" spans="1:8">
      <c r="A734" s="66"/>
      <c r="B734" s="66"/>
      <c r="C734" s="66"/>
      <c r="D734" s="66"/>
      <c r="E734" s="66"/>
      <c r="F734" s="66"/>
      <c r="G734" s="66"/>
      <c r="H734" s="66"/>
    </row>
    <row r="735" spans="1:8">
      <c r="A735" s="66"/>
      <c r="B735" s="66"/>
      <c r="C735" s="66"/>
      <c r="D735" s="66"/>
      <c r="E735" s="66"/>
      <c r="F735" s="66"/>
      <c r="G735" s="66"/>
      <c r="H735" s="66"/>
    </row>
    <row r="736" spans="1:8">
      <c r="A736" s="66"/>
      <c r="B736" s="66"/>
      <c r="C736" s="66"/>
      <c r="D736" s="66"/>
      <c r="E736" s="66"/>
      <c r="F736" s="66"/>
      <c r="G736" s="66"/>
      <c r="H736" s="66"/>
    </row>
    <row r="737" spans="1:8">
      <c r="A737" s="66"/>
      <c r="B737" s="66"/>
      <c r="C737" s="66"/>
      <c r="D737" s="66"/>
      <c r="E737" s="66"/>
      <c r="F737" s="66"/>
      <c r="G737" s="66"/>
      <c r="H737" s="66"/>
    </row>
    <row r="738" spans="1:8">
      <c r="A738" s="66"/>
      <c r="B738" s="66"/>
      <c r="C738" s="66"/>
      <c r="D738" s="66"/>
      <c r="E738" s="66"/>
      <c r="F738" s="66"/>
      <c r="G738" s="66"/>
      <c r="H738" s="66"/>
    </row>
    <row r="739" spans="1:8">
      <c r="A739" s="66"/>
      <c r="B739" s="66"/>
      <c r="C739" s="66"/>
      <c r="D739" s="66"/>
      <c r="E739" s="66"/>
      <c r="F739" s="66"/>
      <c r="G739" s="66"/>
      <c r="H739" s="66"/>
    </row>
    <row r="740" spans="1:8">
      <c r="A740" s="66"/>
      <c r="B740" s="66"/>
      <c r="C740" s="66"/>
      <c r="D740" s="66"/>
      <c r="E740" s="66"/>
      <c r="F740" s="66"/>
      <c r="G740" s="66"/>
      <c r="H740" s="66"/>
    </row>
    <row r="741" spans="1:8">
      <c r="A741" s="66"/>
      <c r="B741" s="66"/>
      <c r="C741" s="66"/>
      <c r="D741" s="66"/>
      <c r="E741" s="66"/>
      <c r="F741" s="66"/>
      <c r="G741" s="66"/>
      <c r="H741" s="66"/>
    </row>
    <row r="742" spans="1:8">
      <c r="A742" s="66"/>
      <c r="B742" s="66"/>
      <c r="C742" s="66"/>
      <c r="D742" s="66"/>
      <c r="E742" s="66"/>
      <c r="F742" s="66"/>
      <c r="G742" s="66"/>
      <c r="H742" s="66"/>
    </row>
    <row r="743" spans="1:8">
      <c r="A743" s="66"/>
      <c r="B743" s="66"/>
      <c r="C743" s="66"/>
      <c r="D743" s="66"/>
      <c r="E743" s="66"/>
      <c r="F743" s="66"/>
      <c r="G743" s="66"/>
      <c r="H743" s="66"/>
    </row>
    <row r="744" spans="1:8">
      <c r="A744" s="66"/>
      <c r="B744" s="66"/>
      <c r="C744" s="66"/>
      <c r="D744" s="66"/>
      <c r="E744" s="66"/>
      <c r="F744" s="66"/>
      <c r="G744" s="66"/>
      <c r="H744" s="66"/>
    </row>
    <row r="745" spans="1:8">
      <c r="A745" s="66"/>
      <c r="B745" s="66"/>
      <c r="C745" s="66"/>
      <c r="D745" s="66"/>
      <c r="E745" s="66"/>
      <c r="F745" s="66"/>
      <c r="G745" s="66"/>
      <c r="H745" s="66"/>
    </row>
    <row r="746" spans="1:8">
      <c r="A746" s="66"/>
      <c r="B746" s="66"/>
      <c r="C746" s="66"/>
      <c r="D746" s="66"/>
      <c r="E746" s="66"/>
      <c r="F746" s="66"/>
      <c r="G746" s="66"/>
      <c r="H746" s="66"/>
    </row>
    <row r="747" spans="1:8">
      <c r="A747" s="66"/>
      <c r="B747" s="66"/>
      <c r="C747" s="66"/>
      <c r="D747" s="66"/>
      <c r="E747" s="66"/>
      <c r="F747" s="66"/>
      <c r="G747" s="66"/>
      <c r="H747" s="66"/>
    </row>
    <row r="748" spans="1:8">
      <c r="A748" s="66"/>
      <c r="B748" s="66"/>
      <c r="C748" s="66"/>
      <c r="D748" s="66"/>
      <c r="E748" s="66"/>
      <c r="F748" s="66"/>
      <c r="G748" s="66"/>
      <c r="H748" s="66"/>
    </row>
    <row r="749" spans="1:8">
      <c r="A749" s="66"/>
      <c r="B749" s="66"/>
      <c r="C749" s="66"/>
      <c r="D749" s="66"/>
      <c r="E749" s="66"/>
      <c r="F749" s="66"/>
      <c r="G749" s="66"/>
      <c r="H749" s="66"/>
    </row>
    <row r="750" spans="1:8">
      <c r="A750" s="66"/>
      <c r="B750" s="66"/>
      <c r="C750" s="66"/>
      <c r="D750" s="66"/>
      <c r="E750" s="66"/>
      <c r="F750" s="66"/>
      <c r="G750" s="66"/>
      <c r="H750" s="66"/>
    </row>
    <row r="751" spans="1:8">
      <c r="A751" s="66"/>
      <c r="B751" s="66"/>
      <c r="C751" s="66"/>
      <c r="D751" s="66"/>
      <c r="E751" s="66"/>
      <c r="F751" s="66"/>
      <c r="G751" s="66"/>
      <c r="H751" s="66"/>
    </row>
    <row r="752" spans="1:8">
      <c r="A752" s="66"/>
      <c r="B752" s="66"/>
      <c r="C752" s="66"/>
      <c r="D752" s="66"/>
      <c r="E752" s="66"/>
      <c r="F752" s="66"/>
      <c r="G752" s="66"/>
      <c r="H752" s="66"/>
    </row>
    <row r="753" spans="1:8">
      <c r="A753" s="66"/>
      <c r="B753" s="66"/>
      <c r="C753" s="66"/>
      <c r="D753" s="66"/>
      <c r="E753" s="66"/>
      <c r="F753" s="66"/>
      <c r="G753" s="66"/>
      <c r="H753" s="66"/>
    </row>
    <row r="754" spans="1:8">
      <c r="A754" s="66"/>
      <c r="B754" s="66"/>
      <c r="C754" s="66"/>
      <c r="D754" s="66"/>
      <c r="E754" s="66"/>
      <c r="F754" s="66"/>
      <c r="G754" s="66"/>
      <c r="H754" s="66"/>
    </row>
    <row r="755" spans="1:8">
      <c r="A755" s="66"/>
      <c r="B755" s="66"/>
      <c r="C755" s="66"/>
      <c r="D755" s="66"/>
      <c r="E755" s="66"/>
      <c r="F755" s="66"/>
      <c r="G755" s="66"/>
      <c r="H755" s="66"/>
    </row>
    <row r="756" spans="1:8">
      <c r="A756" s="66"/>
      <c r="B756" s="66"/>
      <c r="C756" s="66"/>
      <c r="D756" s="66"/>
      <c r="E756" s="66"/>
      <c r="F756" s="66"/>
      <c r="G756" s="66"/>
      <c r="H756" s="66"/>
    </row>
    <row r="757" spans="1:8">
      <c r="A757" s="66"/>
      <c r="B757" s="66"/>
      <c r="C757" s="66"/>
      <c r="D757" s="66"/>
      <c r="E757" s="66"/>
      <c r="F757" s="66"/>
      <c r="G757" s="66"/>
      <c r="H757" s="66"/>
    </row>
    <row r="758" spans="1:8">
      <c r="A758" s="66"/>
      <c r="B758" s="66"/>
      <c r="C758" s="66"/>
      <c r="D758" s="66"/>
      <c r="E758" s="66"/>
      <c r="F758" s="66"/>
      <c r="G758" s="66"/>
      <c r="H758" s="66"/>
    </row>
    <row r="759" spans="1:8">
      <c r="A759" s="66"/>
      <c r="B759" s="66"/>
      <c r="C759" s="66"/>
      <c r="D759" s="66"/>
      <c r="E759" s="66"/>
      <c r="F759" s="66"/>
      <c r="G759" s="66"/>
      <c r="H759" s="66"/>
    </row>
    <row r="760" spans="1:8">
      <c r="A760" s="66"/>
      <c r="B760" s="66"/>
      <c r="C760" s="66"/>
      <c r="D760" s="66"/>
      <c r="E760" s="66"/>
      <c r="F760" s="66"/>
      <c r="G760" s="66"/>
      <c r="H760" s="66"/>
    </row>
    <row r="761" spans="1:8">
      <c r="A761" s="66"/>
      <c r="B761" s="66"/>
      <c r="C761" s="66"/>
      <c r="D761" s="66"/>
      <c r="E761" s="66"/>
      <c r="F761" s="66"/>
      <c r="G761" s="66"/>
      <c r="H761" s="66"/>
    </row>
    <row r="762" spans="1:8">
      <c r="A762" s="66"/>
      <c r="B762" s="66"/>
      <c r="C762" s="66"/>
      <c r="D762" s="66"/>
      <c r="E762" s="66"/>
      <c r="F762" s="66"/>
      <c r="G762" s="66"/>
      <c r="H762" s="66"/>
    </row>
    <row r="763" spans="1:8">
      <c r="A763" s="66"/>
      <c r="B763" s="66"/>
      <c r="C763" s="66"/>
      <c r="D763" s="66"/>
      <c r="E763" s="66"/>
      <c r="F763" s="66"/>
      <c r="G763" s="66"/>
      <c r="H763" s="66"/>
    </row>
    <row r="764" spans="1:8">
      <c r="A764" s="66"/>
      <c r="B764" s="66"/>
      <c r="C764" s="66"/>
      <c r="D764" s="66"/>
      <c r="E764" s="66"/>
      <c r="F764" s="66"/>
      <c r="G764" s="66"/>
      <c r="H764" s="66"/>
    </row>
    <row r="765" spans="1:8">
      <c r="A765" s="66"/>
      <c r="B765" s="66"/>
      <c r="C765" s="66"/>
      <c r="D765" s="66"/>
      <c r="E765" s="66"/>
      <c r="F765" s="66"/>
      <c r="G765" s="66"/>
      <c r="H765" s="66"/>
    </row>
    <row r="766" spans="1:8">
      <c r="A766" s="66"/>
      <c r="B766" s="66"/>
      <c r="C766" s="66"/>
      <c r="D766" s="66"/>
      <c r="E766" s="66"/>
      <c r="F766" s="66"/>
      <c r="G766" s="66"/>
      <c r="H766" s="66"/>
    </row>
    <row r="767" spans="1:8">
      <c r="A767" s="66"/>
      <c r="B767" s="66"/>
      <c r="C767" s="66"/>
      <c r="D767" s="66"/>
      <c r="E767" s="66"/>
      <c r="F767" s="66"/>
      <c r="G767" s="66"/>
      <c r="H767" s="66"/>
    </row>
    <row r="768" spans="1:8">
      <c r="A768" s="66"/>
      <c r="B768" s="66"/>
      <c r="C768" s="66"/>
      <c r="D768" s="66"/>
      <c r="E768" s="66"/>
      <c r="F768" s="66"/>
      <c r="G768" s="66"/>
      <c r="H768" s="66"/>
    </row>
    <row r="769" spans="1:8">
      <c r="A769" s="66"/>
      <c r="B769" s="66"/>
      <c r="C769" s="66"/>
      <c r="D769" s="66"/>
      <c r="E769" s="66"/>
      <c r="F769" s="66"/>
      <c r="G769" s="66"/>
      <c r="H769" s="66"/>
    </row>
    <row r="770" spans="1:8">
      <c r="A770" s="66"/>
      <c r="B770" s="66"/>
      <c r="C770" s="66"/>
      <c r="D770" s="66"/>
      <c r="E770" s="66"/>
      <c r="F770" s="66"/>
      <c r="G770" s="66"/>
      <c r="H770" s="66"/>
    </row>
    <row r="771" spans="1:8">
      <c r="A771" s="66"/>
      <c r="B771" s="66"/>
      <c r="C771" s="66"/>
      <c r="D771" s="66"/>
      <c r="E771" s="66"/>
      <c r="F771" s="66"/>
      <c r="G771" s="66"/>
      <c r="H771" s="66"/>
    </row>
    <row r="772" spans="1:8">
      <c r="A772" s="66"/>
      <c r="B772" s="66"/>
      <c r="C772" s="66"/>
      <c r="D772" s="66"/>
      <c r="E772" s="66"/>
      <c r="F772" s="66"/>
      <c r="G772" s="66"/>
      <c r="H772" s="66"/>
    </row>
    <row r="773" spans="1:8">
      <c r="A773" s="66"/>
      <c r="B773" s="66"/>
      <c r="C773" s="66"/>
      <c r="D773" s="66"/>
      <c r="E773" s="66"/>
      <c r="F773" s="66"/>
      <c r="G773" s="66"/>
      <c r="H773" s="66"/>
    </row>
    <row r="774" spans="1:8">
      <c r="A774" s="66"/>
      <c r="B774" s="66"/>
      <c r="C774" s="66"/>
      <c r="D774" s="66"/>
      <c r="E774" s="66"/>
      <c r="F774" s="66"/>
      <c r="G774" s="66"/>
      <c r="H774" s="66"/>
    </row>
    <row r="775" spans="1:8">
      <c r="A775" s="66"/>
      <c r="B775" s="66"/>
      <c r="C775" s="66"/>
      <c r="D775" s="66"/>
      <c r="E775" s="66"/>
      <c r="F775" s="66"/>
      <c r="G775" s="66"/>
      <c r="H775" s="66"/>
    </row>
    <row r="776" spans="1:8">
      <c r="A776" s="66"/>
      <c r="B776" s="66"/>
      <c r="C776" s="66"/>
      <c r="D776" s="66"/>
      <c r="E776" s="66"/>
      <c r="F776" s="66"/>
      <c r="G776" s="66"/>
      <c r="H776" s="66"/>
    </row>
    <row r="777" spans="1:8">
      <c r="A777" s="66"/>
      <c r="B777" s="66"/>
      <c r="C777" s="66"/>
      <c r="D777" s="66"/>
      <c r="E777" s="66"/>
      <c r="F777" s="66"/>
      <c r="G777" s="66"/>
      <c r="H777" s="66"/>
    </row>
    <row r="778" spans="1:8">
      <c r="A778" s="66"/>
      <c r="B778" s="66"/>
      <c r="C778" s="66"/>
      <c r="D778" s="66"/>
      <c r="E778" s="66"/>
      <c r="F778" s="66"/>
      <c r="G778" s="66"/>
      <c r="H778" s="66"/>
    </row>
    <row r="779" spans="1:8">
      <c r="A779" s="66"/>
      <c r="B779" s="66"/>
      <c r="C779" s="66"/>
      <c r="D779" s="66"/>
      <c r="E779" s="66"/>
      <c r="F779" s="66"/>
      <c r="G779" s="66"/>
      <c r="H779" s="66"/>
    </row>
    <row r="780" spans="1:8">
      <c r="A780" s="66"/>
      <c r="B780" s="66"/>
      <c r="C780" s="66"/>
      <c r="D780" s="66"/>
      <c r="E780" s="66"/>
      <c r="F780" s="66"/>
      <c r="G780" s="66"/>
      <c r="H780" s="66"/>
    </row>
    <row r="781" spans="1:8">
      <c r="A781" s="66"/>
      <c r="B781" s="66"/>
      <c r="C781" s="66"/>
      <c r="D781" s="66"/>
      <c r="E781" s="66"/>
      <c r="F781" s="66"/>
      <c r="G781" s="66"/>
      <c r="H781" s="66"/>
    </row>
    <row r="782" spans="1:8">
      <c r="A782" s="66"/>
      <c r="B782" s="66"/>
      <c r="C782" s="66"/>
      <c r="D782" s="66"/>
      <c r="E782" s="66"/>
      <c r="F782" s="66"/>
      <c r="G782" s="66"/>
      <c r="H782" s="66"/>
    </row>
    <row r="783" spans="1:8">
      <c r="A783" s="66"/>
      <c r="B783" s="66"/>
      <c r="C783" s="66"/>
      <c r="D783" s="66"/>
      <c r="E783" s="66"/>
      <c r="F783" s="66"/>
      <c r="G783" s="66"/>
      <c r="H783" s="66"/>
    </row>
    <row r="784" spans="1:8">
      <c r="A784" s="66"/>
      <c r="B784" s="66"/>
      <c r="C784" s="66"/>
      <c r="D784" s="66"/>
      <c r="E784" s="66"/>
      <c r="F784" s="66"/>
      <c r="G784" s="66"/>
      <c r="H784" s="66"/>
    </row>
    <row r="785" spans="1:8">
      <c r="A785" s="66"/>
      <c r="B785" s="66"/>
      <c r="C785" s="66"/>
      <c r="D785" s="66"/>
      <c r="E785" s="66"/>
      <c r="F785" s="66"/>
      <c r="G785" s="66"/>
      <c r="H785" s="66"/>
    </row>
    <row r="786" spans="1:8">
      <c r="A786" s="66"/>
      <c r="B786" s="66"/>
      <c r="C786" s="66"/>
      <c r="D786" s="66"/>
      <c r="E786" s="66"/>
      <c r="F786" s="66"/>
      <c r="G786" s="66"/>
      <c r="H786" s="66"/>
    </row>
    <row r="787" spans="1:8">
      <c r="A787" s="66"/>
      <c r="B787" s="66"/>
      <c r="C787" s="66"/>
      <c r="D787" s="66"/>
      <c r="E787" s="66"/>
      <c r="F787" s="66"/>
      <c r="G787" s="66"/>
      <c r="H787" s="66"/>
    </row>
    <row r="788" spans="1:8">
      <c r="A788" s="66"/>
      <c r="B788" s="66"/>
      <c r="C788" s="66"/>
      <c r="D788" s="66"/>
      <c r="E788" s="66"/>
      <c r="F788" s="66"/>
      <c r="G788" s="66"/>
      <c r="H788" s="66"/>
    </row>
    <row r="789" spans="1:8">
      <c r="A789" s="66"/>
      <c r="B789" s="66"/>
      <c r="C789" s="66"/>
      <c r="D789" s="66"/>
      <c r="E789" s="66"/>
      <c r="F789" s="66"/>
      <c r="G789" s="66"/>
      <c r="H789" s="66"/>
    </row>
    <row r="790" spans="1:8">
      <c r="A790" s="66"/>
      <c r="B790" s="66"/>
      <c r="C790" s="66"/>
      <c r="D790" s="66"/>
      <c r="E790" s="66"/>
      <c r="F790" s="66"/>
      <c r="G790" s="66"/>
      <c r="H790" s="66"/>
    </row>
    <row r="791" spans="1:8">
      <c r="A791" s="66"/>
      <c r="B791" s="66"/>
      <c r="C791" s="66"/>
      <c r="D791" s="66"/>
      <c r="E791" s="66"/>
      <c r="F791" s="66"/>
      <c r="G791" s="66"/>
      <c r="H791" s="66"/>
    </row>
    <row r="792" spans="1:8">
      <c r="A792" s="66"/>
      <c r="B792" s="66"/>
      <c r="C792" s="66"/>
      <c r="D792" s="66"/>
      <c r="E792" s="66"/>
      <c r="F792" s="66"/>
      <c r="G792" s="66"/>
      <c r="H792" s="66"/>
    </row>
    <row r="793" spans="1:8">
      <c r="A793" s="66"/>
      <c r="B793" s="66"/>
      <c r="C793" s="66"/>
      <c r="D793" s="66"/>
      <c r="E793" s="66"/>
      <c r="F793" s="66"/>
      <c r="G793" s="66"/>
      <c r="H793" s="66"/>
    </row>
    <row r="794" spans="1:8">
      <c r="A794" s="66"/>
      <c r="B794" s="66"/>
      <c r="C794" s="66"/>
      <c r="D794" s="66"/>
      <c r="E794" s="66"/>
      <c r="F794" s="66"/>
      <c r="G794" s="66"/>
      <c r="H794" s="66"/>
    </row>
    <row r="795" spans="1:8">
      <c r="A795" s="66"/>
      <c r="B795" s="66"/>
      <c r="C795" s="66"/>
      <c r="D795" s="66"/>
      <c r="E795" s="66"/>
      <c r="F795" s="66"/>
      <c r="G795" s="66"/>
      <c r="H795" s="66"/>
    </row>
    <row r="796" spans="1:8">
      <c r="A796" s="66"/>
      <c r="B796" s="66"/>
      <c r="C796" s="66"/>
      <c r="D796" s="66"/>
      <c r="E796" s="66"/>
      <c r="F796" s="66"/>
      <c r="G796" s="66"/>
      <c r="H796" s="66"/>
    </row>
    <row r="797" spans="1:8">
      <c r="A797" s="66"/>
      <c r="B797" s="66"/>
      <c r="C797" s="66"/>
      <c r="D797" s="66"/>
      <c r="E797" s="66"/>
      <c r="F797" s="66"/>
      <c r="G797" s="66"/>
      <c r="H797" s="66"/>
    </row>
    <row r="798" spans="1:8">
      <c r="A798" s="66"/>
      <c r="B798" s="66"/>
      <c r="C798" s="66"/>
      <c r="D798" s="66"/>
      <c r="E798" s="66"/>
      <c r="F798" s="66"/>
      <c r="G798" s="66"/>
      <c r="H798" s="66"/>
    </row>
    <row r="799" spans="1:8">
      <c r="A799" s="66"/>
      <c r="B799" s="66"/>
      <c r="C799" s="66"/>
      <c r="D799" s="66"/>
      <c r="E799" s="66"/>
      <c r="F799" s="66"/>
      <c r="G799" s="66"/>
      <c r="H799" s="66"/>
    </row>
    <row r="800" spans="1:8">
      <c r="A800" s="66"/>
      <c r="B800" s="66"/>
      <c r="C800" s="66"/>
      <c r="D800" s="66"/>
      <c r="E800" s="66"/>
      <c r="F800" s="66"/>
      <c r="G800" s="66"/>
      <c r="H800" s="66"/>
    </row>
    <row r="801" spans="1:8">
      <c r="A801" s="66"/>
      <c r="B801" s="66"/>
      <c r="C801" s="66"/>
      <c r="D801" s="66"/>
      <c r="E801" s="66"/>
      <c r="F801" s="66"/>
      <c r="G801" s="66"/>
      <c r="H801" s="66"/>
    </row>
    <row r="802" spans="1:8">
      <c r="A802" s="66"/>
      <c r="B802" s="66"/>
      <c r="C802" s="66"/>
      <c r="D802" s="66"/>
      <c r="E802" s="66"/>
      <c r="F802" s="66"/>
      <c r="G802" s="66"/>
      <c r="H802" s="66"/>
    </row>
    <row r="803" spans="1:8">
      <c r="A803" s="66"/>
      <c r="B803" s="66"/>
      <c r="C803" s="66"/>
      <c r="D803" s="66"/>
      <c r="E803" s="66"/>
      <c r="F803" s="66"/>
      <c r="G803" s="66"/>
      <c r="H803" s="66"/>
    </row>
    <row r="804" spans="1:8">
      <c r="A804" s="66"/>
      <c r="B804" s="66"/>
      <c r="C804" s="66"/>
      <c r="D804" s="66"/>
      <c r="E804" s="66"/>
      <c r="F804" s="66"/>
      <c r="G804" s="66"/>
      <c r="H804" s="66"/>
    </row>
    <row r="805" spans="1:8">
      <c r="A805" s="66"/>
      <c r="B805" s="66"/>
      <c r="C805" s="66"/>
      <c r="D805" s="66"/>
      <c r="E805" s="66"/>
      <c r="F805" s="66"/>
      <c r="G805" s="66"/>
      <c r="H805" s="66"/>
    </row>
    <row r="806" spans="1:8">
      <c r="A806" s="66"/>
      <c r="B806" s="66"/>
      <c r="C806" s="66"/>
      <c r="D806" s="66"/>
      <c r="E806" s="66"/>
      <c r="F806" s="66"/>
      <c r="G806" s="66"/>
      <c r="H806" s="66"/>
    </row>
    <row r="807" spans="1:8">
      <c r="A807" s="66"/>
      <c r="B807" s="66"/>
      <c r="C807" s="66"/>
      <c r="D807" s="66"/>
      <c r="E807" s="66"/>
      <c r="F807" s="66"/>
      <c r="G807" s="66"/>
      <c r="H807" s="66"/>
    </row>
    <row r="808" spans="1:8">
      <c r="A808" s="66"/>
      <c r="B808" s="66"/>
      <c r="C808" s="66"/>
      <c r="D808" s="66"/>
      <c r="E808" s="66"/>
      <c r="F808" s="66"/>
      <c r="G808" s="66"/>
      <c r="H808" s="66"/>
    </row>
    <row r="809" spans="1:8">
      <c r="A809" s="66"/>
      <c r="B809" s="66"/>
      <c r="C809" s="66"/>
      <c r="D809" s="66"/>
      <c r="E809" s="66"/>
      <c r="F809" s="66"/>
      <c r="G809" s="66"/>
      <c r="H809" s="66"/>
    </row>
    <row r="810" spans="1:8">
      <c r="A810" s="66"/>
      <c r="B810" s="66"/>
      <c r="C810" s="66"/>
      <c r="D810" s="66"/>
      <c r="E810" s="66"/>
      <c r="F810" s="66"/>
      <c r="G810" s="66"/>
      <c r="H810" s="66"/>
    </row>
    <row r="811" spans="1:8">
      <c r="A811" s="66"/>
      <c r="B811" s="66"/>
      <c r="C811" s="66"/>
      <c r="D811" s="66"/>
      <c r="E811" s="66"/>
      <c r="F811" s="66"/>
      <c r="G811" s="66"/>
      <c r="H811" s="66"/>
    </row>
    <row r="812" spans="1:8">
      <c r="A812" s="66"/>
      <c r="B812" s="66"/>
      <c r="C812" s="66"/>
      <c r="D812" s="66"/>
      <c r="E812" s="66"/>
      <c r="F812" s="66"/>
      <c r="G812" s="66"/>
      <c r="H812" s="66"/>
    </row>
    <row r="813" spans="1:8">
      <c r="A813" s="66"/>
      <c r="B813" s="66"/>
      <c r="C813" s="66"/>
      <c r="D813" s="66"/>
      <c r="E813" s="66"/>
      <c r="F813" s="66"/>
      <c r="G813" s="66"/>
      <c r="H813" s="66"/>
    </row>
    <row r="814" spans="1:8">
      <c r="A814" s="66"/>
      <c r="B814" s="66"/>
      <c r="C814" s="66"/>
      <c r="D814" s="66"/>
      <c r="E814" s="66"/>
      <c r="F814" s="66"/>
      <c r="G814" s="66"/>
      <c r="H814" s="66"/>
    </row>
    <row r="815" spans="1:8">
      <c r="A815" s="66"/>
      <c r="B815" s="66"/>
      <c r="C815" s="66"/>
      <c r="D815" s="66"/>
      <c r="E815" s="66"/>
      <c r="F815" s="66"/>
      <c r="G815" s="66"/>
      <c r="H815" s="66"/>
    </row>
    <row r="816" spans="1:8">
      <c r="A816" s="66"/>
      <c r="B816" s="66"/>
      <c r="C816" s="66"/>
      <c r="D816" s="66"/>
      <c r="E816" s="66"/>
      <c r="F816" s="66"/>
      <c r="G816" s="66"/>
      <c r="H816" s="66"/>
    </row>
    <row r="817" spans="1:8">
      <c r="A817" s="66"/>
      <c r="B817" s="66"/>
      <c r="C817" s="66"/>
      <c r="D817" s="66"/>
      <c r="E817" s="66"/>
      <c r="F817" s="66"/>
      <c r="G817" s="66"/>
      <c r="H817" s="66"/>
    </row>
    <row r="818" spans="1:8">
      <c r="A818" s="66"/>
      <c r="B818" s="66"/>
      <c r="C818" s="66"/>
      <c r="D818" s="66"/>
      <c r="E818" s="66"/>
      <c r="F818" s="66"/>
      <c r="G818" s="66"/>
      <c r="H818" s="66"/>
    </row>
    <row r="819" spans="1:8">
      <c r="A819" s="66"/>
      <c r="B819" s="66"/>
      <c r="C819" s="66"/>
      <c r="D819" s="66"/>
      <c r="E819" s="66"/>
      <c r="F819" s="66"/>
      <c r="G819" s="66"/>
      <c r="H819" s="66"/>
    </row>
    <row r="820" spans="1:8">
      <c r="A820" s="66"/>
      <c r="B820" s="66"/>
      <c r="C820" s="66"/>
      <c r="D820" s="66"/>
      <c r="E820" s="66"/>
      <c r="F820" s="66"/>
      <c r="G820" s="66"/>
      <c r="H820" s="66"/>
    </row>
    <row r="821" spans="1:8">
      <c r="A821" s="66"/>
      <c r="B821" s="66"/>
      <c r="C821" s="66"/>
      <c r="D821" s="66"/>
      <c r="E821" s="66"/>
      <c r="F821" s="66"/>
      <c r="G821" s="66"/>
      <c r="H821" s="66"/>
    </row>
    <row r="822" spans="1:8">
      <c r="A822" s="66"/>
      <c r="B822" s="66"/>
      <c r="C822" s="66"/>
      <c r="D822" s="66"/>
      <c r="E822" s="66"/>
      <c r="F822" s="66"/>
      <c r="G822" s="66"/>
      <c r="H822" s="66"/>
    </row>
    <row r="823" spans="1:8">
      <c r="A823" s="66"/>
      <c r="B823" s="66"/>
      <c r="C823" s="66"/>
      <c r="D823" s="66"/>
      <c r="E823" s="66"/>
      <c r="F823" s="66"/>
      <c r="G823" s="66"/>
      <c r="H823" s="66"/>
    </row>
    <row r="824" spans="1:8">
      <c r="A824" s="66"/>
      <c r="B824" s="66"/>
      <c r="C824" s="66"/>
      <c r="D824" s="66"/>
      <c r="E824" s="66"/>
      <c r="F824" s="66"/>
      <c r="G824" s="66"/>
      <c r="H824" s="66"/>
    </row>
    <row r="825" spans="1:8">
      <c r="A825" s="66"/>
      <c r="B825" s="66"/>
      <c r="C825" s="66"/>
      <c r="D825" s="66"/>
      <c r="E825" s="66"/>
      <c r="F825" s="66"/>
      <c r="G825" s="66"/>
      <c r="H825" s="66"/>
    </row>
    <row r="826" spans="1:8">
      <c r="A826" s="66"/>
      <c r="B826" s="66"/>
      <c r="C826" s="66"/>
      <c r="D826" s="66"/>
      <c r="E826" s="66"/>
      <c r="F826" s="66"/>
      <c r="G826" s="66"/>
      <c r="H826" s="66"/>
    </row>
    <row r="827" spans="1:8">
      <c r="A827" s="66"/>
      <c r="B827" s="66"/>
      <c r="C827" s="66"/>
      <c r="D827" s="66"/>
      <c r="E827" s="66"/>
      <c r="F827" s="66"/>
      <c r="G827" s="66"/>
      <c r="H827" s="66"/>
    </row>
    <row r="828" spans="1:8">
      <c r="A828" s="66"/>
      <c r="B828" s="66"/>
      <c r="C828" s="66"/>
      <c r="D828" s="66"/>
      <c r="E828" s="66"/>
      <c r="F828" s="66"/>
      <c r="G828" s="66"/>
      <c r="H828" s="66"/>
    </row>
    <row r="829" spans="1:8">
      <c r="A829" s="66"/>
      <c r="B829" s="66"/>
      <c r="C829" s="66"/>
      <c r="D829" s="66"/>
      <c r="E829" s="66"/>
      <c r="F829" s="66"/>
      <c r="G829" s="66"/>
      <c r="H829" s="66"/>
    </row>
    <row r="830" spans="1:8">
      <c r="A830" s="66"/>
      <c r="B830" s="66"/>
      <c r="C830" s="66"/>
      <c r="D830" s="66"/>
      <c r="E830" s="66"/>
      <c r="F830" s="66"/>
      <c r="G830" s="66"/>
      <c r="H830" s="66"/>
    </row>
    <row r="831" spans="1:8">
      <c r="A831" s="66"/>
      <c r="B831" s="66"/>
      <c r="C831" s="66"/>
      <c r="D831" s="66"/>
      <c r="E831" s="66"/>
      <c r="F831" s="66"/>
      <c r="G831" s="66"/>
      <c r="H831" s="66"/>
    </row>
    <row r="832" spans="1:8">
      <c r="A832" s="66"/>
      <c r="B832" s="66"/>
      <c r="C832" s="66"/>
      <c r="D832" s="66"/>
      <c r="E832" s="66"/>
      <c r="F832" s="66"/>
      <c r="G832" s="66"/>
      <c r="H832" s="66"/>
    </row>
    <row r="833" spans="1:8">
      <c r="A833" s="66"/>
      <c r="B833" s="66"/>
      <c r="C833" s="66"/>
      <c r="D833" s="66"/>
      <c r="E833" s="66"/>
      <c r="F833" s="66"/>
      <c r="G833" s="66"/>
      <c r="H833" s="66"/>
    </row>
    <row r="834" spans="1:8">
      <c r="A834" s="66"/>
      <c r="B834" s="66"/>
      <c r="C834" s="66"/>
      <c r="D834" s="66"/>
      <c r="E834" s="66"/>
      <c r="F834" s="66"/>
      <c r="G834" s="66"/>
      <c r="H834" s="66"/>
    </row>
    <row r="835" spans="1:8">
      <c r="A835" s="66"/>
      <c r="B835" s="66"/>
      <c r="C835" s="66"/>
      <c r="D835" s="66"/>
      <c r="E835" s="66"/>
      <c r="F835" s="66"/>
      <c r="G835" s="66"/>
      <c r="H835" s="66"/>
    </row>
    <row r="836" spans="1:8">
      <c r="A836" s="66"/>
      <c r="B836" s="66"/>
      <c r="C836" s="66"/>
      <c r="D836" s="66"/>
      <c r="E836" s="66"/>
      <c r="F836" s="66"/>
      <c r="G836" s="66"/>
      <c r="H836" s="66"/>
    </row>
    <row r="837" spans="1:8">
      <c r="A837" s="66"/>
      <c r="B837" s="66"/>
      <c r="C837" s="66"/>
      <c r="D837" s="66"/>
      <c r="E837" s="66"/>
      <c r="F837" s="66"/>
      <c r="G837" s="66"/>
      <c r="H837" s="66"/>
    </row>
    <row r="838" spans="1:8">
      <c r="A838" s="66"/>
      <c r="B838" s="66"/>
      <c r="C838" s="66"/>
      <c r="D838" s="66"/>
      <c r="E838" s="66"/>
      <c r="F838" s="66"/>
      <c r="G838" s="66"/>
      <c r="H838" s="66"/>
    </row>
    <row r="839" spans="1:8">
      <c r="A839" s="66"/>
      <c r="B839" s="66"/>
      <c r="C839" s="66"/>
      <c r="D839" s="66"/>
      <c r="E839" s="66"/>
      <c r="F839" s="66"/>
      <c r="G839" s="66"/>
      <c r="H839" s="66"/>
    </row>
    <row r="840" spans="1:8">
      <c r="A840" s="66"/>
      <c r="B840" s="66"/>
      <c r="C840" s="66"/>
      <c r="D840" s="66"/>
      <c r="E840" s="66"/>
      <c r="F840" s="66"/>
      <c r="G840" s="66"/>
      <c r="H840" s="66"/>
    </row>
    <row r="841" spans="1:8">
      <c r="A841" s="66"/>
      <c r="B841" s="66"/>
      <c r="C841" s="66"/>
      <c r="D841" s="66"/>
      <c r="E841" s="66"/>
      <c r="F841" s="66"/>
      <c r="G841" s="66"/>
      <c r="H841" s="66"/>
    </row>
    <row r="842" spans="1:8">
      <c r="A842" s="66"/>
      <c r="B842" s="66"/>
      <c r="C842" s="66"/>
      <c r="D842" s="66"/>
      <c r="E842" s="66"/>
      <c r="F842" s="66"/>
      <c r="G842" s="66"/>
      <c r="H842" s="66"/>
    </row>
    <row r="843" spans="1:8">
      <c r="A843" s="66"/>
      <c r="B843" s="66"/>
      <c r="C843" s="66"/>
      <c r="D843" s="66"/>
      <c r="E843" s="66"/>
      <c r="F843" s="66"/>
      <c r="G843" s="66"/>
      <c r="H843" s="66"/>
    </row>
    <row r="844" spans="1:8">
      <c r="A844" s="66"/>
      <c r="B844" s="66"/>
      <c r="C844" s="66"/>
      <c r="D844" s="66"/>
      <c r="E844" s="66"/>
      <c r="F844" s="66"/>
      <c r="G844" s="66"/>
      <c r="H844" s="66"/>
    </row>
    <row r="845" spans="1:8">
      <c r="A845" s="66"/>
      <c r="B845" s="66"/>
      <c r="C845" s="66"/>
      <c r="D845" s="66"/>
      <c r="E845" s="66"/>
      <c r="F845" s="66"/>
      <c r="G845" s="66"/>
      <c r="H845" s="66"/>
    </row>
    <row r="846" spans="1:8">
      <c r="A846" s="66"/>
      <c r="B846" s="66"/>
      <c r="C846" s="66"/>
      <c r="D846" s="66"/>
      <c r="E846" s="66"/>
      <c r="F846" s="66"/>
      <c r="G846" s="66"/>
      <c r="H846" s="66"/>
    </row>
    <row r="847" spans="1:8">
      <c r="A847" s="66"/>
      <c r="B847" s="66"/>
      <c r="C847" s="66"/>
      <c r="D847" s="66"/>
      <c r="E847" s="66"/>
      <c r="F847" s="66"/>
      <c r="G847" s="66"/>
      <c r="H847" s="66"/>
    </row>
    <row r="848" spans="1:8">
      <c r="A848" s="66"/>
      <c r="B848" s="66"/>
      <c r="C848" s="66"/>
      <c r="D848" s="66"/>
      <c r="E848" s="66"/>
      <c r="F848" s="66"/>
      <c r="G848" s="66"/>
      <c r="H848" s="66"/>
    </row>
    <row r="849" spans="1:8">
      <c r="A849" s="66"/>
      <c r="B849" s="66"/>
      <c r="C849" s="66"/>
      <c r="D849" s="66"/>
      <c r="E849" s="66"/>
      <c r="F849" s="66"/>
      <c r="G849" s="66"/>
      <c r="H849" s="66"/>
    </row>
    <row r="850" spans="1:8">
      <c r="A850" s="66"/>
      <c r="B850" s="66"/>
      <c r="C850" s="66"/>
      <c r="D850" s="66"/>
      <c r="E850" s="66"/>
      <c r="F850" s="66"/>
      <c r="G850" s="66"/>
      <c r="H850" s="66"/>
    </row>
    <row r="851" spans="1:8">
      <c r="A851" s="66"/>
      <c r="B851" s="66"/>
      <c r="C851" s="66"/>
      <c r="D851" s="66"/>
      <c r="E851" s="66"/>
      <c r="F851" s="66"/>
      <c r="G851" s="66"/>
      <c r="H851" s="66"/>
    </row>
    <row r="852" spans="1:8">
      <c r="A852" s="66"/>
      <c r="B852" s="66"/>
      <c r="C852" s="66"/>
      <c r="D852" s="66"/>
      <c r="E852" s="66"/>
      <c r="F852" s="66"/>
      <c r="G852" s="66"/>
      <c r="H852" s="66"/>
    </row>
    <row r="853" spans="1:8">
      <c r="A853" s="66"/>
      <c r="B853" s="66"/>
      <c r="C853" s="66"/>
      <c r="D853" s="66"/>
      <c r="E853" s="66"/>
      <c r="F853" s="66"/>
      <c r="G853" s="66"/>
      <c r="H853" s="66"/>
    </row>
    <row r="854" spans="1:8">
      <c r="A854" s="66"/>
      <c r="B854" s="66"/>
      <c r="C854" s="66"/>
      <c r="D854" s="66"/>
      <c r="E854" s="66"/>
      <c r="F854" s="66"/>
      <c r="G854" s="66"/>
      <c r="H854" s="66"/>
    </row>
    <row r="855" spans="1:8">
      <c r="A855" s="66"/>
      <c r="B855" s="66"/>
      <c r="C855" s="66"/>
      <c r="D855" s="66"/>
      <c r="E855" s="66"/>
      <c r="F855" s="66"/>
      <c r="G855" s="66"/>
      <c r="H855" s="66"/>
    </row>
    <row r="856" spans="1:8">
      <c r="A856" s="66"/>
      <c r="B856" s="66"/>
      <c r="C856" s="66"/>
      <c r="D856" s="66"/>
      <c r="E856" s="66"/>
      <c r="F856" s="66"/>
      <c r="G856" s="66"/>
      <c r="H856" s="66"/>
    </row>
    <row r="857" spans="1:8">
      <c r="A857" s="66"/>
      <c r="B857" s="66"/>
      <c r="C857" s="66"/>
      <c r="D857" s="66"/>
      <c r="E857" s="66"/>
      <c r="F857" s="66"/>
      <c r="G857" s="66"/>
      <c r="H857" s="66"/>
    </row>
    <row r="858" spans="1:8">
      <c r="A858" s="66"/>
      <c r="B858" s="66"/>
      <c r="C858" s="66"/>
      <c r="D858" s="66"/>
      <c r="E858" s="66"/>
      <c r="F858" s="66"/>
      <c r="G858" s="66"/>
      <c r="H858" s="66"/>
    </row>
    <row r="859" spans="1:8">
      <c r="A859" s="66"/>
      <c r="B859" s="66"/>
      <c r="C859" s="66"/>
      <c r="D859" s="66"/>
      <c r="E859" s="66"/>
      <c r="F859" s="66"/>
      <c r="G859" s="66"/>
      <c r="H859" s="66"/>
    </row>
    <row r="860" spans="1:8">
      <c r="A860" s="66"/>
      <c r="B860" s="66"/>
      <c r="C860" s="66"/>
      <c r="D860" s="66"/>
      <c r="E860" s="66"/>
      <c r="F860" s="66"/>
      <c r="G860" s="66"/>
      <c r="H860" s="66"/>
    </row>
    <row r="861" spans="1:8">
      <c r="A861" s="66"/>
      <c r="B861" s="66"/>
      <c r="C861" s="66"/>
      <c r="D861" s="66"/>
      <c r="E861" s="66"/>
      <c r="F861" s="66"/>
      <c r="G861" s="66"/>
      <c r="H861" s="66"/>
    </row>
    <row r="862" spans="1:8">
      <c r="A862" s="66"/>
      <c r="B862" s="66"/>
      <c r="C862" s="66"/>
      <c r="D862" s="66"/>
      <c r="E862" s="66"/>
      <c r="F862" s="66"/>
      <c r="G862" s="66"/>
      <c r="H862" s="66"/>
    </row>
    <row r="863" spans="1:8">
      <c r="A863" s="66"/>
      <c r="B863" s="66"/>
      <c r="C863" s="66"/>
      <c r="D863" s="66"/>
      <c r="E863" s="66"/>
      <c r="F863" s="66"/>
      <c r="G863" s="66"/>
      <c r="H863" s="66"/>
    </row>
    <row r="864" spans="1:8">
      <c r="A864" s="66"/>
      <c r="B864" s="66"/>
      <c r="C864" s="66"/>
      <c r="D864" s="66"/>
      <c r="E864" s="66"/>
      <c r="F864" s="66"/>
      <c r="G864" s="66"/>
      <c r="H864" s="66"/>
    </row>
    <row r="865" spans="1:8">
      <c r="A865" s="66"/>
      <c r="B865" s="66"/>
      <c r="C865" s="66"/>
      <c r="D865" s="66"/>
      <c r="E865" s="66"/>
      <c r="F865" s="66"/>
      <c r="G865" s="66"/>
      <c r="H865" s="66"/>
    </row>
    <row r="866" spans="1:8">
      <c r="A866" s="66"/>
      <c r="B866" s="66"/>
      <c r="C866" s="66"/>
      <c r="D866" s="66"/>
      <c r="E866" s="66"/>
      <c r="F866" s="66"/>
      <c r="G866" s="66"/>
      <c r="H866" s="66"/>
    </row>
    <row r="867" spans="1:8">
      <c r="A867" s="66"/>
      <c r="B867" s="66"/>
      <c r="C867" s="66"/>
      <c r="D867" s="66"/>
      <c r="E867" s="66"/>
      <c r="F867" s="66"/>
      <c r="G867" s="66"/>
      <c r="H867" s="66"/>
    </row>
    <row r="868" spans="1:8">
      <c r="A868" s="66"/>
      <c r="B868" s="66"/>
      <c r="C868" s="66"/>
      <c r="D868" s="66"/>
      <c r="E868" s="66"/>
      <c r="F868" s="66"/>
      <c r="G868" s="66"/>
      <c r="H868" s="66"/>
    </row>
    <row r="869" spans="1:8">
      <c r="A869" s="66"/>
      <c r="B869" s="66"/>
      <c r="C869" s="66"/>
      <c r="D869" s="66"/>
      <c r="E869" s="66"/>
      <c r="F869" s="66"/>
      <c r="G869" s="66"/>
      <c r="H869" s="66"/>
    </row>
    <row r="870" spans="1:8">
      <c r="A870" s="66"/>
      <c r="B870" s="66"/>
      <c r="C870" s="66"/>
      <c r="D870" s="66"/>
      <c r="E870" s="66"/>
      <c r="F870" s="66"/>
      <c r="G870" s="66"/>
      <c r="H870" s="66"/>
    </row>
    <row r="871" spans="1:8">
      <c r="A871" s="66"/>
      <c r="B871" s="66"/>
      <c r="C871" s="66"/>
      <c r="D871" s="66"/>
      <c r="E871" s="66"/>
      <c r="F871" s="66"/>
      <c r="G871" s="66"/>
      <c r="H871" s="66"/>
    </row>
    <row r="872" spans="1:8">
      <c r="A872" s="66"/>
      <c r="B872" s="66"/>
      <c r="C872" s="66"/>
      <c r="D872" s="66"/>
      <c r="E872" s="66"/>
      <c r="F872" s="66"/>
      <c r="G872" s="66"/>
      <c r="H872" s="66"/>
    </row>
    <row r="873" spans="1:8">
      <c r="A873" s="66"/>
      <c r="B873" s="66"/>
      <c r="C873" s="66"/>
      <c r="D873" s="66"/>
      <c r="E873" s="66"/>
      <c r="F873" s="66"/>
      <c r="G873" s="66"/>
      <c r="H873" s="66"/>
    </row>
    <row r="874" spans="1:8">
      <c r="A874" s="66"/>
      <c r="B874" s="66"/>
      <c r="C874" s="66"/>
      <c r="D874" s="66"/>
      <c r="E874" s="66"/>
      <c r="F874" s="66"/>
      <c r="G874" s="66"/>
      <c r="H874" s="66"/>
    </row>
    <row r="875" spans="1:8">
      <c r="A875" s="66"/>
      <c r="B875" s="66"/>
      <c r="C875" s="66"/>
      <c r="D875" s="66"/>
      <c r="E875" s="66"/>
      <c r="F875" s="66"/>
      <c r="G875" s="66"/>
      <c r="H875" s="66"/>
    </row>
    <row r="876" spans="1:8">
      <c r="A876" s="66"/>
      <c r="B876" s="66"/>
      <c r="C876" s="66"/>
      <c r="D876" s="66"/>
      <c r="E876" s="66"/>
      <c r="F876" s="66"/>
      <c r="G876" s="66"/>
      <c r="H876" s="66"/>
    </row>
    <row r="877" spans="1:8">
      <c r="A877" s="66"/>
      <c r="B877" s="66"/>
      <c r="C877" s="66"/>
      <c r="D877" s="66"/>
      <c r="E877" s="66"/>
      <c r="F877" s="66"/>
      <c r="G877" s="66"/>
      <c r="H877" s="66"/>
    </row>
    <row r="878" spans="1:8">
      <c r="A878" s="66"/>
      <c r="B878" s="66"/>
      <c r="C878" s="66"/>
      <c r="D878" s="66"/>
      <c r="E878" s="66"/>
      <c r="F878" s="66"/>
      <c r="G878" s="66"/>
      <c r="H878" s="66"/>
    </row>
    <row r="879" spans="1:8">
      <c r="A879" s="66"/>
      <c r="B879" s="66"/>
      <c r="C879" s="66"/>
      <c r="D879" s="66"/>
      <c r="E879" s="66"/>
      <c r="F879" s="66"/>
      <c r="G879" s="66"/>
      <c r="H879" s="66"/>
    </row>
    <row r="880" spans="1:8">
      <c r="A880" s="66"/>
      <c r="B880" s="66"/>
      <c r="C880" s="66"/>
      <c r="D880" s="66"/>
      <c r="E880" s="66"/>
      <c r="F880" s="66"/>
      <c r="G880" s="66"/>
      <c r="H880" s="66"/>
    </row>
    <row r="881" spans="1:8">
      <c r="A881" s="66"/>
      <c r="B881" s="66"/>
      <c r="C881" s="66"/>
      <c r="D881" s="66"/>
      <c r="E881" s="66"/>
      <c r="F881" s="66"/>
      <c r="G881" s="66"/>
      <c r="H881" s="66"/>
    </row>
    <row r="882" spans="1:8">
      <c r="A882" s="66"/>
      <c r="B882" s="66"/>
      <c r="C882" s="66"/>
      <c r="D882" s="66"/>
      <c r="E882" s="66"/>
      <c r="F882" s="66"/>
      <c r="G882" s="66"/>
      <c r="H882" s="66"/>
    </row>
    <row r="883" spans="1:8">
      <c r="A883" s="66"/>
      <c r="B883" s="66"/>
      <c r="C883" s="66"/>
      <c r="D883" s="66"/>
      <c r="E883" s="66"/>
      <c r="F883" s="66"/>
      <c r="G883" s="66"/>
      <c r="H883" s="66"/>
    </row>
    <row r="884" spans="1:8">
      <c r="A884" s="66"/>
      <c r="B884" s="66"/>
      <c r="C884" s="66"/>
      <c r="D884" s="66"/>
      <c r="E884" s="66"/>
      <c r="F884" s="66"/>
      <c r="G884" s="66"/>
      <c r="H884" s="66"/>
    </row>
    <row r="885" spans="1:8">
      <c r="A885" s="66"/>
      <c r="B885" s="66"/>
      <c r="C885" s="66"/>
      <c r="D885" s="66"/>
      <c r="E885" s="66"/>
      <c r="F885" s="66"/>
      <c r="G885" s="66"/>
      <c r="H885" s="66"/>
    </row>
    <row r="886" spans="1:8">
      <c r="A886" s="66"/>
      <c r="B886" s="66"/>
      <c r="C886" s="66"/>
      <c r="D886" s="66"/>
      <c r="E886" s="66"/>
      <c r="F886" s="66"/>
      <c r="G886" s="66"/>
      <c r="H886" s="66"/>
    </row>
    <row r="887" spans="1:8">
      <c r="A887" s="66"/>
      <c r="B887" s="66"/>
      <c r="C887" s="66"/>
      <c r="D887" s="66"/>
      <c r="E887" s="66"/>
      <c r="F887" s="66"/>
      <c r="G887" s="66"/>
      <c r="H887" s="66"/>
    </row>
    <row r="888" spans="1:8">
      <c r="A888" s="66"/>
      <c r="B888" s="66"/>
      <c r="C888" s="66"/>
      <c r="D888" s="66"/>
      <c r="E888" s="66"/>
      <c r="F888" s="66"/>
      <c r="G888" s="66"/>
      <c r="H888" s="66"/>
    </row>
    <row r="889" spans="1:8">
      <c r="A889" s="66"/>
      <c r="B889" s="66"/>
      <c r="C889" s="66"/>
      <c r="D889" s="66"/>
      <c r="E889" s="66"/>
      <c r="F889" s="66"/>
      <c r="G889" s="66"/>
      <c r="H889" s="66"/>
    </row>
    <row r="890" spans="1:8">
      <c r="A890" s="66"/>
      <c r="B890" s="66"/>
      <c r="C890" s="66"/>
      <c r="D890" s="66"/>
      <c r="E890" s="66"/>
      <c r="F890" s="66"/>
      <c r="G890" s="66"/>
      <c r="H890" s="66"/>
    </row>
    <row r="891" spans="1:8">
      <c r="A891" s="66"/>
      <c r="B891" s="66"/>
      <c r="C891" s="66"/>
      <c r="D891" s="66"/>
      <c r="E891" s="66"/>
      <c r="F891" s="66"/>
      <c r="G891" s="66"/>
      <c r="H891" s="66"/>
    </row>
    <row r="892" spans="1:8">
      <c r="A892" s="66"/>
      <c r="B892" s="66"/>
      <c r="C892" s="66"/>
      <c r="D892" s="66"/>
      <c r="E892" s="66"/>
      <c r="F892" s="66"/>
      <c r="G892" s="66"/>
      <c r="H892" s="66"/>
    </row>
    <row r="893" spans="1:8">
      <c r="A893" s="66"/>
      <c r="B893" s="66"/>
      <c r="C893" s="66"/>
      <c r="D893" s="66"/>
      <c r="E893" s="66"/>
      <c r="F893" s="66"/>
      <c r="G893" s="66"/>
      <c r="H893" s="66"/>
    </row>
    <row r="894" spans="1:8">
      <c r="A894" s="66"/>
      <c r="B894" s="66"/>
      <c r="C894" s="66"/>
      <c r="D894" s="66"/>
      <c r="E894" s="66"/>
      <c r="F894" s="66"/>
      <c r="G894" s="66"/>
      <c r="H894" s="66"/>
    </row>
    <row r="895" spans="1:8">
      <c r="A895" s="66"/>
      <c r="B895" s="66"/>
      <c r="C895" s="66"/>
      <c r="D895" s="66"/>
      <c r="E895" s="66"/>
      <c r="F895" s="66"/>
      <c r="G895" s="66"/>
      <c r="H895" s="66"/>
    </row>
    <row r="896" spans="1:8">
      <c r="A896" s="66"/>
      <c r="B896" s="66"/>
      <c r="C896" s="66"/>
      <c r="D896" s="66"/>
      <c r="E896" s="66"/>
      <c r="F896" s="66"/>
      <c r="G896" s="66"/>
      <c r="H896" s="66"/>
    </row>
    <row r="897" spans="1:8">
      <c r="A897" s="66"/>
      <c r="B897" s="66"/>
      <c r="C897" s="66"/>
      <c r="D897" s="66"/>
      <c r="E897" s="66"/>
      <c r="F897" s="66"/>
      <c r="G897" s="66"/>
      <c r="H897" s="66"/>
    </row>
    <row r="898" spans="1:8">
      <c r="A898" s="66"/>
      <c r="B898" s="66"/>
      <c r="C898" s="66"/>
      <c r="D898" s="66"/>
      <c r="E898" s="66"/>
      <c r="F898" s="66"/>
      <c r="G898" s="66"/>
      <c r="H898" s="66"/>
    </row>
    <row r="899" spans="1:8">
      <c r="A899" s="66"/>
      <c r="B899" s="66"/>
      <c r="C899" s="66"/>
      <c r="D899" s="66"/>
      <c r="E899" s="66"/>
      <c r="F899" s="66"/>
      <c r="G899" s="66"/>
      <c r="H899" s="66"/>
    </row>
    <row r="900" spans="1:8">
      <c r="A900" s="66"/>
      <c r="B900" s="66"/>
      <c r="C900" s="66"/>
      <c r="D900" s="66"/>
      <c r="E900" s="66"/>
      <c r="F900" s="66"/>
      <c r="G900" s="66"/>
      <c r="H900" s="66"/>
    </row>
    <row r="901" spans="1:8">
      <c r="A901" s="66"/>
      <c r="B901" s="66"/>
      <c r="C901" s="66"/>
      <c r="D901" s="66"/>
      <c r="E901" s="66"/>
      <c r="F901" s="66"/>
      <c r="G901" s="66"/>
      <c r="H901" s="66"/>
    </row>
    <row r="902" spans="1:8">
      <c r="A902" s="66"/>
      <c r="B902" s="66"/>
      <c r="C902" s="66"/>
      <c r="D902" s="66"/>
      <c r="E902" s="66"/>
      <c r="F902" s="66"/>
      <c r="G902" s="66"/>
      <c r="H902" s="66"/>
    </row>
    <row r="903" spans="1:8">
      <c r="A903" s="66"/>
      <c r="B903" s="66"/>
      <c r="C903" s="66"/>
      <c r="D903" s="66"/>
      <c r="E903" s="66"/>
      <c r="F903" s="66"/>
      <c r="G903" s="66"/>
      <c r="H903" s="66"/>
    </row>
    <row r="904" spans="1:8">
      <c r="A904" s="66"/>
      <c r="B904" s="66"/>
      <c r="C904" s="66"/>
      <c r="D904" s="66"/>
      <c r="E904" s="66"/>
      <c r="F904" s="66"/>
      <c r="G904" s="66"/>
      <c r="H904" s="66"/>
    </row>
    <row r="905" spans="1:8">
      <c r="A905" s="66"/>
      <c r="B905" s="66"/>
      <c r="C905" s="66"/>
      <c r="D905" s="66"/>
      <c r="E905" s="66"/>
      <c r="F905" s="66"/>
      <c r="G905" s="66"/>
      <c r="H905" s="66"/>
    </row>
    <row r="906" spans="1:8">
      <c r="A906" s="66"/>
      <c r="B906" s="66"/>
      <c r="C906" s="66"/>
      <c r="D906" s="66"/>
      <c r="E906" s="66"/>
      <c r="F906" s="66"/>
      <c r="G906" s="66"/>
      <c r="H906" s="66"/>
    </row>
    <row r="907" spans="1:8">
      <c r="A907" s="66"/>
      <c r="B907" s="66"/>
      <c r="C907" s="66"/>
      <c r="D907" s="66"/>
      <c r="E907" s="66"/>
      <c r="F907" s="66"/>
      <c r="G907" s="66"/>
      <c r="H907" s="66"/>
    </row>
    <row r="908" spans="1:8">
      <c r="A908" s="66"/>
      <c r="B908" s="66"/>
      <c r="C908" s="66"/>
      <c r="D908" s="66"/>
      <c r="E908" s="66"/>
      <c r="F908" s="66"/>
      <c r="G908" s="66"/>
      <c r="H908" s="66"/>
    </row>
    <row r="909" spans="1:8">
      <c r="A909" s="66"/>
      <c r="B909" s="66"/>
      <c r="C909" s="66"/>
      <c r="D909" s="66"/>
      <c r="E909" s="66"/>
      <c r="F909" s="66"/>
      <c r="G909" s="66"/>
      <c r="H909" s="66"/>
    </row>
    <row r="910" spans="1:8">
      <c r="A910" s="66"/>
      <c r="B910" s="66"/>
      <c r="C910" s="66"/>
      <c r="D910" s="66"/>
      <c r="E910" s="66"/>
      <c r="F910" s="66"/>
      <c r="G910" s="66"/>
      <c r="H910" s="66"/>
    </row>
    <row r="911" spans="1:8">
      <c r="A911" s="66"/>
      <c r="B911" s="66"/>
      <c r="C911" s="66"/>
      <c r="D911" s="66"/>
      <c r="E911" s="66"/>
      <c r="F911" s="66"/>
      <c r="G911" s="66"/>
      <c r="H911" s="66"/>
    </row>
    <row r="912" spans="1:8">
      <c r="A912" s="66"/>
      <c r="B912" s="66"/>
      <c r="C912" s="66"/>
      <c r="D912" s="66"/>
      <c r="E912" s="66"/>
      <c r="F912" s="66"/>
      <c r="G912" s="66"/>
      <c r="H912" s="66"/>
    </row>
    <row r="913" spans="1:8">
      <c r="A913" s="66"/>
      <c r="B913" s="66"/>
      <c r="C913" s="66"/>
      <c r="D913" s="66"/>
      <c r="E913" s="66"/>
      <c r="F913" s="66"/>
      <c r="G913" s="66"/>
      <c r="H913" s="66"/>
    </row>
    <row r="914" spans="1:8">
      <c r="A914" s="66"/>
      <c r="B914" s="66"/>
      <c r="C914" s="66"/>
      <c r="D914" s="66"/>
      <c r="E914" s="66"/>
      <c r="F914" s="66"/>
      <c r="G914" s="66"/>
      <c r="H914" s="66"/>
    </row>
    <row r="915" spans="1:8">
      <c r="A915" s="66"/>
      <c r="B915" s="66"/>
      <c r="C915" s="66"/>
      <c r="D915" s="66"/>
      <c r="E915" s="66"/>
      <c r="F915" s="66"/>
      <c r="G915" s="66"/>
      <c r="H915" s="66"/>
    </row>
    <row r="916" spans="1:8">
      <c r="A916" s="66"/>
      <c r="B916" s="66"/>
      <c r="C916" s="66"/>
      <c r="D916" s="66"/>
      <c r="E916" s="66"/>
      <c r="F916" s="66"/>
      <c r="G916" s="66"/>
      <c r="H916" s="66"/>
    </row>
    <row r="917" spans="1:8">
      <c r="A917" s="66"/>
      <c r="B917" s="66"/>
      <c r="C917" s="66"/>
      <c r="D917" s="66"/>
      <c r="E917" s="66"/>
      <c r="F917" s="66"/>
      <c r="G917" s="66"/>
      <c r="H917" s="66"/>
    </row>
    <row r="918" spans="1:8">
      <c r="A918" s="66"/>
      <c r="B918" s="66"/>
      <c r="C918" s="66"/>
      <c r="D918" s="66"/>
      <c r="E918" s="66"/>
      <c r="F918" s="66"/>
      <c r="G918" s="66"/>
      <c r="H918" s="66"/>
    </row>
    <row r="919" spans="1:8">
      <c r="A919" s="66"/>
      <c r="B919" s="66"/>
      <c r="C919" s="66"/>
      <c r="D919" s="66"/>
      <c r="E919" s="66"/>
      <c r="F919" s="66"/>
      <c r="G919" s="66"/>
      <c r="H919" s="66"/>
    </row>
    <row r="920" spans="1:8">
      <c r="A920" s="66"/>
      <c r="B920" s="66"/>
      <c r="C920" s="66"/>
      <c r="D920" s="66"/>
      <c r="E920" s="66"/>
      <c r="F920" s="66"/>
      <c r="G920" s="66"/>
      <c r="H920" s="66"/>
    </row>
    <row r="921" spans="1:8">
      <c r="A921" s="66"/>
      <c r="B921" s="66"/>
      <c r="C921" s="66"/>
      <c r="D921" s="66"/>
      <c r="E921" s="66"/>
      <c r="F921" s="66"/>
      <c r="G921" s="66"/>
      <c r="H921" s="66"/>
    </row>
    <row r="922" spans="1:8">
      <c r="A922" s="66"/>
      <c r="B922" s="66"/>
      <c r="C922" s="66"/>
      <c r="D922" s="66"/>
      <c r="E922" s="66"/>
      <c r="F922" s="66"/>
      <c r="G922" s="66"/>
      <c r="H922" s="66"/>
    </row>
    <row r="923" spans="1:8">
      <c r="A923" s="66"/>
      <c r="B923" s="66"/>
      <c r="C923" s="66"/>
      <c r="D923" s="66"/>
      <c r="E923" s="66"/>
      <c r="F923" s="66"/>
      <c r="G923" s="66"/>
      <c r="H923" s="66"/>
    </row>
    <row r="924" spans="1:8">
      <c r="A924" s="66"/>
      <c r="B924" s="66"/>
      <c r="C924" s="66"/>
      <c r="D924" s="66"/>
      <c r="E924" s="66"/>
      <c r="F924" s="66"/>
      <c r="G924" s="66"/>
      <c r="H924" s="66"/>
    </row>
    <row r="925" spans="1:8">
      <c r="A925" s="66"/>
      <c r="B925" s="66"/>
      <c r="C925" s="66"/>
      <c r="D925" s="66"/>
      <c r="E925" s="66"/>
      <c r="F925" s="66"/>
      <c r="G925" s="66"/>
      <c r="H925" s="66"/>
    </row>
    <row r="926" spans="1:8">
      <c r="A926" s="66"/>
      <c r="B926" s="66"/>
      <c r="C926" s="66"/>
      <c r="D926" s="66"/>
      <c r="E926" s="66"/>
      <c r="F926" s="66"/>
      <c r="G926" s="66"/>
      <c r="H926" s="66"/>
    </row>
    <row r="927" spans="1:8">
      <c r="A927" s="66"/>
      <c r="B927" s="66"/>
      <c r="C927" s="66"/>
      <c r="D927" s="66"/>
      <c r="E927" s="66"/>
      <c r="F927" s="66"/>
      <c r="G927" s="66"/>
      <c r="H927" s="66"/>
    </row>
    <row r="928" spans="1:8">
      <c r="A928" s="66"/>
      <c r="B928" s="66"/>
      <c r="C928" s="66"/>
      <c r="D928" s="66"/>
      <c r="E928" s="66"/>
      <c r="F928" s="66"/>
      <c r="G928" s="66"/>
      <c r="H928" s="66"/>
    </row>
    <row r="929" spans="1:8">
      <c r="A929" s="66"/>
      <c r="B929" s="66"/>
      <c r="C929" s="66"/>
      <c r="D929" s="66"/>
      <c r="E929" s="66"/>
      <c r="F929" s="66"/>
      <c r="G929" s="66"/>
      <c r="H929" s="66"/>
    </row>
    <row r="930" spans="1:8">
      <c r="A930" s="66"/>
      <c r="B930" s="66"/>
      <c r="C930" s="66"/>
      <c r="D930" s="66"/>
      <c r="E930" s="66"/>
      <c r="F930" s="66"/>
      <c r="G930" s="66"/>
      <c r="H930" s="66"/>
    </row>
    <row r="931" spans="1:8">
      <c r="A931" s="66"/>
      <c r="B931" s="66"/>
      <c r="C931" s="66"/>
      <c r="D931" s="66"/>
      <c r="E931" s="66"/>
      <c r="F931" s="66"/>
      <c r="G931" s="66"/>
      <c r="H931" s="66"/>
    </row>
    <row r="932" spans="1:8">
      <c r="A932" s="66"/>
      <c r="B932" s="66"/>
      <c r="C932" s="66"/>
      <c r="D932" s="66"/>
      <c r="E932" s="66"/>
      <c r="F932" s="66"/>
      <c r="G932" s="66"/>
      <c r="H932" s="66"/>
    </row>
    <row r="933" spans="1:8">
      <c r="A933" s="66"/>
      <c r="B933" s="66"/>
      <c r="C933" s="66"/>
      <c r="D933" s="66"/>
      <c r="E933" s="66"/>
      <c r="F933" s="66"/>
      <c r="G933" s="66"/>
      <c r="H933" s="66"/>
    </row>
    <row r="934" spans="1:8">
      <c r="A934" s="66"/>
      <c r="B934" s="66"/>
      <c r="C934" s="66"/>
      <c r="D934" s="66"/>
      <c r="E934" s="66"/>
      <c r="F934" s="66"/>
      <c r="G934" s="66"/>
      <c r="H934" s="66"/>
    </row>
    <row r="935" spans="1:8">
      <c r="A935" s="66"/>
      <c r="B935" s="66"/>
      <c r="C935" s="66"/>
      <c r="D935" s="66"/>
      <c r="E935" s="66"/>
      <c r="F935" s="66"/>
      <c r="G935" s="66"/>
      <c r="H935" s="66"/>
    </row>
    <row r="936" spans="1:8">
      <c r="A936" s="66"/>
      <c r="B936" s="66"/>
      <c r="C936" s="66"/>
      <c r="D936" s="66"/>
      <c r="E936" s="66"/>
      <c r="F936" s="66"/>
      <c r="G936" s="66"/>
      <c r="H936" s="66"/>
    </row>
    <row r="937" spans="1:8">
      <c r="A937" s="66"/>
      <c r="B937" s="66"/>
      <c r="C937" s="66"/>
      <c r="D937" s="66"/>
      <c r="E937" s="66"/>
      <c r="F937" s="66"/>
      <c r="G937" s="66"/>
      <c r="H937" s="66"/>
    </row>
    <row r="938" spans="1:8">
      <c r="A938" s="66"/>
      <c r="B938" s="66"/>
      <c r="C938" s="66"/>
      <c r="D938" s="66"/>
      <c r="E938" s="66"/>
      <c r="F938" s="66"/>
      <c r="G938" s="66"/>
      <c r="H938" s="66"/>
    </row>
    <row r="939" spans="1:8">
      <c r="A939" s="66"/>
      <c r="B939" s="66"/>
      <c r="C939" s="66"/>
      <c r="D939" s="66"/>
      <c r="E939" s="66"/>
      <c r="F939" s="66"/>
      <c r="G939" s="66"/>
      <c r="H939" s="66"/>
    </row>
    <row r="940" spans="1:8">
      <c r="A940" s="66"/>
      <c r="B940" s="66"/>
      <c r="C940" s="66"/>
      <c r="D940" s="66"/>
      <c r="E940" s="66"/>
      <c r="F940" s="66"/>
      <c r="G940" s="66"/>
      <c r="H940" s="66"/>
    </row>
    <row r="941" spans="1:8">
      <c r="A941" s="66"/>
      <c r="B941" s="66"/>
      <c r="C941" s="66"/>
      <c r="D941" s="66"/>
      <c r="E941" s="66"/>
      <c r="F941" s="66"/>
      <c r="G941" s="66"/>
      <c r="H941" s="66"/>
    </row>
    <row r="942" spans="1:8">
      <c r="A942" s="66"/>
      <c r="B942" s="66"/>
      <c r="C942" s="66"/>
      <c r="D942" s="66"/>
      <c r="E942" s="66"/>
      <c r="F942" s="66"/>
      <c r="G942" s="66"/>
      <c r="H942" s="66"/>
    </row>
    <row r="943" spans="1:8">
      <c r="A943" s="66"/>
      <c r="B943" s="66"/>
      <c r="C943" s="66"/>
      <c r="D943" s="66"/>
      <c r="E943" s="66"/>
      <c r="F943" s="66"/>
      <c r="G943" s="66"/>
      <c r="H943" s="66"/>
    </row>
    <row r="944" spans="1:8">
      <c r="A944" s="66"/>
      <c r="B944" s="66"/>
      <c r="C944" s="66"/>
      <c r="D944" s="66"/>
      <c r="E944" s="66"/>
      <c r="F944" s="66"/>
      <c r="G944" s="66"/>
      <c r="H944" s="66"/>
    </row>
    <row r="945" spans="1:8">
      <c r="A945" s="66"/>
      <c r="B945" s="66"/>
      <c r="C945" s="66"/>
      <c r="D945" s="66"/>
      <c r="E945" s="66"/>
      <c r="F945" s="66"/>
      <c r="G945" s="66"/>
      <c r="H945" s="66"/>
    </row>
    <row r="946" spans="1:8">
      <c r="A946" s="66"/>
      <c r="B946" s="66"/>
      <c r="C946" s="66"/>
      <c r="D946" s="66"/>
      <c r="E946" s="66"/>
      <c r="F946" s="66"/>
      <c r="G946" s="66"/>
      <c r="H946" s="66"/>
    </row>
    <row r="947" spans="1:8">
      <c r="A947" s="66"/>
      <c r="B947" s="66"/>
      <c r="C947" s="66"/>
      <c r="D947" s="66"/>
      <c r="E947" s="66"/>
      <c r="F947" s="66"/>
      <c r="G947" s="66"/>
      <c r="H947" s="66"/>
    </row>
    <row r="948" spans="1:8">
      <c r="A948" s="66"/>
      <c r="B948" s="66"/>
      <c r="C948" s="66"/>
      <c r="D948" s="66"/>
      <c r="E948" s="66"/>
      <c r="F948" s="66"/>
      <c r="G948" s="66"/>
      <c r="H948" s="66"/>
    </row>
    <row r="949" spans="1:8">
      <c r="A949" s="66"/>
      <c r="B949" s="66"/>
      <c r="C949" s="66"/>
      <c r="D949" s="66"/>
      <c r="E949" s="66"/>
      <c r="F949" s="66"/>
      <c r="G949" s="66"/>
      <c r="H949" s="66"/>
    </row>
    <row r="950" spans="1:8">
      <c r="A950" s="66"/>
      <c r="B950" s="66"/>
      <c r="C950" s="66"/>
      <c r="D950" s="66"/>
      <c r="E950" s="66"/>
      <c r="F950" s="66"/>
      <c r="G950" s="66"/>
      <c r="H950" s="66"/>
    </row>
    <row r="951" spans="1:8">
      <c r="A951" s="66"/>
      <c r="B951" s="66"/>
      <c r="C951" s="66"/>
      <c r="D951" s="66"/>
      <c r="E951" s="66"/>
      <c r="F951" s="66"/>
      <c r="G951" s="66"/>
      <c r="H951" s="66"/>
    </row>
    <row r="952" spans="1:8">
      <c r="A952" s="66"/>
      <c r="B952" s="66"/>
      <c r="C952" s="66"/>
      <c r="D952" s="66"/>
      <c r="E952" s="66"/>
      <c r="F952" s="66"/>
      <c r="G952" s="66"/>
      <c r="H952" s="66"/>
    </row>
    <row r="953" spans="1:8">
      <c r="A953" s="66"/>
      <c r="B953" s="66"/>
      <c r="C953" s="66"/>
      <c r="D953" s="66"/>
      <c r="E953" s="66"/>
      <c r="F953" s="66"/>
      <c r="G953" s="66"/>
      <c r="H953" s="66"/>
    </row>
    <row r="954" spans="1:8">
      <c r="A954" s="66"/>
      <c r="B954" s="66"/>
      <c r="C954" s="66"/>
      <c r="D954" s="66"/>
      <c r="E954" s="66"/>
      <c r="F954" s="66"/>
      <c r="G954" s="66"/>
      <c r="H954" s="66"/>
    </row>
    <row r="955" spans="1:8">
      <c r="A955" s="66"/>
      <c r="B955" s="66"/>
      <c r="C955" s="66"/>
      <c r="D955" s="66"/>
      <c r="E955" s="66"/>
      <c r="F955" s="66"/>
      <c r="G955" s="66"/>
      <c r="H955" s="66"/>
    </row>
    <row r="956" spans="1:8">
      <c r="A956" s="66"/>
      <c r="B956" s="66"/>
      <c r="C956" s="66"/>
      <c r="D956" s="66"/>
      <c r="E956" s="66"/>
      <c r="F956" s="66"/>
      <c r="G956" s="66"/>
      <c r="H956" s="66"/>
    </row>
    <row r="957" spans="1:8">
      <c r="A957" s="66"/>
      <c r="B957" s="66"/>
      <c r="C957" s="66"/>
      <c r="D957" s="66"/>
      <c r="E957" s="66"/>
      <c r="F957" s="66"/>
      <c r="G957" s="66"/>
      <c r="H957" s="66"/>
    </row>
    <row r="958" spans="1:8">
      <c r="A958" s="66"/>
      <c r="B958" s="66"/>
      <c r="C958" s="66"/>
      <c r="D958" s="66"/>
      <c r="E958" s="66"/>
      <c r="F958" s="66"/>
      <c r="G958" s="66"/>
      <c r="H958" s="66"/>
    </row>
    <row r="959" spans="1:8">
      <c r="A959" s="66"/>
      <c r="B959" s="66"/>
      <c r="C959" s="66"/>
      <c r="D959" s="66"/>
      <c r="E959" s="66"/>
      <c r="F959" s="66"/>
      <c r="G959" s="66"/>
      <c r="H959" s="66"/>
    </row>
    <row r="960" spans="1:8">
      <c r="A960" s="66"/>
      <c r="B960" s="66"/>
      <c r="C960" s="66"/>
      <c r="D960" s="66"/>
      <c r="E960" s="66"/>
      <c r="F960" s="66"/>
      <c r="G960" s="66"/>
      <c r="H960" s="66"/>
    </row>
    <row r="961" spans="1:8">
      <c r="A961" s="66"/>
      <c r="B961" s="66"/>
      <c r="C961" s="66"/>
      <c r="D961" s="66"/>
      <c r="E961" s="66"/>
      <c r="F961" s="66"/>
      <c r="G961" s="66"/>
      <c r="H961" s="66"/>
    </row>
    <row r="962" spans="1:8">
      <c r="A962" s="66"/>
      <c r="B962" s="66"/>
      <c r="C962" s="66"/>
      <c r="D962" s="66"/>
      <c r="E962" s="66"/>
      <c r="F962" s="66"/>
      <c r="G962" s="66"/>
      <c r="H962" s="66"/>
    </row>
    <row r="963" spans="1:8">
      <c r="A963" s="66"/>
      <c r="B963" s="66"/>
      <c r="C963" s="66"/>
      <c r="D963" s="66"/>
      <c r="E963" s="66"/>
      <c r="F963" s="66"/>
      <c r="G963" s="66"/>
      <c r="H963" s="66"/>
    </row>
    <row r="964" spans="1:8">
      <c r="A964" s="66"/>
      <c r="B964" s="66"/>
      <c r="C964" s="66"/>
      <c r="D964" s="66"/>
      <c r="E964" s="66"/>
      <c r="F964" s="66"/>
      <c r="G964" s="66"/>
      <c r="H964" s="66"/>
    </row>
    <row r="965" spans="1:8">
      <c r="A965" s="66"/>
      <c r="B965" s="66"/>
      <c r="C965" s="66"/>
      <c r="D965" s="66"/>
      <c r="E965" s="66"/>
      <c r="F965" s="66"/>
      <c r="G965" s="66"/>
      <c r="H965" s="66"/>
    </row>
    <row r="966" spans="1:8">
      <c r="A966" s="66"/>
      <c r="B966" s="66"/>
      <c r="C966" s="66"/>
      <c r="D966" s="66"/>
      <c r="E966" s="66"/>
      <c r="F966" s="66"/>
      <c r="G966" s="66"/>
      <c r="H966" s="66"/>
    </row>
    <row r="967" spans="1:8">
      <c r="A967" s="66"/>
      <c r="B967" s="66"/>
      <c r="C967" s="66"/>
      <c r="D967" s="66"/>
      <c r="E967" s="66"/>
      <c r="F967" s="66"/>
      <c r="G967" s="66"/>
      <c r="H967" s="66"/>
    </row>
    <row r="968" spans="1:8">
      <c r="A968" s="66"/>
      <c r="B968" s="66"/>
      <c r="C968" s="66"/>
      <c r="D968" s="66"/>
      <c r="E968" s="66"/>
      <c r="F968" s="66"/>
      <c r="G968" s="66"/>
      <c r="H968" s="66"/>
    </row>
    <row r="969" spans="1:8">
      <c r="A969" s="66"/>
      <c r="B969" s="66"/>
      <c r="C969" s="66"/>
      <c r="D969" s="66"/>
      <c r="E969" s="66"/>
      <c r="F969" s="66"/>
      <c r="G969" s="66"/>
      <c r="H969" s="66"/>
    </row>
    <row r="970" spans="1:8">
      <c r="A970" s="66"/>
      <c r="B970" s="66"/>
      <c r="C970" s="66"/>
      <c r="D970" s="66"/>
      <c r="E970" s="66"/>
      <c r="F970" s="66"/>
      <c r="G970" s="66"/>
      <c r="H970" s="66"/>
    </row>
    <row r="971" spans="1:8">
      <c r="A971" s="66"/>
      <c r="B971" s="66"/>
      <c r="C971" s="66"/>
      <c r="D971" s="66"/>
      <c r="E971" s="66"/>
      <c r="F971" s="66"/>
      <c r="G971" s="66"/>
      <c r="H971" s="66"/>
    </row>
    <row r="972" spans="1:8">
      <c r="A972" s="66"/>
      <c r="B972" s="66"/>
      <c r="C972" s="66"/>
      <c r="D972" s="66"/>
      <c r="E972" s="66"/>
      <c r="F972" s="66"/>
      <c r="G972" s="66"/>
      <c r="H972" s="66"/>
    </row>
    <row r="973" spans="1:8">
      <c r="A973" s="66"/>
      <c r="B973" s="66"/>
      <c r="C973" s="66"/>
      <c r="D973" s="66"/>
      <c r="E973" s="66"/>
      <c r="F973" s="66"/>
      <c r="G973" s="66"/>
      <c r="H973" s="66"/>
    </row>
    <row r="974" spans="1:8">
      <c r="A974" s="66"/>
      <c r="B974" s="66"/>
      <c r="C974" s="66"/>
      <c r="D974" s="66"/>
      <c r="E974" s="66"/>
      <c r="F974" s="66"/>
      <c r="G974" s="66"/>
      <c r="H974" s="66"/>
    </row>
    <row r="975" spans="1:8">
      <c r="A975" s="66"/>
      <c r="B975" s="66"/>
      <c r="C975" s="66"/>
      <c r="D975" s="66"/>
      <c r="E975" s="66"/>
      <c r="F975" s="66"/>
      <c r="G975" s="66"/>
      <c r="H975" s="66"/>
    </row>
    <row r="976" spans="1:8">
      <c r="A976" s="66"/>
      <c r="B976" s="66"/>
      <c r="C976" s="66"/>
      <c r="D976" s="66"/>
      <c r="E976" s="66"/>
      <c r="F976" s="66"/>
      <c r="G976" s="66"/>
      <c r="H976" s="66"/>
    </row>
    <row r="977" spans="1:8">
      <c r="A977" s="66"/>
      <c r="B977" s="66"/>
      <c r="C977" s="66"/>
      <c r="D977" s="66"/>
      <c r="E977" s="66"/>
      <c r="F977" s="66"/>
      <c r="G977" s="66"/>
      <c r="H977" s="66"/>
    </row>
    <row r="978" spans="1:8">
      <c r="A978" s="66"/>
      <c r="B978" s="66"/>
      <c r="C978" s="66"/>
      <c r="D978" s="66"/>
      <c r="E978" s="66"/>
      <c r="F978" s="66"/>
      <c r="G978" s="66"/>
      <c r="H978" s="66"/>
    </row>
    <row r="979" spans="1:8">
      <c r="A979" s="66"/>
      <c r="B979" s="66"/>
      <c r="C979" s="66"/>
      <c r="D979" s="66"/>
      <c r="E979" s="66"/>
      <c r="F979" s="66"/>
      <c r="G979" s="66"/>
      <c r="H979" s="66"/>
    </row>
    <row r="980" spans="1:8">
      <c r="A980" s="66"/>
      <c r="B980" s="66"/>
      <c r="C980" s="66"/>
      <c r="D980" s="66"/>
      <c r="E980" s="66"/>
      <c r="F980" s="66"/>
      <c r="G980" s="66"/>
      <c r="H980" s="66"/>
    </row>
    <row r="981" spans="1:8">
      <c r="A981" s="66"/>
      <c r="B981" s="66"/>
      <c r="C981" s="66"/>
      <c r="D981" s="66"/>
      <c r="E981" s="66"/>
      <c r="F981" s="66"/>
      <c r="G981" s="66"/>
      <c r="H981" s="66"/>
    </row>
    <row r="982" spans="1:8">
      <c r="A982" s="66"/>
      <c r="B982" s="66"/>
      <c r="C982" s="66"/>
      <c r="D982" s="66"/>
      <c r="E982" s="66"/>
      <c r="F982" s="66"/>
      <c r="G982" s="66"/>
      <c r="H982" s="66"/>
    </row>
    <row r="983" spans="1:8">
      <c r="A983" s="66"/>
      <c r="B983" s="66"/>
      <c r="C983" s="66"/>
      <c r="D983" s="66"/>
      <c r="E983" s="66"/>
      <c r="F983" s="66"/>
      <c r="G983" s="66"/>
      <c r="H983" s="66"/>
    </row>
    <row r="984" spans="1:8">
      <c r="A984" s="66"/>
      <c r="B984" s="66"/>
      <c r="C984" s="66"/>
      <c r="D984" s="66"/>
      <c r="E984" s="66"/>
      <c r="F984" s="66"/>
      <c r="G984" s="66"/>
      <c r="H984" s="66"/>
    </row>
    <row r="985" spans="1:8">
      <c r="A985" s="66"/>
      <c r="B985" s="66"/>
      <c r="C985" s="66"/>
      <c r="D985" s="66"/>
      <c r="E985" s="66"/>
      <c r="F985" s="66"/>
      <c r="G985" s="66"/>
      <c r="H985" s="66"/>
    </row>
    <row r="986" spans="1:8">
      <c r="A986" s="66"/>
      <c r="B986" s="66"/>
      <c r="C986" s="66"/>
      <c r="D986" s="66"/>
      <c r="E986" s="66"/>
      <c r="F986" s="66"/>
      <c r="G986" s="66"/>
      <c r="H986" s="66"/>
    </row>
    <row r="987" spans="1:8">
      <c r="A987" s="66"/>
      <c r="B987" s="66"/>
      <c r="C987" s="66"/>
      <c r="D987" s="66"/>
      <c r="E987" s="66"/>
      <c r="F987" s="66"/>
      <c r="G987" s="66"/>
      <c r="H987" s="66"/>
    </row>
    <row r="988" spans="1:8">
      <c r="A988" s="66"/>
      <c r="B988" s="66"/>
      <c r="C988" s="66"/>
      <c r="D988" s="66"/>
      <c r="E988" s="66"/>
      <c r="F988" s="66"/>
      <c r="G988" s="66"/>
      <c r="H988" s="66"/>
    </row>
    <row r="989" spans="1:8">
      <c r="A989" s="66"/>
      <c r="B989" s="66"/>
      <c r="C989" s="66"/>
      <c r="D989" s="66"/>
      <c r="E989" s="66"/>
      <c r="F989" s="66"/>
      <c r="G989" s="66"/>
      <c r="H989" s="66"/>
    </row>
    <row r="990" spans="1:8">
      <c r="A990" s="66"/>
      <c r="B990" s="66"/>
      <c r="C990" s="66"/>
      <c r="D990" s="66"/>
      <c r="E990" s="66"/>
      <c r="F990" s="66"/>
      <c r="G990" s="66"/>
      <c r="H990" s="66"/>
    </row>
    <row r="991" spans="1:8">
      <c r="A991" s="66"/>
      <c r="B991" s="66"/>
      <c r="C991" s="66"/>
      <c r="D991" s="66"/>
      <c r="E991" s="66"/>
      <c r="F991" s="66"/>
      <c r="G991" s="66"/>
      <c r="H991" s="66"/>
    </row>
    <row r="992" spans="1:8">
      <c r="A992" s="66"/>
      <c r="B992" s="66"/>
      <c r="C992" s="66"/>
      <c r="D992" s="66"/>
      <c r="E992" s="66"/>
      <c r="F992" s="66"/>
      <c r="G992" s="66"/>
      <c r="H992" s="66"/>
    </row>
    <row r="993" spans="1:8">
      <c r="A993" s="66"/>
      <c r="B993" s="66"/>
      <c r="C993" s="66"/>
      <c r="D993" s="66"/>
      <c r="E993" s="66"/>
      <c r="F993" s="66"/>
      <c r="G993" s="66"/>
      <c r="H993" s="66"/>
    </row>
    <row r="994" spans="1:8">
      <c r="A994" s="66"/>
      <c r="B994" s="66"/>
      <c r="C994" s="66"/>
      <c r="D994" s="66"/>
      <c r="E994" s="66"/>
      <c r="F994" s="66"/>
      <c r="G994" s="66"/>
      <c r="H994" s="66"/>
    </row>
    <row r="995" spans="1:8">
      <c r="A995" s="66"/>
      <c r="B995" s="66"/>
      <c r="C995" s="66"/>
      <c r="D995" s="66"/>
      <c r="E995" s="66"/>
      <c r="F995" s="66"/>
      <c r="G995" s="66"/>
      <c r="H995" s="66"/>
    </row>
    <row r="996" spans="1:8">
      <c r="A996" s="66"/>
      <c r="B996" s="66"/>
      <c r="C996" s="66"/>
      <c r="D996" s="66"/>
      <c r="E996" s="66"/>
      <c r="F996" s="66"/>
      <c r="G996" s="66"/>
      <c r="H996" s="66"/>
    </row>
    <row r="997" spans="1:8">
      <c r="A997" s="66"/>
      <c r="B997" s="66"/>
      <c r="C997" s="66"/>
      <c r="D997" s="66"/>
      <c r="E997" s="66"/>
      <c r="F997" s="66"/>
      <c r="G997" s="66"/>
      <c r="H997" s="66"/>
    </row>
    <row r="998" spans="1:8">
      <c r="A998" s="66"/>
      <c r="B998" s="66"/>
      <c r="C998" s="66"/>
      <c r="D998" s="66"/>
      <c r="E998" s="66"/>
      <c r="F998" s="66"/>
      <c r="G998" s="66"/>
      <c r="H998" s="66"/>
    </row>
    <row r="999" spans="1:8">
      <c r="A999" s="66"/>
      <c r="B999" s="66"/>
      <c r="C999" s="66"/>
      <c r="D999" s="66"/>
      <c r="E999" s="66"/>
      <c r="F999" s="66"/>
      <c r="G999" s="66"/>
      <c r="H999" s="66"/>
    </row>
    <row r="1000" spans="1:8">
      <c r="A1000" s="66"/>
      <c r="B1000" s="66"/>
      <c r="C1000" s="66"/>
      <c r="D1000" s="66"/>
      <c r="E1000" s="66"/>
      <c r="F1000" s="66"/>
      <c r="G1000" s="66"/>
      <c r="H1000" s="6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140625" defaultRowHeight="15" customHeight="1"/>
  <cols>
    <col min="1" max="1" width="8" customWidth="1"/>
    <col min="2" max="2" width="30.7109375" customWidth="1"/>
    <col min="3" max="3" width="1.42578125" customWidth="1"/>
    <col min="4" max="4" width="11.140625" customWidth="1"/>
    <col min="5" max="5" width="12.5703125" customWidth="1"/>
    <col min="6" max="6" width="11.140625" customWidth="1"/>
    <col min="7" max="7" width="12.5703125" customWidth="1"/>
    <col min="8" max="8" width="11.140625" customWidth="1"/>
    <col min="9" max="9" width="12.5703125" customWidth="1"/>
    <col min="10" max="10" width="1.42578125" customWidth="1"/>
    <col min="11" max="11" width="12.5703125" customWidth="1"/>
    <col min="12" max="12" width="13.42578125" customWidth="1"/>
    <col min="13" max="13" width="8" customWidth="1"/>
    <col min="14" max="14" width="39.5703125" customWidth="1"/>
    <col min="15" max="16" width="12.5703125" customWidth="1"/>
    <col min="17" max="24" width="8" customWidth="1"/>
    <col min="25" max="26" width="7" customWidth="1"/>
  </cols>
  <sheetData>
    <row r="1" spans="1:26" ht="13.5" customHeight="1">
      <c r="A1" s="104"/>
      <c r="B1" s="104"/>
      <c r="C1" s="104"/>
      <c r="D1" s="105"/>
      <c r="E1" s="106"/>
      <c r="F1" s="105"/>
      <c r="G1" s="106"/>
      <c r="H1" s="105"/>
      <c r="I1" s="106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6" ht="12.75" customHeight="1">
      <c r="A2" s="104"/>
      <c r="B2" s="104"/>
      <c r="C2" s="104"/>
      <c r="D2" s="180" t="s">
        <v>137</v>
      </c>
      <c r="E2" s="181"/>
      <c r="F2" s="180" t="s">
        <v>138</v>
      </c>
      <c r="G2" s="181"/>
      <c r="H2" s="180" t="s">
        <v>139</v>
      </c>
      <c r="I2" s="181"/>
      <c r="J2" s="107"/>
      <c r="K2" s="108" t="s">
        <v>140</v>
      </c>
      <c r="L2" s="108" t="s">
        <v>141</v>
      </c>
      <c r="M2" s="104"/>
      <c r="N2" s="104" t="s">
        <v>142</v>
      </c>
      <c r="O2" s="109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ht="13.5" customHeight="1">
      <c r="A3" s="104"/>
      <c r="B3" s="110" t="s">
        <v>127</v>
      </c>
      <c r="C3" s="110"/>
      <c r="D3" s="111" t="s">
        <v>143</v>
      </c>
      <c r="E3" s="112" t="s">
        <v>144</v>
      </c>
      <c r="F3" s="111" t="s">
        <v>143</v>
      </c>
      <c r="G3" s="112" t="s">
        <v>144</v>
      </c>
      <c r="H3" s="111" t="s">
        <v>143</v>
      </c>
      <c r="I3" s="112" t="s">
        <v>144</v>
      </c>
      <c r="J3" s="113"/>
      <c r="K3" s="114"/>
      <c r="L3" s="11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ht="12.75" customHeight="1">
      <c r="A4" s="104"/>
      <c r="B4" s="115" t="s">
        <v>145</v>
      </c>
      <c r="C4" s="116"/>
      <c r="D4" s="117">
        <f>83666-18400</f>
        <v>65266</v>
      </c>
      <c r="E4" s="118">
        <f>D4*20</f>
        <v>1305320</v>
      </c>
      <c r="F4" s="117">
        <v>0</v>
      </c>
      <c r="G4" s="118">
        <f t="shared" ref="G4:G6" si="0">F4*200</f>
        <v>0</v>
      </c>
      <c r="H4" s="117">
        <v>135000</v>
      </c>
      <c r="I4" s="118">
        <f>H4*350</f>
        <v>47250000</v>
      </c>
      <c r="J4" s="119"/>
      <c r="K4" s="120">
        <f t="shared" ref="K4:K6" si="1">E4+G4+I4</f>
        <v>48555320</v>
      </c>
      <c r="L4" s="120"/>
      <c r="M4" s="104"/>
      <c r="N4" s="104"/>
      <c r="O4" s="106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ht="12.75" customHeight="1">
      <c r="A5" s="104"/>
      <c r="B5" s="121" t="s">
        <v>146</v>
      </c>
      <c r="C5" s="122"/>
      <c r="D5" s="123"/>
      <c r="E5" s="124"/>
      <c r="F5" s="123">
        <f>23000-10658</f>
        <v>12342</v>
      </c>
      <c r="G5" s="124">
        <f t="shared" si="0"/>
        <v>2468400</v>
      </c>
      <c r="H5" s="123"/>
      <c r="I5" s="124"/>
      <c r="J5" s="125"/>
      <c r="K5" s="126">
        <f t="shared" si="1"/>
        <v>2468400</v>
      </c>
      <c r="L5" s="126"/>
      <c r="M5" s="104"/>
      <c r="N5" s="104" t="s">
        <v>147</v>
      </c>
      <c r="O5" s="106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6" ht="12.75" customHeight="1">
      <c r="A6" s="104"/>
      <c r="B6" s="121" t="s">
        <v>148</v>
      </c>
      <c r="C6" s="122"/>
      <c r="D6" s="123"/>
      <c r="E6" s="124"/>
      <c r="F6" s="123">
        <f>34930-15346</f>
        <v>19584</v>
      </c>
      <c r="G6" s="124">
        <f t="shared" si="0"/>
        <v>3916800</v>
      </c>
      <c r="H6" s="123"/>
      <c r="I6" s="124"/>
      <c r="J6" s="125"/>
      <c r="K6" s="126">
        <f t="shared" si="1"/>
        <v>3916800</v>
      </c>
      <c r="L6" s="126"/>
      <c r="M6" s="104"/>
      <c r="N6" s="104" t="s">
        <v>147</v>
      </c>
      <c r="O6" s="106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 ht="12.75" customHeight="1">
      <c r="A7" s="104"/>
      <c r="B7" s="127" t="s">
        <v>149</v>
      </c>
      <c r="C7" s="122"/>
      <c r="D7" s="123"/>
      <c r="E7" s="124"/>
      <c r="F7" s="123"/>
      <c r="G7" s="124"/>
      <c r="H7" s="123">
        <f>15000+60000+12000</f>
        <v>87000</v>
      </c>
      <c r="I7" s="124">
        <f t="shared" ref="I7:I8" si="2">H7*350</f>
        <v>30450000</v>
      </c>
      <c r="J7" s="125"/>
      <c r="K7" s="126"/>
      <c r="L7" s="126">
        <f t="shared" ref="L7:L8" si="3">E7+G7+I7</f>
        <v>30450000</v>
      </c>
      <c r="M7" s="104"/>
      <c r="N7" s="104" t="s">
        <v>150</v>
      </c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6" ht="12.75" customHeight="1">
      <c r="A8" s="104"/>
      <c r="B8" s="127" t="s">
        <v>151</v>
      </c>
      <c r="C8" s="122"/>
      <c r="D8" s="123"/>
      <c r="E8" s="124"/>
      <c r="F8" s="123">
        <v>31712</v>
      </c>
      <c r="G8" s="124">
        <f>F8*200</f>
        <v>6342400</v>
      </c>
      <c r="H8" s="123">
        <v>15209</v>
      </c>
      <c r="I8" s="124">
        <f t="shared" si="2"/>
        <v>5323150</v>
      </c>
      <c r="J8" s="125"/>
      <c r="K8" s="126"/>
      <c r="L8" s="126">
        <f t="shared" si="3"/>
        <v>11665550</v>
      </c>
      <c r="M8" s="104"/>
      <c r="N8" s="104" t="s">
        <v>152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ht="12.75" customHeight="1">
      <c r="A9" s="104"/>
      <c r="B9" s="121" t="s">
        <v>153</v>
      </c>
      <c r="C9" s="122"/>
      <c r="D9" s="123" t="s">
        <v>292</v>
      </c>
      <c r="E9" s="124" t="e">
        <f>D9*20</f>
        <v>#VALUE!</v>
      </c>
      <c r="F9" s="123"/>
      <c r="G9" s="124"/>
      <c r="H9" s="123"/>
      <c r="I9" s="124"/>
      <c r="J9" s="125"/>
      <c r="K9" s="126" t="e">
        <f>E9+G9+I9</f>
        <v>#VALUE!</v>
      </c>
      <c r="L9" s="126"/>
      <c r="M9" s="104"/>
      <c r="N9" s="104"/>
      <c r="O9" s="106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ht="12.75" customHeight="1">
      <c r="A10" s="104"/>
      <c r="B10" s="128" t="s">
        <v>154</v>
      </c>
      <c r="C10" s="129"/>
      <c r="D10" s="130"/>
      <c r="E10" s="131"/>
      <c r="F10" s="130">
        <v>19000</v>
      </c>
      <c r="G10" s="131"/>
      <c r="H10" s="130"/>
      <c r="I10" s="131"/>
      <c r="J10" s="132"/>
      <c r="K10" s="133"/>
      <c r="L10" s="133"/>
      <c r="M10" s="104"/>
      <c r="N10" s="104"/>
      <c r="O10" s="106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1" spans="1:26" ht="12.75" customHeight="1">
      <c r="A11" s="104"/>
      <c r="B11" s="128" t="s">
        <v>155</v>
      </c>
      <c r="C11" s="129"/>
      <c r="D11" s="130"/>
      <c r="E11" s="131"/>
      <c r="F11" s="130">
        <v>14000</v>
      </c>
      <c r="G11" s="131"/>
      <c r="H11" s="130"/>
      <c r="I11" s="131"/>
      <c r="J11" s="132"/>
      <c r="K11" s="133"/>
      <c r="L11" s="133"/>
      <c r="M11" s="104"/>
      <c r="N11" s="104"/>
      <c r="O11" s="106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 ht="12.75" customHeight="1">
      <c r="A12" s="104"/>
      <c r="B12" s="128"/>
      <c r="C12" s="129"/>
      <c r="D12" s="130"/>
      <c r="E12" s="131"/>
      <c r="F12" s="130"/>
      <c r="G12" s="131"/>
      <c r="H12" s="130"/>
      <c r="I12" s="131"/>
      <c r="J12" s="132"/>
      <c r="K12" s="133"/>
      <c r="L12" s="133"/>
      <c r="M12" s="104"/>
      <c r="N12" s="104"/>
      <c r="O12" s="106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spans="1:26" ht="13.5" customHeight="1">
      <c r="A13" s="104"/>
      <c r="B13" s="134"/>
      <c r="C13" s="135"/>
      <c r="D13" s="136"/>
      <c r="E13" s="137"/>
      <c r="F13" s="136"/>
      <c r="G13" s="137"/>
      <c r="H13" s="136"/>
      <c r="I13" s="137"/>
      <c r="J13" s="138"/>
      <c r="K13" s="135"/>
      <c r="L13" s="135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 ht="13.5" customHeight="1">
      <c r="A14" s="104"/>
      <c r="B14" s="139" t="s">
        <v>156</v>
      </c>
      <c r="C14" s="104"/>
      <c r="D14" s="105"/>
      <c r="E14" s="106"/>
      <c r="F14" s="105"/>
      <c r="G14" s="106"/>
      <c r="H14" s="105"/>
      <c r="I14" s="106"/>
      <c r="J14" s="140"/>
      <c r="K14" s="141" t="e">
        <f t="shared" ref="K14:L14" si="4">SUM(K4:K13)</f>
        <v>#VALUE!</v>
      </c>
      <c r="L14" s="141">
        <f t="shared" si="4"/>
        <v>42115550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ht="12.75" customHeight="1">
      <c r="A15" s="104"/>
      <c r="B15" s="104"/>
      <c r="C15" s="104"/>
      <c r="D15" s="105"/>
      <c r="E15" s="106"/>
      <c r="F15" s="105"/>
      <c r="G15" s="106"/>
      <c r="H15" s="105"/>
      <c r="I15" s="106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ht="12.75" customHeight="1">
      <c r="A16" s="104"/>
      <c r="B16" s="104"/>
      <c r="C16" s="104"/>
      <c r="D16" s="105"/>
      <c r="E16" s="106"/>
      <c r="F16" s="105"/>
      <c r="G16" s="106"/>
      <c r="H16" s="105"/>
      <c r="I16" s="106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spans="1:26" ht="12.75" customHeight="1">
      <c r="A17" s="104"/>
      <c r="B17" s="104"/>
      <c r="C17" s="104"/>
      <c r="D17" s="105"/>
      <c r="E17" s="106"/>
      <c r="F17" s="105"/>
      <c r="G17" s="106"/>
      <c r="H17" s="105"/>
      <c r="I17" s="106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1:26" ht="13.5" customHeight="1">
      <c r="A18" s="104"/>
      <c r="B18" s="142" t="s">
        <v>128</v>
      </c>
      <c r="C18" s="142"/>
      <c r="D18" s="105"/>
      <c r="E18" s="106"/>
      <c r="F18" s="105"/>
      <c r="G18" s="106"/>
      <c r="H18" s="105"/>
      <c r="I18" s="106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1:26" ht="12.75" customHeight="1">
      <c r="A19" s="104"/>
      <c r="B19" s="143" t="s">
        <v>157</v>
      </c>
      <c r="C19" s="116"/>
      <c r="D19" s="117"/>
      <c r="E19" s="118"/>
      <c r="F19" s="117"/>
      <c r="G19" s="118"/>
      <c r="H19" s="117"/>
      <c r="I19" s="144"/>
      <c r="J19" s="115"/>
      <c r="K19" s="120">
        <f t="shared" ref="K19:K24" si="5">E19+G19+I19</f>
        <v>0</v>
      </c>
      <c r="L19" s="120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1:26" ht="12.75" customHeight="1">
      <c r="A20" s="104"/>
      <c r="B20" s="121" t="s">
        <v>158</v>
      </c>
      <c r="C20" s="122"/>
      <c r="D20" s="123"/>
      <c r="E20" s="124"/>
      <c r="F20" s="123"/>
      <c r="G20" s="124"/>
      <c r="H20" s="123">
        <f>325*60</f>
        <v>19500</v>
      </c>
      <c r="I20" s="145">
        <f t="shared" ref="I20:I24" si="6">H20*200</f>
        <v>3900000</v>
      </c>
      <c r="J20" s="121"/>
      <c r="K20" s="126">
        <f t="shared" si="5"/>
        <v>3900000</v>
      </c>
      <c r="L20" s="126"/>
      <c r="M20" s="104"/>
      <c r="N20" s="104" t="s">
        <v>159</v>
      </c>
      <c r="O20" s="106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</row>
    <row r="21" spans="1:26" ht="12.75" customHeight="1">
      <c r="A21" s="104"/>
      <c r="B21" s="121" t="s">
        <v>160</v>
      </c>
      <c r="C21" s="122"/>
      <c r="D21" s="123"/>
      <c r="E21" s="124"/>
      <c r="F21" s="123"/>
      <c r="G21" s="124"/>
      <c r="H21" s="123">
        <f>325*70</f>
        <v>22750</v>
      </c>
      <c r="I21" s="145">
        <f t="shared" si="6"/>
        <v>4550000</v>
      </c>
      <c r="J21" s="121"/>
      <c r="K21" s="126">
        <f t="shared" si="5"/>
        <v>4550000</v>
      </c>
      <c r="L21" s="126"/>
      <c r="M21" s="104"/>
      <c r="N21" s="104" t="s">
        <v>161</v>
      </c>
      <c r="O21" s="106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 spans="1:26" ht="12.75" customHeight="1">
      <c r="A22" s="104"/>
      <c r="B22" s="121" t="s">
        <v>162</v>
      </c>
      <c r="C22" s="122"/>
      <c r="D22" s="123"/>
      <c r="E22" s="124"/>
      <c r="F22" s="123"/>
      <c r="G22" s="124"/>
      <c r="H22" s="123">
        <f>325*85</f>
        <v>27625</v>
      </c>
      <c r="I22" s="145">
        <f t="shared" si="6"/>
        <v>5525000</v>
      </c>
      <c r="J22" s="121"/>
      <c r="K22" s="126">
        <f t="shared" si="5"/>
        <v>5525000</v>
      </c>
      <c r="L22" s="126"/>
      <c r="M22" s="104"/>
      <c r="N22" s="104" t="s">
        <v>163</v>
      </c>
      <c r="O22" s="106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spans="1:26" ht="12.75" customHeight="1">
      <c r="A23" s="104"/>
      <c r="B23" s="121" t="s">
        <v>164</v>
      </c>
      <c r="C23" s="122"/>
      <c r="D23" s="123"/>
      <c r="E23" s="124"/>
      <c r="F23" s="123"/>
      <c r="G23" s="124"/>
      <c r="H23" s="123">
        <f>425*150</f>
        <v>63750</v>
      </c>
      <c r="I23" s="145">
        <f t="shared" si="6"/>
        <v>12750000</v>
      </c>
      <c r="J23" s="121"/>
      <c r="K23" s="126">
        <f t="shared" si="5"/>
        <v>12750000</v>
      </c>
      <c r="L23" s="126"/>
      <c r="M23" s="104"/>
      <c r="N23" s="104" t="s">
        <v>165</v>
      </c>
      <c r="O23" s="106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</row>
    <row r="24" spans="1:26" ht="12.75" customHeight="1">
      <c r="A24" s="104"/>
      <c r="B24" s="121" t="s">
        <v>166</v>
      </c>
      <c r="C24" s="122"/>
      <c r="D24" s="123"/>
      <c r="E24" s="124"/>
      <c r="F24" s="123"/>
      <c r="G24" s="124"/>
      <c r="H24" s="123">
        <f>425*165</f>
        <v>70125</v>
      </c>
      <c r="I24" s="145">
        <f t="shared" si="6"/>
        <v>14025000</v>
      </c>
      <c r="J24" s="121"/>
      <c r="K24" s="126">
        <f t="shared" si="5"/>
        <v>14025000</v>
      </c>
      <c r="L24" s="126"/>
      <c r="M24" s="104"/>
      <c r="N24" s="104" t="s">
        <v>167</v>
      </c>
      <c r="O24" s="106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1:26" ht="12.75" customHeight="1">
      <c r="A25" s="104"/>
      <c r="B25" s="121" t="s">
        <v>168</v>
      </c>
      <c r="C25" s="122"/>
      <c r="D25" s="123"/>
      <c r="E25" s="124"/>
      <c r="F25" s="123"/>
      <c r="G25" s="124"/>
      <c r="H25" s="123"/>
      <c r="I25" s="145"/>
      <c r="J25" s="121"/>
      <c r="K25" s="126"/>
      <c r="L25" s="126"/>
      <c r="M25" s="104"/>
      <c r="N25" s="104" t="s">
        <v>169</v>
      </c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spans="1:26" ht="12.75" customHeight="1">
      <c r="A26" s="104"/>
      <c r="B26" s="127" t="s">
        <v>170</v>
      </c>
      <c r="C26" s="122"/>
      <c r="D26" s="123"/>
      <c r="E26" s="124"/>
      <c r="F26" s="146">
        <v>31089</v>
      </c>
      <c r="G26" s="147">
        <f>F26*200</f>
        <v>6217800</v>
      </c>
      <c r="H26" s="123"/>
      <c r="I26" s="145"/>
      <c r="J26" s="121"/>
      <c r="K26" s="148">
        <f t="shared" ref="K26:K28" si="7">E26+G26+I26</f>
        <v>6217800</v>
      </c>
      <c r="L26" s="148"/>
      <c r="M26" s="149"/>
      <c r="N26" s="149" t="s">
        <v>171</v>
      </c>
      <c r="O26" s="106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1:26" ht="12.75" customHeight="1">
      <c r="A27" s="104"/>
      <c r="B27" s="127" t="s">
        <v>172</v>
      </c>
      <c r="C27" s="122"/>
      <c r="D27" s="123"/>
      <c r="E27" s="124"/>
      <c r="F27" s="123"/>
      <c r="G27" s="124"/>
      <c r="H27" s="146">
        <v>22000</v>
      </c>
      <c r="I27" s="150">
        <f>H27*200</f>
        <v>4400000</v>
      </c>
      <c r="J27" s="121"/>
      <c r="K27" s="148">
        <f t="shared" si="7"/>
        <v>4400000</v>
      </c>
      <c r="L27" s="148"/>
      <c r="M27" s="149"/>
      <c r="N27" s="149" t="s">
        <v>173</v>
      </c>
      <c r="O27" s="106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spans="1:26" ht="12.75" customHeight="1">
      <c r="A28" s="104"/>
      <c r="B28" s="121" t="s">
        <v>174</v>
      </c>
      <c r="C28" s="122"/>
      <c r="D28" s="123" t="s">
        <v>292</v>
      </c>
      <c r="E28" s="124" t="e">
        <f>D28*20</f>
        <v>#VALUE!</v>
      </c>
      <c r="F28" s="123"/>
      <c r="G28" s="124"/>
      <c r="H28" s="123"/>
      <c r="I28" s="145"/>
      <c r="J28" s="121"/>
      <c r="K28" s="126" t="e">
        <f t="shared" si="7"/>
        <v>#VALUE!</v>
      </c>
      <c r="L28" s="126"/>
      <c r="M28" s="104"/>
      <c r="N28" s="104"/>
      <c r="O28" s="106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spans="1:26" ht="12.75" customHeight="1">
      <c r="A29" s="104"/>
      <c r="B29" s="121" t="s">
        <v>175</v>
      </c>
      <c r="C29" s="122"/>
      <c r="D29" s="123"/>
      <c r="E29" s="124"/>
      <c r="F29" s="123"/>
      <c r="G29" s="124"/>
      <c r="H29" s="123"/>
      <c r="I29" s="145"/>
      <c r="J29" s="121"/>
      <c r="K29" s="122"/>
      <c r="L29" s="122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spans="1:26" ht="12.75" customHeight="1">
      <c r="A30" s="104"/>
      <c r="B30" s="121" t="s">
        <v>176</v>
      </c>
      <c r="C30" s="122"/>
      <c r="D30" s="123"/>
      <c r="E30" s="124"/>
      <c r="F30" s="123"/>
      <c r="G30" s="124"/>
      <c r="H30" s="123"/>
      <c r="I30" s="145"/>
      <c r="J30" s="121"/>
      <c r="K30" s="122"/>
      <c r="L30" s="122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1:26" ht="12.75" customHeight="1">
      <c r="A31" s="104"/>
      <c r="B31" s="121" t="s">
        <v>177</v>
      </c>
      <c r="C31" s="122"/>
      <c r="D31" s="123"/>
      <c r="E31" s="124"/>
      <c r="F31" s="123"/>
      <c r="G31" s="124"/>
      <c r="H31" s="123"/>
      <c r="I31" s="145"/>
      <c r="J31" s="121"/>
      <c r="K31" s="122"/>
      <c r="L31" s="122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spans="1:26" ht="12.75" customHeight="1">
      <c r="A32" s="104"/>
      <c r="B32" s="121"/>
      <c r="C32" s="122"/>
      <c r="D32" s="123"/>
      <c r="E32" s="124"/>
      <c r="F32" s="123"/>
      <c r="G32" s="124"/>
      <c r="H32" s="123"/>
      <c r="I32" s="145"/>
      <c r="J32" s="121"/>
      <c r="K32" s="122"/>
      <c r="L32" s="122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spans="1:26" ht="13.5" customHeight="1">
      <c r="A33" s="104"/>
      <c r="B33" s="134"/>
      <c r="C33" s="135"/>
      <c r="D33" s="136"/>
      <c r="E33" s="137"/>
      <c r="F33" s="136"/>
      <c r="G33" s="137"/>
      <c r="H33" s="136"/>
      <c r="I33" s="151"/>
      <c r="J33" s="134"/>
      <c r="K33" s="135"/>
      <c r="L33" s="135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 spans="1:26" ht="13.5" customHeight="1">
      <c r="A34" s="104"/>
      <c r="B34" s="139" t="s">
        <v>156</v>
      </c>
      <c r="C34" s="104"/>
      <c r="D34" s="105"/>
      <c r="E34" s="106"/>
      <c r="F34" s="105"/>
      <c r="G34" s="106"/>
      <c r="H34" s="105"/>
      <c r="I34" s="106"/>
      <c r="J34" s="113"/>
      <c r="K34" s="152" t="e">
        <f>SUM(K19:K33)</f>
        <v>#VALUE!</v>
      </c>
      <c r="L34" s="152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 spans="1:26" ht="12.75" customHeight="1">
      <c r="A35" s="104"/>
      <c r="B35" s="104"/>
      <c r="C35" s="104"/>
      <c r="D35" s="105"/>
      <c r="E35" s="106"/>
      <c r="F35" s="105"/>
      <c r="G35" s="106"/>
      <c r="H35" s="105"/>
      <c r="I35" s="106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spans="1:26" ht="12.75" customHeight="1">
      <c r="A36" s="104"/>
      <c r="B36" s="104"/>
      <c r="C36" s="104"/>
      <c r="D36" s="105"/>
      <c r="E36" s="106"/>
      <c r="F36" s="105"/>
      <c r="G36" s="106"/>
      <c r="H36" s="105"/>
      <c r="I36" s="106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 spans="1:26" ht="13.5" customHeight="1">
      <c r="A37" s="104"/>
      <c r="B37" s="153" t="s">
        <v>178</v>
      </c>
      <c r="C37" s="153"/>
      <c r="D37" s="105"/>
      <c r="E37" s="106"/>
      <c r="F37" s="105"/>
      <c r="G37" s="106"/>
      <c r="H37" s="105"/>
      <c r="I37" s="106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 spans="1:26" ht="12.75" customHeight="1">
      <c r="A38" s="104"/>
      <c r="B38" s="115" t="s">
        <v>146</v>
      </c>
      <c r="C38" s="116"/>
      <c r="D38" s="117"/>
      <c r="E38" s="118"/>
      <c r="F38" s="117">
        <v>10658</v>
      </c>
      <c r="G38" s="118">
        <f t="shared" ref="G38:G41" si="8">F38*200</f>
        <v>2131600</v>
      </c>
      <c r="H38" s="117"/>
      <c r="I38" s="118"/>
      <c r="J38" s="119"/>
      <c r="K38" s="120">
        <f t="shared" ref="K38:K42" si="9">E38+G38+I38</f>
        <v>2131600</v>
      </c>
      <c r="L38" s="120"/>
      <c r="M38" s="104"/>
      <c r="N38" s="104" t="s">
        <v>179</v>
      </c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</row>
    <row r="39" spans="1:26" ht="12.75" customHeight="1">
      <c r="A39" s="104"/>
      <c r="B39" s="121" t="s">
        <v>148</v>
      </c>
      <c r="C39" s="122"/>
      <c r="D39" s="123"/>
      <c r="E39" s="124"/>
      <c r="F39" s="123">
        <v>15346</v>
      </c>
      <c r="G39" s="124">
        <f t="shared" si="8"/>
        <v>3069200</v>
      </c>
      <c r="H39" s="123"/>
      <c r="I39" s="124"/>
      <c r="J39" s="125"/>
      <c r="K39" s="126">
        <f t="shared" si="9"/>
        <v>3069200</v>
      </c>
      <c r="L39" s="126"/>
      <c r="M39" s="104"/>
      <c r="N39" s="104" t="s">
        <v>179</v>
      </c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</row>
    <row r="40" spans="1:26" ht="12.75" customHeight="1">
      <c r="A40" s="104"/>
      <c r="B40" s="121" t="s">
        <v>168</v>
      </c>
      <c r="C40" s="122"/>
      <c r="D40" s="123"/>
      <c r="E40" s="124"/>
      <c r="F40" s="123">
        <v>21383</v>
      </c>
      <c r="G40" s="124">
        <f t="shared" si="8"/>
        <v>4276600</v>
      </c>
      <c r="H40" s="123"/>
      <c r="I40" s="124"/>
      <c r="J40" s="125"/>
      <c r="K40" s="126">
        <f t="shared" si="9"/>
        <v>4276600</v>
      </c>
      <c r="L40" s="126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</row>
    <row r="41" spans="1:26" ht="12.75" customHeight="1">
      <c r="A41" s="104"/>
      <c r="B41" s="121" t="s">
        <v>180</v>
      </c>
      <c r="C41" s="122"/>
      <c r="D41" s="154">
        <f>83666-18400</f>
        <v>65266</v>
      </c>
      <c r="E41" s="155">
        <f t="shared" ref="E41:E42" si="10">D41*20</f>
        <v>1305320</v>
      </c>
      <c r="F41" s="154">
        <v>18400</v>
      </c>
      <c r="G41" s="124">
        <f t="shared" si="8"/>
        <v>3680000</v>
      </c>
      <c r="H41" s="154">
        <v>5000</v>
      </c>
      <c r="I41" s="124">
        <f>H41*250</f>
        <v>1250000</v>
      </c>
      <c r="J41" s="156"/>
      <c r="K41" s="126">
        <f t="shared" si="9"/>
        <v>6235320</v>
      </c>
      <c r="L41" s="157"/>
      <c r="M41" s="104"/>
      <c r="N41" s="104" t="s">
        <v>181</v>
      </c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</row>
    <row r="42" spans="1:26" ht="12.75" customHeight="1">
      <c r="A42" s="104"/>
      <c r="B42" s="121" t="s">
        <v>153</v>
      </c>
      <c r="C42" s="122"/>
      <c r="D42" s="123" t="s">
        <v>292</v>
      </c>
      <c r="E42" s="124" t="e">
        <f t="shared" si="10"/>
        <v>#VALUE!</v>
      </c>
      <c r="F42" s="123"/>
      <c r="G42" s="124"/>
      <c r="H42" s="123"/>
      <c r="I42" s="124"/>
      <c r="J42" s="125"/>
      <c r="K42" s="126" t="e">
        <f t="shared" si="9"/>
        <v>#VALUE!</v>
      </c>
      <c r="L42" s="126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 spans="1:26" ht="13.5" customHeight="1">
      <c r="A43" s="104"/>
      <c r="B43" s="134"/>
      <c r="C43" s="135"/>
      <c r="D43" s="136"/>
      <c r="E43" s="137"/>
      <c r="F43" s="136"/>
      <c r="G43" s="137"/>
      <c r="H43" s="136"/>
      <c r="I43" s="137"/>
      <c r="J43" s="138"/>
      <c r="K43" s="135"/>
      <c r="L43" s="135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ht="13.5" customHeight="1">
      <c r="A44" s="104"/>
      <c r="B44" s="139" t="s">
        <v>156</v>
      </c>
      <c r="C44" s="104"/>
      <c r="D44" s="105"/>
      <c r="E44" s="106"/>
      <c r="F44" s="105"/>
      <c r="G44" s="106"/>
      <c r="H44" s="105"/>
      <c r="I44" s="106"/>
      <c r="J44" s="113"/>
      <c r="K44" s="152" t="e">
        <f t="shared" ref="K44:L44" si="11">SUM(K36:K43)</f>
        <v>#VALUE!</v>
      </c>
      <c r="L44" s="152">
        <f t="shared" si="11"/>
        <v>0</v>
      </c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spans="1:26" ht="12.75" customHeight="1">
      <c r="A45" s="104"/>
      <c r="B45" s="104"/>
      <c r="C45" s="104"/>
      <c r="D45" s="105"/>
      <c r="E45" s="106"/>
      <c r="F45" s="105"/>
      <c r="G45" s="106"/>
      <c r="H45" s="105"/>
      <c r="I45" s="106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spans="1:26" ht="13.5" customHeight="1">
      <c r="A46" s="104"/>
      <c r="B46" s="158" t="s">
        <v>182</v>
      </c>
      <c r="C46" s="158"/>
      <c r="D46" s="105"/>
      <c r="E46" s="106"/>
      <c r="F46" s="105"/>
      <c r="G46" s="106"/>
      <c r="H46" s="105"/>
      <c r="I46" s="106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 spans="1:26" ht="12.75" customHeight="1">
      <c r="A47" s="104"/>
      <c r="B47" s="115" t="s">
        <v>183</v>
      </c>
      <c r="C47" s="116"/>
      <c r="D47" s="117"/>
      <c r="E47" s="118"/>
      <c r="F47" s="117"/>
      <c r="G47" s="118"/>
      <c r="H47" s="117">
        <v>16000</v>
      </c>
      <c r="I47" s="118">
        <f t="shared" ref="I47:I49" si="12">H47*250</f>
        <v>4000000</v>
      </c>
      <c r="J47" s="115"/>
      <c r="K47" s="120">
        <f t="shared" ref="K47:K51" si="13">E47+G47+I47</f>
        <v>4000000</v>
      </c>
      <c r="L47" s="120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</row>
    <row r="48" spans="1:26" ht="12.75" customHeight="1">
      <c r="A48" s="104"/>
      <c r="B48" s="121" t="s">
        <v>184</v>
      </c>
      <c r="C48" s="122"/>
      <c r="D48" s="123"/>
      <c r="E48" s="124"/>
      <c r="F48" s="123"/>
      <c r="G48" s="124"/>
      <c r="H48" s="123">
        <v>16000</v>
      </c>
      <c r="I48" s="124">
        <f t="shared" si="12"/>
        <v>4000000</v>
      </c>
      <c r="J48" s="121"/>
      <c r="K48" s="126">
        <f t="shared" si="13"/>
        <v>4000000</v>
      </c>
      <c r="L48" s="126"/>
      <c r="M48" s="104"/>
      <c r="N48" s="104" t="s">
        <v>185</v>
      </c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</row>
    <row r="49" spans="1:26" ht="12.75" customHeight="1">
      <c r="A49" s="104"/>
      <c r="B49" s="121" t="s">
        <v>186</v>
      </c>
      <c r="C49" s="122"/>
      <c r="D49" s="123"/>
      <c r="E49" s="124"/>
      <c r="F49" s="123"/>
      <c r="G49" s="124"/>
      <c r="H49" s="123">
        <v>23000</v>
      </c>
      <c r="I49" s="124">
        <f t="shared" si="12"/>
        <v>5750000</v>
      </c>
      <c r="J49" s="121"/>
      <c r="K49" s="126">
        <f t="shared" si="13"/>
        <v>5750000</v>
      </c>
      <c r="L49" s="126"/>
      <c r="M49" s="104"/>
      <c r="N49" s="104" t="s">
        <v>185</v>
      </c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spans="1:26" ht="12.75" customHeight="1">
      <c r="A50" s="104"/>
      <c r="B50" s="121" t="s">
        <v>187</v>
      </c>
      <c r="C50" s="122"/>
      <c r="D50" s="123">
        <f>63270-F50</f>
        <v>38270</v>
      </c>
      <c r="E50" s="124">
        <f>D50*20</f>
        <v>765400</v>
      </c>
      <c r="F50" s="123">
        <v>25000</v>
      </c>
      <c r="G50" s="124">
        <f>F50*200</f>
        <v>5000000</v>
      </c>
      <c r="H50" s="123"/>
      <c r="I50" s="124"/>
      <c r="J50" s="121"/>
      <c r="K50" s="126">
        <f t="shared" si="13"/>
        <v>5765400</v>
      </c>
      <c r="L50" s="126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spans="1:26" ht="12.75" customHeight="1">
      <c r="A51" s="104"/>
      <c r="B51" s="121" t="s">
        <v>188</v>
      </c>
      <c r="C51" s="122"/>
      <c r="D51" s="123"/>
      <c r="E51" s="124"/>
      <c r="F51" s="123"/>
      <c r="G51" s="124"/>
      <c r="H51" s="123">
        <v>7500</v>
      </c>
      <c r="I51" s="124">
        <f>H51*250</f>
        <v>1875000</v>
      </c>
      <c r="J51" s="121"/>
      <c r="K51" s="126">
        <f t="shared" si="13"/>
        <v>1875000</v>
      </c>
      <c r="L51" s="126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 spans="1:26" ht="13.5" customHeight="1">
      <c r="A52" s="104"/>
      <c r="B52" s="134"/>
      <c r="C52" s="135"/>
      <c r="D52" s="136"/>
      <c r="E52" s="137"/>
      <c r="F52" s="136"/>
      <c r="G52" s="137"/>
      <c r="H52" s="136"/>
      <c r="I52" s="137"/>
      <c r="J52" s="128"/>
      <c r="K52" s="129"/>
      <c r="L52" s="129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</row>
    <row r="53" spans="1:26" ht="13.5" customHeight="1">
      <c r="A53" s="104"/>
      <c r="B53" s="139" t="s">
        <v>156</v>
      </c>
      <c r="C53" s="104"/>
      <c r="D53" s="105"/>
      <c r="E53" s="106"/>
      <c r="F53" s="105"/>
      <c r="G53" s="106"/>
      <c r="H53" s="105"/>
      <c r="I53" s="106"/>
      <c r="J53" s="140"/>
      <c r="K53" s="141">
        <f t="shared" ref="K53:L53" si="14">SUM(K45:K52)</f>
        <v>21390400</v>
      </c>
      <c r="L53" s="141">
        <f t="shared" si="14"/>
        <v>0</v>
      </c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spans="1:26" ht="12.75" customHeight="1">
      <c r="A54" s="104"/>
      <c r="B54" s="139"/>
      <c r="C54" s="104"/>
      <c r="D54" s="105"/>
      <c r="E54" s="106"/>
      <c r="F54" s="105"/>
      <c r="G54" s="106"/>
      <c r="H54" s="105"/>
      <c r="I54" s="106"/>
      <c r="J54" s="104"/>
      <c r="K54" s="106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 spans="1:26" ht="13.5" customHeight="1">
      <c r="A55" s="104"/>
      <c r="B55" s="104" t="s">
        <v>189</v>
      </c>
      <c r="C55" s="104"/>
      <c r="D55" s="105"/>
      <c r="E55" s="106"/>
      <c r="F55" s="105"/>
      <c r="G55" s="106"/>
      <c r="H55" s="105"/>
      <c r="I55" s="106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</row>
    <row r="56" spans="1:26" ht="12.75" customHeight="1">
      <c r="A56" s="104"/>
      <c r="B56" s="115" t="s">
        <v>190</v>
      </c>
      <c r="C56" s="119"/>
      <c r="D56" s="159"/>
      <c r="E56" s="118"/>
      <c r="F56" s="117"/>
      <c r="G56" s="118"/>
      <c r="H56" s="117"/>
      <c r="I56" s="118"/>
      <c r="J56" s="115"/>
      <c r="K56" s="120">
        <f t="shared" ref="K56:K57" si="15">E56+G56+I56</f>
        <v>0</v>
      </c>
      <c r="L56" s="116"/>
      <c r="M56" s="104"/>
      <c r="N56" s="104" t="s">
        <v>191</v>
      </c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 spans="1:26" ht="12.75" customHeight="1">
      <c r="A57" s="104"/>
      <c r="B57" s="121" t="s">
        <v>192</v>
      </c>
      <c r="C57" s="125"/>
      <c r="D57" s="160"/>
      <c r="E57" s="124"/>
      <c r="F57" s="123"/>
      <c r="G57" s="124"/>
      <c r="H57" s="123"/>
      <c r="I57" s="124"/>
      <c r="J57" s="121"/>
      <c r="K57" s="126">
        <f t="shared" si="15"/>
        <v>0</v>
      </c>
      <c r="L57" s="122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 spans="1:26" ht="12.75" customHeight="1">
      <c r="A58" s="104"/>
      <c r="B58" s="121" t="s">
        <v>153</v>
      </c>
      <c r="C58" s="125"/>
      <c r="D58" s="123" t="s">
        <v>292</v>
      </c>
      <c r="E58" s="124" t="e">
        <f>D58*20</f>
        <v>#VALUE!</v>
      </c>
      <c r="F58" s="123"/>
      <c r="G58" s="124"/>
      <c r="H58" s="123"/>
      <c r="I58" s="124"/>
      <c r="J58" s="121"/>
      <c r="K58" s="122"/>
      <c r="L58" s="122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</row>
    <row r="59" spans="1:26" ht="13.5" customHeight="1">
      <c r="A59" s="104"/>
      <c r="B59" s="134"/>
      <c r="C59" s="138"/>
      <c r="D59" s="136"/>
      <c r="E59" s="137"/>
      <c r="F59" s="136"/>
      <c r="G59" s="137"/>
      <c r="H59" s="136"/>
      <c r="I59" s="137"/>
      <c r="J59" s="134"/>
      <c r="K59" s="135"/>
      <c r="L59" s="135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</row>
    <row r="60" spans="1:26" ht="13.5" customHeight="1">
      <c r="A60" s="104"/>
      <c r="B60" s="139" t="s">
        <v>156</v>
      </c>
      <c r="C60" s="104"/>
      <c r="D60" s="105"/>
      <c r="E60" s="106"/>
      <c r="F60" s="105"/>
      <c r="G60" s="106"/>
      <c r="H60" s="105"/>
      <c r="I60" s="106"/>
      <c r="J60" s="113"/>
      <c r="K60" s="152">
        <f t="shared" ref="K60:L60" si="16">SUM(K52:K59)</f>
        <v>21390400</v>
      </c>
      <c r="L60" s="152">
        <f t="shared" si="16"/>
        <v>0</v>
      </c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</row>
    <row r="61" spans="1:26" ht="12.75" customHeight="1">
      <c r="A61" s="104"/>
      <c r="B61" s="104"/>
      <c r="C61" s="104"/>
      <c r="D61" s="105"/>
      <c r="E61" s="106"/>
      <c r="F61" s="105"/>
      <c r="G61" s="106"/>
      <c r="H61" s="105"/>
      <c r="I61" s="106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26" ht="13.5" customHeight="1">
      <c r="A62" s="104"/>
      <c r="B62" s="161" t="s">
        <v>126</v>
      </c>
      <c r="C62" s="161"/>
      <c r="D62" s="105"/>
      <c r="E62" s="106"/>
      <c r="F62" s="105"/>
      <c r="G62" s="106"/>
      <c r="H62" s="105"/>
      <c r="I62" s="106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</row>
    <row r="63" spans="1:26" ht="12.75" customHeight="1">
      <c r="A63" s="104"/>
      <c r="B63" s="115" t="s">
        <v>193</v>
      </c>
      <c r="C63" s="116"/>
      <c r="D63" s="117"/>
      <c r="E63" s="118"/>
      <c r="F63" s="117"/>
      <c r="G63" s="118"/>
      <c r="H63" s="117"/>
      <c r="I63" s="118"/>
      <c r="J63" s="115"/>
      <c r="K63" s="116"/>
      <c r="L63" s="116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</row>
    <row r="64" spans="1:26" ht="12.75" customHeight="1">
      <c r="A64" s="104"/>
      <c r="B64" s="121" t="s">
        <v>194</v>
      </c>
      <c r="C64" s="122"/>
      <c r="D64" s="123"/>
      <c r="E64" s="124"/>
      <c r="F64" s="123"/>
      <c r="G64" s="124"/>
      <c r="H64" s="123"/>
      <c r="I64" s="124"/>
      <c r="J64" s="121"/>
      <c r="K64" s="122"/>
      <c r="L64" s="122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</row>
    <row r="65" spans="1:26" ht="12.75" customHeight="1">
      <c r="A65" s="104"/>
      <c r="B65" s="121" t="s">
        <v>195</v>
      </c>
      <c r="C65" s="122"/>
      <c r="D65" s="123"/>
      <c r="E65" s="124"/>
      <c r="F65" s="123"/>
      <c r="G65" s="124"/>
      <c r="H65" s="123"/>
      <c r="I65" s="124"/>
      <c r="J65" s="121"/>
      <c r="K65" s="122"/>
      <c r="L65" s="122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</row>
    <row r="66" spans="1:26" ht="12.75" customHeight="1">
      <c r="A66" s="104"/>
      <c r="B66" s="121" t="s">
        <v>196</v>
      </c>
      <c r="C66" s="122"/>
      <c r="D66" s="123"/>
      <c r="E66" s="124"/>
      <c r="F66" s="123"/>
      <c r="G66" s="124"/>
      <c r="H66" s="123"/>
      <c r="I66" s="124"/>
      <c r="J66" s="121"/>
      <c r="K66" s="122"/>
      <c r="L66" s="122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</row>
    <row r="67" spans="1:26" ht="12.75" customHeight="1">
      <c r="A67" s="104"/>
      <c r="B67" s="127" t="s">
        <v>197</v>
      </c>
      <c r="C67" s="122"/>
      <c r="D67" s="123"/>
      <c r="E67" s="124"/>
      <c r="F67" s="123"/>
      <c r="G67" s="124"/>
      <c r="H67" s="146">
        <v>20000</v>
      </c>
      <c r="I67" s="124">
        <f t="shared" ref="I67:I68" si="17">H67*250</f>
        <v>5000000</v>
      </c>
      <c r="J67" s="121"/>
      <c r="K67" s="126"/>
      <c r="L67" s="126">
        <f t="shared" ref="L67:L68" si="18">E67+G67+I67</f>
        <v>5000000</v>
      </c>
      <c r="M67" s="104"/>
      <c r="N67" s="104" t="s">
        <v>152</v>
      </c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 spans="1:26" ht="12.75" customHeight="1">
      <c r="A68" s="104"/>
      <c r="B68" s="127" t="s">
        <v>198</v>
      </c>
      <c r="C68" s="122"/>
      <c r="D68" s="123"/>
      <c r="E68" s="124"/>
      <c r="F68" s="123"/>
      <c r="G68" s="124"/>
      <c r="H68" s="146">
        <v>35000</v>
      </c>
      <c r="I68" s="124">
        <f t="shared" si="17"/>
        <v>8750000</v>
      </c>
      <c r="J68" s="121"/>
      <c r="K68" s="126"/>
      <c r="L68" s="126">
        <f t="shared" si="18"/>
        <v>8750000</v>
      </c>
      <c r="M68" s="104"/>
      <c r="N68" s="104" t="s">
        <v>152</v>
      </c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</row>
    <row r="69" spans="1:26" ht="13.5" customHeight="1">
      <c r="A69" s="104"/>
      <c r="B69" s="162"/>
      <c r="C69" s="135"/>
      <c r="D69" s="136"/>
      <c r="E69" s="137"/>
      <c r="F69" s="136"/>
      <c r="G69" s="137"/>
      <c r="H69" s="163"/>
      <c r="I69" s="137"/>
      <c r="J69" s="134"/>
      <c r="K69" s="135"/>
      <c r="L69" s="135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</row>
    <row r="70" spans="1:26" ht="13.5" customHeight="1">
      <c r="A70" s="104"/>
      <c r="B70" s="139" t="s">
        <v>156</v>
      </c>
      <c r="C70" s="104"/>
      <c r="D70" s="105"/>
      <c r="E70" s="106"/>
      <c r="F70" s="105"/>
      <c r="G70" s="106"/>
      <c r="H70" s="105"/>
      <c r="I70" s="106"/>
      <c r="J70" s="113"/>
      <c r="K70" s="152">
        <f t="shared" ref="K70:L70" si="19">SUM(K63:K69)</f>
        <v>0</v>
      </c>
      <c r="L70" s="152">
        <f t="shared" si="19"/>
        <v>13750000</v>
      </c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</row>
    <row r="71" spans="1:26" ht="12.75" customHeight="1">
      <c r="A71" s="104"/>
      <c r="B71" s="104"/>
      <c r="C71" s="104"/>
      <c r="D71" s="105"/>
      <c r="E71" s="106"/>
      <c r="F71" s="105"/>
      <c r="G71" s="106"/>
      <c r="H71" s="105"/>
      <c r="I71" s="106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</row>
    <row r="72" spans="1:26" ht="12.75" customHeight="1">
      <c r="A72" s="104"/>
      <c r="B72" s="104"/>
      <c r="C72" s="104"/>
      <c r="D72" s="105"/>
      <c r="E72" s="106"/>
      <c r="F72" s="105"/>
      <c r="G72" s="106"/>
      <c r="H72" s="105"/>
      <c r="I72" s="106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</row>
    <row r="73" spans="1:26" ht="13.5" customHeight="1">
      <c r="A73" s="104"/>
      <c r="B73" s="164" t="s">
        <v>199</v>
      </c>
      <c r="C73" s="164"/>
      <c r="D73" s="105"/>
      <c r="E73" s="106"/>
      <c r="F73" s="105"/>
      <c r="G73" s="106"/>
      <c r="H73" s="105"/>
      <c r="I73" s="106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</row>
    <row r="74" spans="1:26" ht="12.75" customHeight="1">
      <c r="A74" s="104"/>
      <c r="B74" s="115" t="s">
        <v>200</v>
      </c>
      <c r="C74" s="116"/>
      <c r="D74" s="117"/>
      <c r="E74" s="118"/>
      <c r="F74" s="117"/>
      <c r="G74" s="118"/>
      <c r="H74" s="117">
        <f>150*200*2</f>
        <v>60000</v>
      </c>
      <c r="I74" s="118">
        <f>H74*80</f>
        <v>4800000</v>
      </c>
      <c r="J74" s="115"/>
      <c r="K74" s="116"/>
      <c r="L74" s="116"/>
      <c r="M74" s="104"/>
      <c r="N74" s="104" t="s">
        <v>201</v>
      </c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</row>
    <row r="75" spans="1:26" ht="12.75" customHeight="1">
      <c r="A75" s="104"/>
      <c r="B75" s="121" t="s">
        <v>202</v>
      </c>
      <c r="C75" s="122"/>
      <c r="D75" s="123"/>
      <c r="E75" s="124"/>
      <c r="F75" s="123"/>
      <c r="G75" s="124"/>
      <c r="H75" s="123">
        <f>50*200*1.5</f>
        <v>15000</v>
      </c>
      <c r="I75" s="124">
        <f t="shared" ref="I75:I79" si="20">H75*8</f>
        <v>120000</v>
      </c>
      <c r="J75" s="121"/>
      <c r="K75" s="122"/>
      <c r="L75" s="126">
        <f t="shared" ref="L75:L79" si="21">E75+G75+I75</f>
        <v>120000</v>
      </c>
      <c r="M75" s="104"/>
      <c r="N75" s="104" t="s">
        <v>203</v>
      </c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</row>
    <row r="76" spans="1:26" ht="12.75" customHeight="1">
      <c r="A76" s="104"/>
      <c r="B76" s="121" t="s">
        <v>204</v>
      </c>
      <c r="C76" s="122"/>
      <c r="D76" s="123"/>
      <c r="E76" s="124"/>
      <c r="F76" s="123"/>
      <c r="G76" s="124"/>
      <c r="H76" s="123">
        <f>125*200*1.5</f>
        <v>37500</v>
      </c>
      <c r="I76" s="124">
        <f t="shared" si="20"/>
        <v>300000</v>
      </c>
      <c r="J76" s="121"/>
      <c r="K76" s="122"/>
      <c r="L76" s="126">
        <f t="shared" si="21"/>
        <v>300000</v>
      </c>
      <c r="M76" s="104"/>
      <c r="N76" s="104" t="s">
        <v>205</v>
      </c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</row>
    <row r="77" spans="1:26" ht="12.75" customHeight="1">
      <c r="A77" s="104"/>
      <c r="B77" s="121" t="s">
        <v>206</v>
      </c>
      <c r="C77" s="122"/>
      <c r="D77" s="123"/>
      <c r="E77" s="124"/>
      <c r="F77" s="123"/>
      <c r="G77" s="124"/>
      <c r="H77" s="123">
        <f>60*200*1.5</f>
        <v>18000</v>
      </c>
      <c r="I77" s="124">
        <f t="shared" si="20"/>
        <v>144000</v>
      </c>
      <c r="J77" s="121"/>
      <c r="K77" s="122"/>
      <c r="L77" s="126">
        <f t="shared" si="21"/>
        <v>144000</v>
      </c>
      <c r="M77" s="104"/>
      <c r="N77" s="104" t="s">
        <v>207</v>
      </c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</row>
    <row r="78" spans="1:26" ht="12.75" customHeight="1">
      <c r="A78" s="104"/>
      <c r="B78" s="127" t="s">
        <v>208</v>
      </c>
      <c r="C78" s="122"/>
      <c r="D78" s="123"/>
      <c r="E78" s="124"/>
      <c r="F78" s="123"/>
      <c r="G78" s="124"/>
      <c r="H78" s="123">
        <f>40*200*1.5</f>
        <v>12000</v>
      </c>
      <c r="I78" s="124">
        <f t="shared" si="20"/>
        <v>96000</v>
      </c>
      <c r="J78" s="121"/>
      <c r="K78" s="122"/>
      <c r="L78" s="126">
        <f t="shared" si="21"/>
        <v>96000</v>
      </c>
      <c r="M78" s="104"/>
      <c r="N78" s="149" t="s">
        <v>209</v>
      </c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</row>
    <row r="79" spans="1:26" ht="12.75" customHeight="1">
      <c r="A79" s="104"/>
      <c r="B79" s="127" t="s">
        <v>210</v>
      </c>
      <c r="C79" s="122"/>
      <c r="D79" s="123"/>
      <c r="E79" s="124"/>
      <c r="F79" s="123"/>
      <c r="G79" s="124"/>
      <c r="H79" s="123">
        <f>25*200*1.5</f>
        <v>7500</v>
      </c>
      <c r="I79" s="124">
        <f t="shared" si="20"/>
        <v>60000</v>
      </c>
      <c r="J79" s="121"/>
      <c r="K79" s="122"/>
      <c r="L79" s="126">
        <f t="shared" si="21"/>
        <v>60000</v>
      </c>
      <c r="M79" s="104"/>
      <c r="N79" s="149" t="s">
        <v>211</v>
      </c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</row>
    <row r="80" spans="1:26" ht="12.75" customHeight="1">
      <c r="A80" s="104"/>
      <c r="B80" s="127" t="s">
        <v>212</v>
      </c>
      <c r="C80" s="122"/>
      <c r="D80" s="123"/>
      <c r="E80" s="124"/>
      <c r="F80" s="123"/>
      <c r="G80" s="124"/>
      <c r="H80" s="123">
        <f>30*200*2</f>
        <v>12000</v>
      </c>
      <c r="I80" s="124">
        <f>H80*80</f>
        <v>960000</v>
      </c>
      <c r="J80" s="121"/>
      <c r="K80" s="122"/>
      <c r="L80" s="122"/>
      <c r="M80" s="104"/>
      <c r="N80" s="149" t="s">
        <v>213</v>
      </c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</row>
    <row r="81" spans="1:26" ht="12.75" customHeight="1">
      <c r="A81" s="104"/>
      <c r="B81" s="127" t="s">
        <v>214</v>
      </c>
      <c r="C81" s="122"/>
      <c r="D81" s="123"/>
      <c r="E81" s="124"/>
      <c r="F81" s="123"/>
      <c r="G81" s="124"/>
      <c r="H81" s="123"/>
      <c r="I81" s="124"/>
      <c r="J81" s="121"/>
      <c r="K81" s="122"/>
      <c r="L81" s="122"/>
      <c r="M81" s="104"/>
      <c r="N81" s="149" t="s">
        <v>215</v>
      </c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</row>
    <row r="82" spans="1:26" ht="12.75" customHeight="1">
      <c r="A82" s="104"/>
      <c r="B82" s="127" t="s">
        <v>216</v>
      </c>
      <c r="C82" s="122"/>
      <c r="D82" s="123"/>
      <c r="E82" s="124"/>
      <c r="F82" s="123"/>
      <c r="G82" s="124"/>
      <c r="H82" s="123"/>
      <c r="I82" s="124"/>
      <c r="J82" s="121"/>
      <c r="K82" s="122"/>
      <c r="L82" s="122"/>
      <c r="M82" s="104"/>
      <c r="N82" s="149" t="s">
        <v>217</v>
      </c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</row>
    <row r="83" spans="1:26" ht="13.5" customHeight="1">
      <c r="A83" s="104"/>
      <c r="B83" s="134"/>
      <c r="C83" s="135"/>
      <c r="D83" s="136"/>
      <c r="E83" s="137"/>
      <c r="F83" s="136"/>
      <c r="G83" s="137"/>
      <c r="H83" s="136"/>
      <c r="I83" s="137"/>
      <c r="J83" s="134"/>
      <c r="K83" s="135"/>
      <c r="L83" s="135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</row>
    <row r="84" spans="1:26" ht="13.5" customHeight="1">
      <c r="A84" s="104"/>
      <c r="B84" s="139" t="s">
        <v>156</v>
      </c>
      <c r="C84" s="104"/>
      <c r="D84" s="105"/>
      <c r="E84" s="106"/>
      <c r="F84" s="105"/>
      <c r="G84" s="106"/>
      <c r="H84" s="105"/>
      <c r="I84" s="106"/>
      <c r="J84" s="113"/>
      <c r="K84" s="152">
        <f t="shared" ref="K84:L84" si="22">SUM(K72:K83)</f>
        <v>0</v>
      </c>
      <c r="L84" s="152">
        <f t="shared" si="22"/>
        <v>720000</v>
      </c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</row>
    <row r="85" spans="1:26" ht="12.75" customHeight="1">
      <c r="A85" s="104"/>
      <c r="B85" s="104"/>
      <c r="C85" s="104"/>
      <c r="D85" s="105"/>
      <c r="E85" s="106"/>
      <c r="F85" s="105"/>
      <c r="G85" s="106"/>
      <c r="H85" s="105"/>
      <c r="I85" s="106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</row>
    <row r="86" spans="1:26" ht="12.75" customHeight="1">
      <c r="A86" s="104"/>
      <c r="B86" s="104"/>
      <c r="C86" s="104"/>
      <c r="D86" s="105"/>
      <c r="E86" s="106"/>
      <c r="F86" s="105"/>
      <c r="G86" s="106"/>
      <c r="H86" s="105"/>
      <c r="I86" s="106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</row>
    <row r="87" spans="1:26" ht="13.5" customHeight="1">
      <c r="A87" s="104"/>
      <c r="B87" s="104" t="s">
        <v>218</v>
      </c>
      <c r="C87" s="104"/>
      <c r="D87" s="105"/>
      <c r="E87" s="106"/>
      <c r="F87" s="105"/>
      <c r="G87" s="106"/>
      <c r="H87" s="105"/>
      <c r="I87" s="106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</row>
    <row r="88" spans="1:26" ht="12.75" customHeight="1">
      <c r="A88" s="104"/>
      <c r="B88" s="115"/>
      <c r="C88" s="119"/>
      <c r="D88" s="165"/>
      <c r="E88" s="166"/>
      <c r="F88" s="165"/>
      <c r="G88" s="166"/>
      <c r="H88" s="165"/>
      <c r="I88" s="166"/>
      <c r="J88" s="119"/>
      <c r="K88" s="116"/>
      <c r="L88" s="116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</row>
    <row r="89" spans="1:26" ht="12.75" customHeight="1">
      <c r="A89" s="104"/>
      <c r="B89" s="121"/>
      <c r="C89" s="125"/>
      <c r="D89" s="167"/>
      <c r="E89" s="168"/>
      <c r="F89" s="167"/>
      <c r="G89" s="168"/>
      <c r="H89" s="167"/>
      <c r="I89" s="168"/>
      <c r="J89" s="125"/>
      <c r="K89" s="122"/>
      <c r="L89" s="122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</row>
    <row r="90" spans="1:26" ht="12.75" customHeight="1">
      <c r="A90" s="104"/>
      <c r="B90" s="121"/>
      <c r="C90" s="125"/>
      <c r="D90" s="167"/>
      <c r="E90" s="168"/>
      <c r="F90" s="167"/>
      <c r="G90" s="168"/>
      <c r="H90" s="167"/>
      <c r="I90" s="168"/>
      <c r="J90" s="125"/>
      <c r="K90" s="122"/>
      <c r="L90" s="122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</row>
    <row r="91" spans="1:26" ht="13.5" customHeight="1">
      <c r="A91" s="104"/>
      <c r="B91" s="134"/>
      <c r="C91" s="138"/>
      <c r="D91" s="169"/>
      <c r="E91" s="170"/>
      <c r="F91" s="169"/>
      <c r="G91" s="170"/>
      <c r="H91" s="169"/>
      <c r="I91" s="170"/>
      <c r="J91" s="138"/>
      <c r="K91" s="135"/>
      <c r="L91" s="135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</row>
    <row r="92" spans="1:26" ht="13.5" customHeight="1">
      <c r="A92" s="104"/>
      <c r="B92" s="139" t="s">
        <v>156</v>
      </c>
      <c r="C92" s="104"/>
      <c r="D92" s="105"/>
      <c r="E92" s="106"/>
      <c r="F92" s="105">
        <f>SUM(F4:F69)</f>
        <v>218514</v>
      </c>
      <c r="G92" s="106"/>
      <c r="H92" s="105"/>
      <c r="I92" s="106"/>
      <c r="J92" s="113"/>
      <c r="K92" s="152">
        <f t="shared" ref="K92:L92" si="23">SUM(K85:K91)</f>
        <v>0</v>
      </c>
      <c r="L92" s="152">
        <f t="shared" si="23"/>
        <v>0</v>
      </c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</row>
    <row r="93" spans="1:26" ht="12.75" customHeight="1">
      <c r="A93" s="104"/>
      <c r="B93" s="104"/>
      <c r="C93" s="104"/>
      <c r="D93" s="105"/>
      <c r="E93" s="106"/>
      <c r="F93" s="105"/>
      <c r="G93" s="106"/>
      <c r="H93" s="105"/>
      <c r="I93" s="106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</row>
    <row r="94" spans="1:26" ht="12.75" customHeight="1">
      <c r="A94" s="104"/>
      <c r="B94" s="104"/>
      <c r="C94" s="104"/>
      <c r="D94" s="105">
        <f>SUM(D5:D69)</f>
        <v>103536</v>
      </c>
      <c r="E94" s="106"/>
      <c r="F94" s="105">
        <f>H94-D94</f>
        <v>481923</v>
      </c>
      <c r="G94" s="106"/>
      <c r="H94" s="105">
        <f>SUM(H4:H69)</f>
        <v>585459</v>
      </c>
      <c r="I94" s="106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</row>
    <row r="95" spans="1:26" ht="12.75" customHeight="1">
      <c r="A95" s="104"/>
      <c r="B95" s="104"/>
      <c r="C95" s="104"/>
      <c r="D95" s="105"/>
      <c r="E95" s="106"/>
      <c r="F95" s="105">
        <v>1538247</v>
      </c>
      <c r="G95" s="106"/>
      <c r="H95" s="105"/>
      <c r="I95" s="106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</row>
    <row r="96" spans="1:26" ht="12.75" customHeight="1">
      <c r="A96" s="104"/>
      <c r="B96" s="104"/>
      <c r="C96" s="104"/>
      <c r="D96" s="105"/>
      <c r="E96" s="106"/>
      <c r="F96" s="105">
        <f>SUM(F94:F95)</f>
        <v>2020170</v>
      </c>
      <c r="G96" s="106"/>
      <c r="H96" s="105"/>
      <c r="I96" s="106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</row>
    <row r="97" spans="1:26" ht="12.75" customHeight="1">
      <c r="A97" s="104"/>
      <c r="B97" s="104"/>
      <c r="C97" s="104"/>
      <c r="D97" s="105"/>
      <c r="E97" s="106"/>
      <c r="F97" s="105"/>
      <c r="G97" s="106"/>
      <c r="H97" s="105"/>
      <c r="I97" s="106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</row>
    <row r="98" spans="1:26" ht="12.75" customHeight="1">
      <c r="A98" s="104"/>
      <c r="B98" s="104"/>
      <c r="C98" s="104"/>
      <c r="D98" s="105"/>
      <c r="E98" s="106"/>
      <c r="F98" s="105"/>
      <c r="G98" s="106"/>
      <c r="H98" s="105"/>
      <c r="I98" s="106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</row>
    <row r="99" spans="1:26" ht="12.75" customHeight="1">
      <c r="A99" s="104"/>
      <c r="B99" s="104"/>
      <c r="C99" s="104"/>
      <c r="D99" s="105"/>
      <c r="E99" s="106"/>
      <c r="F99" s="105"/>
      <c r="G99" s="106"/>
      <c r="H99" s="105"/>
      <c r="I99" s="106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</row>
    <row r="100" spans="1:26" ht="12.75" customHeight="1">
      <c r="A100" s="104"/>
      <c r="B100" s="104"/>
      <c r="C100" s="104"/>
      <c r="D100" s="105"/>
      <c r="E100" s="106"/>
      <c r="F100" s="105"/>
      <c r="G100" s="106"/>
      <c r="H100" s="105"/>
      <c r="I100" s="106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</row>
    <row r="101" spans="1:26" ht="12.75" customHeight="1">
      <c r="A101" s="104"/>
      <c r="B101" s="104"/>
      <c r="C101" s="104"/>
      <c r="D101" s="105"/>
      <c r="E101" s="106"/>
      <c r="F101" s="105"/>
      <c r="G101" s="106"/>
      <c r="H101" s="105"/>
      <c r="I101" s="106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</row>
    <row r="102" spans="1:26" ht="12.75" customHeight="1">
      <c r="A102" s="104"/>
      <c r="B102" s="104"/>
      <c r="C102" s="104"/>
      <c r="D102" s="105"/>
      <c r="E102" s="106"/>
      <c r="F102" s="105"/>
      <c r="G102" s="106"/>
      <c r="H102" s="105"/>
      <c r="I102" s="106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</row>
    <row r="103" spans="1:26" ht="12.75" customHeight="1">
      <c r="A103" s="104"/>
      <c r="B103" s="104"/>
      <c r="C103" s="104"/>
      <c r="D103" s="105"/>
      <c r="E103" s="106"/>
      <c r="F103" s="105"/>
      <c r="G103" s="106"/>
      <c r="H103" s="105"/>
      <c r="I103" s="106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</row>
    <row r="104" spans="1:26" ht="12.75" customHeight="1">
      <c r="A104" s="104"/>
      <c r="B104" s="104"/>
      <c r="C104" s="104"/>
      <c r="D104" s="105"/>
      <c r="E104" s="106"/>
      <c r="F104" s="105"/>
      <c r="G104" s="106"/>
      <c r="H104" s="105"/>
      <c r="I104" s="106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</row>
    <row r="105" spans="1:26" ht="12.75" customHeight="1">
      <c r="A105" s="104"/>
      <c r="B105" s="104"/>
      <c r="C105" s="104"/>
      <c r="D105" s="105"/>
      <c r="E105" s="106"/>
      <c r="F105" s="105"/>
      <c r="G105" s="106"/>
      <c r="H105" s="105"/>
      <c r="I105" s="106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</row>
    <row r="106" spans="1:26" ht="12.75" customHeight="1">
      <c r="A106" s="104"/>
      <c r="B106" s="104"/>
      <c r="C106" s="104"/>
      <c r="D106" s="105"/>
      <c r="E106" s="106"/>
      <c r="F106" s="105"/>
      <c r="G106" s="106"/>
      <c r="H106" s="105"/>
      <c r="I106" s="106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</row>
    <row r="107" spans="1:26" ht="12.75" customHeight="1">
      <c r="A107" s="104"/>
      <c r="B107" s="104"/>
      <c r="C107" s="104"/>
      <c r="D107" s="105"/>
      <c r="E107" s="106"/>
      <c r="F107" s="105"/>
      <c r="G107" s="106"/>
      <c r="H107" s="105"/>
      <c r="I107" s="106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</row>
    <row r="108" spans="1:26" ht="12.75" customHeight="1">
      <c r="A108" s="104"/>
      <c r="B108" s="104"/>
      <c r="C108" s="104"/>
      <c r="D108" s="105"/>
      <c r="E108" s="106"/>
      <c r="F108" s="105"/>
      <c r="G108" s="106"/>
      <c r="H108" s="105"/>
      <c r="I108" s="106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</row>
    <row r="109" spans="1:26" ht="12.75" customHeight="1">
      <c r="A109" s="104"/>
      <c r="B109" s="104"/>
      <c r="C109" s="104"/>
      <c r="D109" s="105"/>
      <c r="E109" s="106"/>
      <c r="F109" s="105"/>
      <c r="G109" s="106"/>
      <c r="H109" s="105"/>
      <c r="I109" s="106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</row>
    <row r="110" spans="1:26" ht="12.75" customHeight="1">
      <c r="A110" s="104"/>
      <c r="B110" s="104"/>
      <c r="C110" s="104"/>
      <c r="D110" s="105"/>
      <c r="E110" s="106"/>
      <c r="F110" s="105"/>
      <c r="G110" s="106"/>
      <c r="H110" s="105"/>
      <c r="I110" s="106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</row>
    <row r="111" spans="1:26" ht="12.75" customHeight="1">
      <c r="A111" s="104"/>
      <c r="B111" s="104"/>
      <c r="C111" s="104"/>
      <c r="D111" s="105"/>
      <c r="E111" s="106"/>
      <c r="F111" s="105"/>
      <c r="G111" s="106"/>
      <c r="H111" s="105"/>
      <c r="I111" s="106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</row>
    <row r="112" spans="1:26" ht="12.75" customHeight="1">
      <c r="A112" s="104"/>
      <c r="B112" s="104"/>
      <c r="C112" s="104"/>
      <c r="D112" s="105"/>
      <c r="E112" s="106"/>
      <c r="F112" s="105"/>
      <c r="G112" s="106"/>
      <c r="H112" s="105"/>
      <c r="I112" s="106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</row>
    <row r="113" spans="1:26" ht="12.75" customHeight="1">
      <c r="A113" s="104"/>
      <c r="B113" s="104"/>
      <c r="C113" s="104"/>
      <c r="D113" s="105"/>
      <c r="E113" s="106"/>
      <c r="F113" s="105"/>
      <c r="G113" s="106"/>
      <c r="H113" s="105"/>
      <c r="I113" s="106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</row>
    <row r="114" spans="1:26" ht="12.75" customHeight="1">
      <c r="A114" s="104"/>
      <c r="B114" s="104"/>
      <c r="C114" s="104"/>
      <c r="D114" s="105"/>
      <c r="E114" s="106"/>
      <c r="F114" s="105"/>
      <c r="G114" s="106"/>
      <c r="H114" s="105"/>
      <c r="I114" s="106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</row>
    <row r="115" spans="1:26" ht="12.75" customHeight="1">
      <c r="A115" s="104"/>
      <c r="B115" s="104"/>
      <c r="C115" s="104"/>
      <c r="D115" s="105"/>
      <c r="E115" s="106"/>
      <c r="F115" s="105"/>
      <c r="G115" s="106"/>
      <c r="H115" s="105"/>
      <c r="I115" s="106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</row>
    <row r="116" spans="1:26" ht="12.75" customHeight="1">
      <c r="A116" s="104"/>
      <c r="B116" s="104"/>
      <c r="C116" s="104"/>
      <c r="D116" s="105"/>
      <c r="E116" s="106"/>
      <c r="F116" s="105"/>
      <c r="G116" s="106"/>
      <c r="H116" s="105"/>
      <c r="I116" s="106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</row>
    <row r="117" spans="1:26" ht="12.75" customHeight="1">
      <c r="A117" s="104"/>
      <c r="B117" s="104"/>
      <c r="C117" s="104"/>
      <c r="D117" s="105"/>
      <c r="E117" s="106"/>
      <c r="F117" s="105"/>
      <c r="G117" s="106"/>
      <c r="H117" s="105"/>
      <c r="I117" s="106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</row>
    <row r="118" spans="1:26" ht="12.75" customHeight="1">
      <c r="A118" s="104"/>
      <c r="B118" s="104"/>
      <c r="C118" s="104"/>
      <c r="D118" s="105"/>
      <c r="E118" s="106"/>
      <c r="F118" s="105"/>
      <c r="G118" s="106"/>
      <c r="H118" s="105"/>
      <c r="I118" s="106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</row>
    <row r="119" spans="1:26" ht="12.75" customHeight="1">
      <c r="A119" s="104"/>
      <c r="B119" s="104"/>
      <c r="C119" s="104"/>
      <c r="D119" s="105"/>
      <c r="E119" s="106"/>
      <c r="F119" s="105"/>
      <c r="G119" s="106"/>
      <c r="H119" s="105"/>
      <c r="I119" s="106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</row>
    <row r="120" spans="1:26" ht="12.75" customHeight="1">
      <c r="A120" s="104"/>
      <c r="B120" s="104"/>
      <c r="C120" s="104"/>
      <c r="D120" s="105"/>
      <c r="E120" s="106"/>
      <c r="F120" s="105"/>
      <c r="G120" s="106"/>
      <c r="H120" s="105"/>
      <c r="I120" s="106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</row>
    <row r="121" spans="1:26" ht="12.75" customHeight="1">
      <c r="A121" s="104"/>
      <c r="B121" s="104"/>
      <c r="C121" s="104"/>
      <c r="D121" s="105"/>
      <c r="E121" s="106"/>
      <c r="F121" s="105"/>
      <c r="G121" s="106"/>
      <c r="H121" s="105"/>
      <c r="I121" s="106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</row>
    <row r="122" spans="1:26" ht="12.75" customHeight="1">
      <c r="A122" s="104"/>
      <c r="B122" s="104"/>
      <c r="C122" s="104"/>
      <c r="D122" s="105"/>
      <c r="E122" s="106"/>
      <c r="F122" s="105"/>
      <c r="G122" s="106"/>
      <c r="H122" s="105"/>
      <c r="I122" s="106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</row>
    <row r="123" spans="1:26" ht="12.75" customHeight="1">
      <c r="A123" s="104"/>
      <c r="B123" s="104"/>
      <c r="C123" s="104"/>
      <c r="D123" s="105"/>
      <c r="E123" s="106"/>
      <c r="F123" s="105"/>
      <c r="G123" s="106"/>
      <c r="H123" s="105"/>
      <c r="I123" s="106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</row>
    <row r="124" spans="1:26" ht="12.75" customHeight="1">
      <c r="A124" s="104"/>
      <c r="B124" s="104"/>
      <c r="C124" s="104"/>
      <c r="D124" s="105"/>
      <c r="E124" s="106"/>
      <c r="F124" s="105"/>
      <c r="G124" s="106"/>
      <c r="H124" s="105"/>
      <c r="I124" s="106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</row>
    <row r="125" spans="1:26" ht="12.75" customHeight="1">
      <c r="A125" s="104"/>
      <c r="B125" s="104"/>
      <c r="C125" s="104"/>
      <c r="D125" s="105"/>
      <c r="E125" s="106"/>
      <c r="F125" s="105"/>
      <c r="G125" s="106"/>
      <c r="H125" s="105"/>
      <c r="I125" s="106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</row>
    <row r="126" spans="1:26" ht="12.75" customHeight="1">
      <c r="A126" s="104"/>
      <c r="B126" s="104"/>
      <c r="C126" s="104"/>
      <c r="D126" s="105"/>
      <c r="E126" s="106"/>
      <c r="F126" s="105"/>
      <c r="G126" s="106"/>
      <c r="H126" s="105"/>
      <c r="I126" s="106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</row>
    <row r="127" spans="1:26" ht="12.75" customHeight="1">
      <c r="A127" s="104"/>
      <c r="B127" s="104"/>
      <c r="C127" s="104"/>
      <c r="D127" s="105"/>
      <c r="E127" s="106"/>
      <c r="F127" s="105"/>
      <c r="G127" s="106"/>
      <c r="H127" s="105"/>
      <c r="I127" s="106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</row>
    <row r="128" spans="1:26" ht="12.75" customHeight="1">
      <c r="A128" s="104"/>
      <c r="B128" s="104"/>
      <c r="C128" s="104"/>
      <c r="D128" s="105"/>
      <c r="E128" s="106"/>
      <c r="F128" s="105"/>
      <c r="G128" s="106"/>
      <c r="H128" s="105"/>
      <c r="I128" s="106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</row>
    <row r="129" spans="1:26" ht="12.75" customHeight="1">
      <c r="A129" s="104"/>
      <c r="B129" s="104"/>
      <c r="C129" s="104"/>
      <c r="D129" s="105"/>
      <c r="E129" s="106"/>
      <c r="F129" s="105"/>
      <c r="G129" s="106"/>
      <c r="H129" s="105"/>
      <c r="I129" s="106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</row>
    <row r="130" spans="1:26" ht="12.75" customHeight="1">
      <c r="A130" s="104"/>
      <c r="B130" s="104"/>
      <c r="C130" s="104"/>
      <c r="D130" s="105"/>
      <c r="E130" s="106"/>
      <c r="F130" s="105"/>
      <c r="G130" s="106"/>
      <c r="H130" s="105"/>
      <c r="I130" s="106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</row>
    <row r="131" spans="1:26" ht="12.75" customHeight="1">
      <c r="A131" s="104"/>
      <c r="B131" s="104"/>
      <c r="C131" s="104"/>
      <c r="D131" s="105"/>
      <c r="E131" s="106"/>
      <c r="F131" s="105"/>
      <c r="G131" s="106"/>
      <c r="H131" s="105"/>
      <c r="I131" s="106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</row>
    <row r="132" spans="1:26" ht="12.75" customHeight="1">
      <c r="A132" s="104"/>
      <c r="B132" s="104"/>
      <c r="C132" s="104"/>
      <c r="D132" s="105"/>
      <c r="E132" s="106"/>
      <c r="F132" s="105"/>
      <c r="G132" s="106"/>
      <c r="H132" s="105"/>
      <c r="I132" s="106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</row>
    <row r="133" spans="1:26" ht="12.75" customHeight="1">
      <c r="A133" s="104"/>
      <c r="B133" s="104"/>
      <c r="C133" s="104"/>
      <c r="D133" s="105"/>
      <c r="E133" s="106"/>
      <c r="F133" s="105"/>
      <c r="G133" s="106"/>
      <c r="H133" s="105"/>
      <c r="I133" s="106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</row>
    <row r="134" spans="1:26" ht="12.75" customHeight="1">
      <c r="A134" s="104"/>
      <c r="B134" s="104"/>
      <c r="C134" s="104"/>
      <c r="D134" s="105"/>
      <c r="E134" s="106"/>
      <c r="F134" s="105"/>
      <c r="G134" s="106"/>
      <c r="H134" s="105"/>
      <c r="I134" s="106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</row>
    <row r="135" spans="1:26" ht="12.75" customHeight="1">
      <c r="A135" s="104"/>
      <c r="B135" s="104"/>
      <c r="C135" s="104"/>
      <c r="D135" s="105"/>
      <c r="E135" s="106"/>
      <c r="F135" s="105"/>
      <c r="G135" s="106"/>
      <c r="H135" s="105"/>
      <c r="I135" s="106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</row>
    <row r="136" spans="1:26" ht="12.75" customHeight="1">
      <c r="A136" s="104"/>
      <c r="B136" s="104"/>
      <c r="C136" s="104"/>
      <c r="D136" s="105"/>
      <c r="E136" s="106"/>
      <c r="F136" s="105"/>
      <c r="G136" s="106"/>
      <c r="H136" s="105"/>
      <c r="I136" s="106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</row>
    <row r="137" spans="1:26" ht="12.75" customHeight="1">
      <c r="A137" s="104"/>
      <c r="B137" s="104"/>
      <c r="C137" s="104"/>
      <c r="D137" s="105"/>
      <c r="E137" s="106"/>
      <c r="F137" s="105"/>
      <c r="G137" s="106"/>
      <c r="H137" s="105"/>
      <c r="I137" s="106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</row>
    <row r="138" spans="1:26" ht="12.75" customHeight="1">
      <c r="A138" s="104"/>
      <c r="B138" s="104"/>
      <c r="C138" s="104"/>
      <c r="D138" s="105"/>
      <c r="E138" s="106"/>
      <c r="F138" s="105"/>
      <c r="G138" s="106"/>
      <c r="H138" s="105"/>
      <c r="I138" s="106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</row>
    <row r="139" spans="1:26" ht="12.75" customHeight="1">
      <c r="A139" s="104"/>
      <c r="B139" s="104"/>
      <c r="C139" s="104"/>
      <c r="D139" s="105"/>
      <c r="E139" s="106"/>
      <c r="F139" s="105"/>
      <c r="G139" s="106"/>
      <c r="H139" s="105"/>
      <c r="I139" s="106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</row>
    <row r="140" spans="1:26" ht="12.75" customHeight="1">
      <c r="A140" s="104"/>
      <c r="B140" s="104"/>
      <c r="C140" s="104"/>
      <c r="D140" s="105"/>
      <c r="E140" s="106"/>
      <c r="F140" s="105"/>
      <c r="G140" s="106"/>
      <c r="H140" s="105"/>
      <c r="I140" s="106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</row>
    <row r="141" spans="1:26" ht="12.75" customHeight="1">
      <c r="A141" s="104"/>
      <c r="B141" s="104"/>
      <c r="C141" s="104"/>
      <c r="D141" s="105"/>
      <c r="E141" s="106"/>
      <c r="F141" s="105"/>
      <c r="G141" s="106"/>
      <c r="H141" s="105"/>
      <c r="I141" s="106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</row>
    <row r="142" spans="1:26" ht="12.75" customHeight="1">
      <c r="A142" s="104"/>
      <c r="B142" s="104"/>
      <c r="C142" s="104"/>
      <c r="D142" s="105"/>
      <c r="E142" s="106"/>
      <c r="F142" s="105"/>
      <c r="G142" s="106"/>
      <c r="H142" s="105"/>
      <c r="I142" s="106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</row>
    <row r="143" spans="1:26" ht="12.75" customHeight="1">
      <c r="A143" s="104"/>
      <c r="B143" s="104"/>
      <c r="C143" s="104"/>
      <c r="D143" s="105"/>
      <c r="E143" s="106"/>
      <c r="F143" s="105"/>
      <c r="G143" s="106"/>
      <c r="H143" s="105"/>
      <c r="I143" s="106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</row>
    <row r="144" spans="1:26" ht="12.75" customHeight="1">
      <c r="A144" s="104"/>
      <c r="B144" s="104"/>
      <c r="C144" s="104"/>
      <c r="D144" s="105"/>
      <c r="E144" s="106"/>
      <c r="F144" s="105"/>
      <c r="G144" s="106"/>
      <c r="H144" s="105"/>
      <c r="I144" s="106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</row>
    <row r="145" spans="1:26" ht="12.75" customHeight="1">
      <c r="A145" s="104"/>
      <c r="B145" s="104"/>
      <c r="C145" s="104"/>
      <c r="D145" s="105"/>
      <c r="E145" s="106"/>
      <c r="F145" s="105"/>
      <c r="G145" s="106"/>
      <c r="H145" s="105"/>
      <c r="I145" s="106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</row>
    <row r="146" spans="1:26" ht="12.75" customHeight="1">
      <c r="A146" s="104"/>
      <c r="B146" s="104"/>
      <c r="C146" s="104"/>
      <c r="D146" s="105"/>
      <c r="E146" s="106"/>
      <c r="F146" s="105"/>
      <c r="G146" s="106"/>
      <c r="H146" s="105"/>
      <c r="I146" s="106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</row>
    <row r="147" spans="1:26" ht="12.75" customHeight="1">
      <c r="A147" s="104"/>
      <c r="B147" s="104"/>
      <c r="C147" s="104"/>
      <c r="D147" s="105"/>
      <c r="E147" s="106"/>
      <c r="F147" s="105"/>
      <c r="G147" s="106"/>
      <c r="H147" s="105"/>
      <c r="I147" s="106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</row>
    <row r="148" spans="1:26" ht="12.75" customHeight="1">
      <c r="A148" s="104"/>
      <c r="B148" s="104"/>
      <c r="C148" s="104"/>
      <c r="D148" s="105"/>
      <c r="E148" s="106"/>
      <c r="F148" s="105"/>
      <c r="G148" s="106"/>
      <c r="H148" s="105"/>
      <c r="I148" s="106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</row>
    <row r="149" spans="1:26" ht="12.75" customHeight="1">
      <c r="A149" s="104"/>
      <c r="B149" s="104"/>
      <c r="C149" s="104"/>
      <c r="D149" s="105"/>
      <c r="E149" s="106"/>
      <c r="F149" s="105"/>
      <c r="G149" s="106"/>
      <c r="H149" s="105"/>
      <c r="I149" s="106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</row>
    <row r="150" spans="1:26" ht="12.75" customHeight="1">
      <c r="A150" s="104"/>
      <c r="B150" s="104"/>
      <c r="C150" s="104"/>
      <c r="D150" s="105"/>
      <c r="E150" s="106"/>
      <c r="F150" s="105"/>
      <c r="G150" s="106"/>
      <c r="H150" s="105"/>
      <c r="I150" s="106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</row>
    <row r="151" spans="1:26" ht="12.75" customHeight="1">
      <c r="A151" s="104"/>
      <c r="B151" s="104"/>
      <c r="C151" s="104"/>
      <c r="D151" s="105"/>
      <c r="E151" s="106"/>
      <c r="F151" s="105"/>
      <c r="G151" s="106"/>
      <c r="H151" s="105"/>
      <c r="I151" s="106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</row>
    <row r="152" spans="1:26" ht="12.75" customHeight="1">
      <c r="A152" s="104"/>
      <c r="B152" s="104"/>
      <c r="C152" s="104"/>
      <c r="D152" s="105"/>
      <c r="E152" s="106"/>
      <c r="F152" s="105"/>
      <c r="G152" s="106"/>
      <c r="H152" s="105"/>
      <c r="I152" s="106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</row>
    <row r="153" spans="1:26" ht="12.75" customHeight="1">
      <c r="A153" s="104"/>
      <c r="B153" s="104"/>
      <c r="C153" s="104"/>
      <c r="D153" s="105"/>
      <c r="E153" s="106"/>
      <c r="F153" s="105"/>
      <c r="G153" s="106"/>
      <c r="H153" s="105"/>
      <c r="I153" s="106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</row>
    <row r="154" spans="1:26" ht="12.75" customHeight="1">
      <c r="A154" s="104"/>
      <c r="B154" s="104"/>
      <c r="C154" s="104"/>
      <c r="D154" s="105"/>
      <c r="E154" s="106"/>
      <c r="F154" s="105"/>
      <c r="G154" s="106"/>
      <c r="H154" s="105"/>
      <c r="I154" s="106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</row>
    <row r="155" spans="1:26" ht="12.75" customHeight="1">
      <c r="A155" s="104"/>
      <c r="B155" s="104"/>
      <c r="C155" s="104"/>
      <c r="D155" s="105"/>
      <c r="E155" s="106"/>
      <c r="F155" s="105"/>
      <c r="G155" s="106"/>
      <c r="H155" s="105"/>
      <c r="I155" s="106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</row>
    <row r="156" spans="1:26" ht="12.75" customHeight="1">
      <c r="A156" s="104"/>
      <c r="B156" s="104"/>
      <c r="C156" s="104"/>
      <c r="D156" s="105"/>
      <c r="E156" s="106"/>
      <c r="F156" s="105"/>
      <c r="G156" s="106"/>
      <c r="H156" s="105"/>
      <c r="I156" s="106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</row>
    <row r="157" spans="1:26" ht="12.75" customHeight="1">
      <c r="A157" s="104"/>
      <c r="B157" s="104"/>
      <c r="C157" s="104"/>
      <c r="D157" s="105"/>
      <c r="E157" s="106"/>
      <c r="F157" s="105"/>
      <c r="G157" s="106"/>
      <c r="H157" s="105"/>
      <c r="I157" s="106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</row>
    <row r="158" spans="1:26" ht="12.75" customHeight="1">
      <c r="A158" s="104"/>
      <c r="B158" s="104"/>
      <c r="C158" s="104"/>
      <c r="D158" s="105"/>
      <c r="E158" s="106"/>
      <c r="F158" s="105"/>
      <c r="G158" s="106"/>
      <c r="H158" s="105"/>
      <c r="I158" s="106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</row>
    <row r="159" spans="1:26" ht="12.75" customHeight="1">
      <c r="A159" s="104"/>
      <c r="B159" s="104"/>
      <c r="C159" s="104"/>
      <c r="D159" s="105"/>
      <c r="E159" s="106"/>
      <c r="F159" s="105"/>
      <c r="G159" s="106"/>
      <c r="H159" s="105"/>
      <c r="I159" s="106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</row>
    <row r="160" spans="1:26" ht="12.75" customHeight="1">
      <c r="A160" s="104"/>
      <c r="B160" s="104"/>
      <c r="C160" s="104"/>
      <c r="D160" s="105"/>
      <c r="E160" s="106"/>
      <c r="F160" s="105"/>
      <c r="G160" s="106"/>
      <c r="H160" s="105"/>
      <c r="I160" s="106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</row>
    <row r="161" spans="1:26" ht="12.75" customHeight="1">
      <c r="A161" s="104"/>
      <c r="B161" s="104"/>
      <c r="C161" s="104"/>
      <c r="D161" s="105"/>
      <c r="E161" s="106"/>
      <c r="F161" s="105"/>
      <c r="G161" s="106"/>
      <c r="H161" s="105"/>
      <c r="I161" s="106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</row>
    <row r="162" spans="1:26" ht="12.75" customHeight="1">
      <c r="A162" s="104"/>
      <c r="B162" s="104"/>
      <c r="C162" s="104"/>
      <c r="D162" s="105"/>
      <c r="E162" s="106"/>
      <c r="F162" s="105"/>
      <c r="G162" s="106"/>
      <c r="H162" s="105"/>
      <c r="I162" s="106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</row>
    <row r="163" spans="1:26" ht="12.75" customHeight="1">
      <c r="A163" s="104"/>
      <c r="B163" s="104"/>
      <c r="C163" s="104"/>
      <c r="D163" s="105"/>
      <c r="E163" s="106"/>
      <c r="F163" s="105"/>
      <c r="G163" s="106"/>
      <c r="H163" s="105"/>
      <c r="I163" s="106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</row>
    <row r="164" spans="1:26" ht="12.75" customHeight="1">
      <c r="A164" s="104"/>
      <c r="B164" s="104"/>
      <c r="C164" s="104"/>
      <c r="D164" s="105"/>
      <c r="E164" s="106"/>
      <c r="F164" s="105"/>
      <c r="G164" s="106"/>
      <c r="H164" s="105"/>
      <c r="I164" s="106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</row>
    <row r="165" spans="1:26" ht="12.75" customHeight="1">
      <c r="A165" s="104"/>
      <c r="B165" s="104"/>
      <c r="C165" s="104"/>
      <c r="D165" s="105"/>
      <c r="E165" s="106"/>
      <c r="F165" s="105"/>
      <c r="G165" s="106"/>
      <c r="H165" s="105"/>
      <c r="I165" s="106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</row>
    <row r="166" spans="1:26" ht="12.75" customHeight="1">
      <c r="A166" s="104"/>
      <c r="B166" s="104"/>
      <c r="C166" s="104"/>
      <c r="D166" s="105"/>
      <c r="E166" s="106"/>
      <c r="F166" s="105"/>
      <c r="G166" s="106"/>
      <c r="H166" s="105"/>
      <c r="I166" s="106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</row>
    <row r="167" spans="1:26" ht="12.75" customHeight="1">
      <c r="A167" s="104"/>
      <c r="B167" s="104"/>
      <c r="C167" s="104"/>
      <c r="D167" s="105"/>
      <c r="E167" s="106"/>
      <c r="F167" s="105"/>
      <c r="G167" s="106"/>
      <c r="H167" s="105"/>
      <c r="I167" s="106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</row>
    <row r="168" spans="1:26" ht="12.75" customHeight="1">
      <c r="A168" s="104"/>
      <c r="B168" s="104"/>
      <c r="C168" s="104"/>
      <c r="D168" s="105"/>
      <c r="E168" s="106"/>
      <c r="F168" s="105"/>
      <c r="G168" s="106"/>
      <c r="H168" s="105"/>
      <c r="I168" s="106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</row>
    <row r="169" spans="1:26" ht="12.75" customHeight="1">
      <c r="A169" s="104"/>
      <c r="B169" s="104"/>
      <c r="C169" s="104"/>
      <c r="D169" s="105"/>
      <c r="E169" s="106"/>
      <c r="F169" s="105"/>
      <c r="G169" s="106"/>
      <c r="H169" s="105"/>
      <c r="I169" s="106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</row>
    <row r="170" spans="1:26" ht="12.75" customHeight="1">
      <c r="A170" s="104"/>
      <c r="B170" s="104"/>
      <c r="C170" s="104"/>
      <c r="D170" s="105"/>
      <c r="E170" s="106"/>
      <c r="F170" s="105"/>
      <c r="G170" s="106"/>
      <c r="H170" s="105"/>
      <c r="I170" s="106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</row>
    <row r="171" spans="1:26" ht="12.75" customHeight="1">
      <c r="A171" s="104"/>
      <c r="B171" s="104"/>
      <c r="C171" s="104"/>
      <c r="D171" s="105"/>
      <c r="E171" s="106"/>
      <c r="F171" s="105"/>
      <c r="G171" s="106"/>
      <c r="H171" s="105"/>
      <c r="I171" s="106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</row>
    <row r="172" spans="1:26" ht="12.75" customHeight="1">
      <c r="A172" s="104"/>
      <c r="B172" s="104"/>
      <c r="C172" s="104"/>
      <c r="D172" s="105"/>
      <c r="E172" s="106"/>
      <c r="F172" s="105"/>
      <c r="G172" s="106"/>
      <c r="H172" s="105"/>
      <c r="I172" s="106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</row>
    <row r="173" spans="1:26" ht="12.75" customHeight="1">
      <c r="A173" s="104"/>
      <c r="B173" s="104"/>
      <c r="C173" s="104"/>
      <c r="D173" s="105"/>
      <c r="E173" s="106"/>
      <c r="F173" s="105"/>
      <c r="G173" s="106"/>
      <c r="H173" s="105"/>
      <c r="I173" s="106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</row>
    <row r="174" spans="1:26" ht="12.75" customHeight="1">
      <c r="A174" s="104"/>
      <c r="B174" s="104"/>
      <c r="C174" s="104"/>
      <c r="D174" s="105"/>
      <c r="E174" s="106"/>
      <c r="F174" s="105"/>
      <c r="G174" s="106"/>
      <c r="H174" s="105"/>
      <c r="I174" s="106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</row>
    <row r="175" spans="1:26" ht="12.75" customHeight="1">
      <c r="A175" s="104"/>
      <c r="B175" s="104"/>
      <c r="C175" s="104"/>
      <c r="D175" s="105"/>
      <c r="E175" s="106"/>
      <c r="F175" s="105"/>
      <c r="G175" s="106"/>
      <c r="H175" s="105"/>
      <c r="I175" s="106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</row>
    <row r="176" spans="1:26" ht="12.75" customHeight="1">
      <c r="A176" s="104"/>
      <c r="B176" s="104"/>
      <c r="C176" s="104"/>
      <c r="D176" s="105"/>
      <c r="E176" s="106"/>
      <c r="F176" s="105"/>
      <c r="G176" s="106"/>
      <c r="H176" s="105"/>
      <c r="I176" s="106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</row>
    <row r="177" spans="1:26" ht="12.75" customHeight="1">
      <c r="A177" s="104"/>
      <c r="B177" s="104"/>
      <c r="C177" s="104"/>
      <c r="D177" s="105"/>
      <c r="E177" s="106"/>
      <c r="F177" s="105"/>
      <c r="G177" s="106"/>
      <c r="H177" s="105"/>
      <c r="I177" s="106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</row>
    <row r="178" spans="1:26" ht="12.75" customHeight="1">
      <c r="A178" s="104"/>
      <c r="B178" s="104"/>
      <c r="C178" s="104"/>
      <c r="D178" s="105"/>
      <c r="E178" s="106"/>
      <c r="F178" s="105"/>
      <c r="G178" s="106"/>
      <c r="H178" s="105"/>
      <c r="I178" s="106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</row>
    <row r="179" spans="1:26" ht="12.75" customHeight="1">
      <c r="A179" s="104"/>
      <c r="B179" s="104"/>
      <c r="C179" s="104"/>
      <c r="D179" s="105"/>
      <c r="E179" s="106"/>
      <c r="F179" s="105"/>
      <c r="G179" s="106"/>
      <c r="H179" s="105"/>
      <c r="I179" s="106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</row>
    <row r="180" spans="1:26" ht="12.75" customHeight="1">
      <c r="A180" s="104"/>
      <c r="B180" s="104"/>
      <c r="C180" s="104"/>
      <c r="D180" s="105"/>
      <c r="E180" s="106"/>
      <c r="F180" s="105"/>
      <c r="G180" s="106"/>
      <c r="H180" s="105"/>
      <c r="I180" s="106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</row>
    <row r="181" spans="1:26" ht="12.75" customHeight="1">
      <c r="A181" s="104"/>
      <c r="B181" s="104"/>
      <c r="C181" s="104"/>
      <c r="D181" s="105"/>
      <c r="E181" s="106"/>
      <c r="F181" s="105"/>
      <c r="G181" s="106"/>
      <c r="H181" s="105"/>
      <c r="I181" s="106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</row>
    <row r="182" spans="1:26" ht="12.75" customHeight="1">
      <c r="A182" s="104"/>
      <c r="B182" s="104"/>
      <c r="C182" s="104"/>
      <c r="D182" s="105"/>
      <c r="E182" s="106"/>
      <c r="F182" s="105"/>
      <c r="G182" s="106"/>
      <c r="H182" s="105"/>
      <c r="I182" s="106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</row>
    <row r="183" spans="1:26" ht="12.75" customHeight="1">
      <c r="A183" s="104"/>
      <c r="B183" s="104"/>
      <c r="C183" s="104"/>
      <c r="D183" s="105"/>
      <c r="E183" s="106"/>
      <c r="F183" s="105"/>
      <c r="G183" s="106"/>
      <c r="H183" s="105"/>
      <c r="I183" s="106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</row>
    <row r="184" spans="1:26" ht="12.75" customHeight="1">
      <c r="A184" s="104"/>
      <c r="B184" s="104"/>
      <c r="C184" s="104"/>
      <c r="D184" s="105"/>
      <c r="E184" s="106"/>
      <c r="F184" s="105"/>
      <c r="G184" s="106"/>
      <c r="H184" s="105"/>
      <c r="I184" s="106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</row>
    <row r="185" spans="1:26" ht="12.75" customHeight="1">
      <c r="A185" s="104"/>
      <c r="B185" s="104"/>
      <c r="C185" s="104"/>
      <c r="D185" s="105"/>
      <c r="E185" s="106"/>
      <c r="F185" s="105"/>
      <c r="G185" s="106"/>
      <c r="H185" s="105"/>
      <c r="I185" s="106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</row>
    <row r="186" spans="1:26" ht="12.75" customHeight="1">
      <c r="A186" s="104"/>
      <c r="B186" s="104"/>
      <c r="C186" s="104"/>
      <c r="D186" s="105"/>
      <c r="E186" s="106"/>
      <c r="F186" s="105"/>
      <c r="G186" s="106"/>
      <c r="H186" s="105"/>
      <c r="I186" s="106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</row>
    <row r="187" spans="1:26" ht="12.75" customHeight="1">
      <c r="A187" s="104"/>
      <c r="B187" s="104"/>
      <c r="C187" s="104"/>
      <c r="D187" s="105"/>
      <c r="E187" s="106"/>
      <c r="F187" s="105"/>
      <c r="G187" s="106"/>
      <c r="H187" s="105"/>
      <c r="I187" s="106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</row>
    <row r="188" spans="1:26" ht="12.75" customHeight="1">
      <c r="A188" s="104"/>
      <c r="B188" s="104"/>
      <c r="C188" s="104"/>
      <c r="D188" s="105"/>
      <c r="E188" s="106"/>
      <c r="F188" s="105"/>
      <c r="G188" s="106"/>
      <c r="H188" s="105"/>
      <c r="I188" s="106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</row>
    <row r="189" spans="1:26" ht="12.75" customHeight="1">
      <c r="A189" s="104"/>
      <c r="B189" s="104"/>
      <c r="C189" s="104"/>
      <c r="D189" s="105"/>
      <c r="E189" s="106"/>
      <c r="F189" s="105"/>
      <c r="G189" s="106"/>
      <c r="H189" s="105"/>
      <c r="I189" s="106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</row>
    <row r="190" spans="1:26" ht="12.75" customHeight="1">
      <c r="A190" s="104"/>
      <c r="B190" s="104"/>
      <c r="C190" s="104"/>
      <c r="D190" s="105"/>
      <c r="E190" s="106"/>
      <c r="F190" s="105"/>
      <c r="G190" s="106"/>
      <c r="H190" s="105"/>
      <c r="I190" s="106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</row>
    <row r="191" spans="1:26" ht="12.75" customHeight="1">
      <c r="A191" s="104"/>
      <c r="B191" s="104"/>
      <c r="C191" s="104"/>
      <c r="D191" s="105"/>
      <c r="E191" s="106"/>
      <c r="F191" s="105"/>
      <c r="G191" s="106"/>
      <c r="H191" s="105"/>
      <c r="I191" s="106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</row>
    <row r="192" spans="1:26" ht="12.75" customHeight="1">
      <c r="A192" s="104"/>
      <c r="B192" s="104"/>
      <c r="C192" s="104"/>
      <c r="D192" s="105"/>
      <c r="E192" s="106"/>
      <c r="F192" s="105"/>
      <c r="G192" s="106"/>
      <c r="H192" s="105"/>
      <c r="I192" s="106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</row>
    <row r="193" spans="1:26" ht="12.75" customHeight="1">
      <c r="A193" s="104"/>
      <c r="B193" s="104"/>
      <c r="C193" s="104"/>
      <c r="D193" s="105"/>
      <c r="E193" s="106"/>
      <c r="F193" s="105"/>
      <c r="G193" s="106"/>
      <c r="H193" s="105"/>
      <c r="I193" s="106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</row>
    <row r="194" spans="1:26" ht="12.75" customHeight="1">
      <c r="A194" s="104"/>
      <c r="B194" s="104"/>
      <c r="C194" s="104"/>
      <c r="D194" s="105"/>
      <c r="E194" s="106"/>
      <c r="F194" s="105"/>
      <c r="G194" s="106"/>
      <c r="H194" s="105"/>
      <c r="I194" s="106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</row>
    <row r="195" spans="1:26" ht="12.75" customHeight="1">
      <c r="A195" s="104"/>
      <c r="B195" s="104"/>
      <c r="C195" s="104"/>
      <c r="D195" s="105"/>
      <c r="E195" s="106"/>
      <c r="F195" s="105"/>
      <c r="G195" s="106"/>
      <c r="H195" s="105"/>
      <c r="I195" s="106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</row>
    <row r="196" spans="1:26" ht="12.75" customHeight="1">
      <c r="A196" s="104"/>
      <c r="B196" s="104"/>
      <c r="C196" s="104"/>
      <c r="D196" s="105"/>
      <c r="E196" s="106"/>
      <c r="F196" s="105"/>
      <c r="G196" s="106"/>
      <c r="H196" s="105"/>
      <c r="I196" s="106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</row>
    <row r="197" spans="1:26" ht="12.75" customHeight="1">
      <c r="A197" s="104"/>
      <c r="B197" s="104"/>
      <c r="C197" s="104"/>
      <c r="D197" s="105"/>
      <c r="E197" s="106"/>
      <c r="F197" s="105"/>
      <c r="G197" s="106"/>
      <c r="H197" s="105"/>
      <c r="I197" s="106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</row>
    <row r="198" spans="1:26" ht="12.75" customHeight="1">
      <c r="A198" s="104"/>
      <c r="B198" s="104"/>
      <c r="C198" s="104"/>
      <c r="D198" s="105"/>
      <c r="E198" s="106"/>
      <c r="F198" s="105"/>
      <c r="G198" s="106"/>
      <c r="H198" s="105"/>
      <c r="I198" s="106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</row>
    <row r="199" spans="1:26" ht="12.75" customHeight="1">
      <c r="A199" s="104"/>
      <c r="B199" s="104"/>
      <c r="C199" s="104"/>
      <c r="D199" s="105"/>
      <c r="E199" s="106"/>
      <c r="F199" s="105"/>
      <c r="G199" s="106"/>
      <c r="H199" s="105"/>
      <c r="I199" s="106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</row>
    <row r="200" spans="1:26" ht="12.75" customHeight="1">
      <c r="A200" s="104"/>
      <c r="B200" s="104"/>
      <c r="C200" s="104"/>
      <c r="D200" s="105"/>
      <c r="E200" s="106"/>
      <c r="F200" s="105"/>
      <c r="G200" s="106"/>
      <c r="H200" s="105"/>
      <c r="I200" s="106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</row>
    <row r="201" spans="1:26" ht="12.75" customHeight="1">
      <c r="A201" s="104"/>
      <c r="B201" s="104"/>
      <c r="C201" s="104"/>
      <c r="D201" s="105"/>
      <c r="E201" s="106"/>
      <c r="F201" s="105"/>
      <c r="G201" s="106"/>
      <c r="H201" s="105"/>
      <c r="I201" s="106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</row>
    <row r="202" spans="1:26" ht="12.75" customHeight="1">
      <c r="A202" s="104"/>
      <c r="B202" s="104"/>
      <c r="C202" s="104"/>
      <c r="D202" s="105"/>
      <c r="E202" s="106"/>
      <c r="F202" s="105"/>
      <c r="G202" s="106"/>
      <c r="H202" s="105"/>
      <c r="I202" s="106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</row>
    <row r="203" spans="1:26" ht="12.75" customHeight="1">
      <c r="A203" s="104"/>
      <c r="B203" s="104"/>
      <c r="C203" s="104"/>
      <c r="D203" s="105"/>
      <c r="E203" s="106"/>
      <c r="F203" s="105"/>
      <c r="G203" s="106"/>
      <c r="H203" s="105"/>
      <c r="I203" s="106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</row>
    <row r="204" spans="1:26" ht="12.75" customHeight="1">
      <c r="A204" s="104"/>
      <c r="B204" s="104"/>
      <c r="C204" s="104"/>
      <c r="D204" s="105"/>
      <c r="E204" s="106"/>
      <c r="F204" s="105"/>
      <c r="G204" s="106"/>
      <c r="H204" s="105"/>
      <c r="I204" s="106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</row>
    <row r="205" spans="1:26" ht="12.75" customHeight="1">
      <c r="A205" s="104"/>
      <c r="B205" s="104"/>
      <c r="C205" s="104"/>
      <c r="D205" s="105"/>
      <c r="E205" s="106"/>
      <c r="F205" s="105"/>
      <c r="G205" s="106"/>
      <c r="H205" s="105"/>
      <c r="I205" s="106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</row>
    <row r="206" spans="1:26" ht="12.75" customHeight="1">
      <c r="A206" s="104"/>
      <c r="B206" s="104"/>
      <c r="C206" s="104"/>
      <c r="D206" s="105"/>
      <c r="E206" s="106"/>
      <c r="F206" s="105"/>
      <c r="G206" s="106"/>
      <c r="H206" s="105"/>
      <c r="I206" s="106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</row>
    <row r="207" spans="1:26" ht="12.75" customHeight="1">
      <c r="A207" s="104"/>
      <c r="B207" s="104"/>
      <c r="C207" s="104"/>
      <c r="D207" s="105"/>
      <c r="E207" s="106"/>
      <c r="F207" s="105"/>
      <c r="G207" s="106"/>
      <c r="H207" s="105"/>
      <c r="I207" s="106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</row>
    <row r="208" spans="1:26" ht="12.75" customHeight="1">
      <c r="A208" s="104"/>
      <c r="B208" s="104"/>
      <c r="C208" s="104"/>
      <c r="D208" s="105"/>
      <c r="E208" s="106"/>
      <c r="F208" s="105"/>
      <c r="G208" s="106"/>
      <c r="H208" s="105"/>
      <c r="I208" s="106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</row>
    <row r="209" spans="1:26" ht="12.75" customHeight="1">
      <c r="A209" s="104"/>
      <c r="B209" s="104"/>
      <c r="C209" s="104"/>
      <c r="D209" s="105"/>
      <c r="E209" s="106"/>
      <c r="F209" s="105"/>
      <c r="G209" s="106"/>
      <c r="H209" s="105"/>
      <c r="I209" s="106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</row>
    <row r="210" spans="1:26" ht="12.75" customHeight="1">
      <c r="A210" s="104"/>
      <c r="B210" s="104"/>
      <c r="C210" s="104"/>
      <c r="D210" s="105"/>
      <c r="E210" s="106"/>
      <c r="F210" s="105"/>
      <c r="G210" s="106"/>
      <c r="H210" s="105"/>
      <c r="I210" s="106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</row>
    <row r="211" spans="1:26" ht="12.75" customHeight="1">
      <c r="A211" s="104"/>
      <c r="B211" s="104"/>
      <c r="C211" s="104"/>
      <c r="D211" s="105"/>
      <c r="E211" s="106"/>
      <c r="F211" s="105"/>
      <c r="G211" s="106"/>
      <c r="H211" s="105"/>
      <c r="I211" s="106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</row>
    <row r="212" spans="1:26" ht="12.75" customHeight="1">
      <c r="A212" s="104"/>
      <c r="B212" s="104"/>
      <c r="C212" s="104"/>
      <c r="D212" s="105"/>
      <c r="E212" s="106"/>
      <c r="F212" s="105"/>
      <c r="G212" s="106"/>
      <c r="H212" s="105"/>
      <c r="I212" s="106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</row>
    <row r="213" spans="1:26" ht="12.75" customHeight="1">
      <c r="A213" s="104"/>
      <c r="B213" s="104"/>
      <c r="C213" s="104"/>
      <c r="D213" s="105"/>
      <c r="E213" s="106"/>
      <c r="F213" s="105"/>
      <c r="G213" s="106"/>
      <c r="H213" s="105"/>
      <c r="I213" s="106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</row>
    <row r="214" spans="1:26" ht="12.75" customHeight="1">
      <c r="A214" s="104"/>
      <c r="B214" s="104"/>
      <c r="C214" s="104"/>
      <c r="D214" s="105"/>
      <c r="E214" s="106"/>
      <c r="F214" s="105"/>
      <c r="G214" s="106"/>
      <c r="H214" s="105"/>
      <c r="I214" s="106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</row>
    <row r="215" spans="1:26" ht="12.75" customHeight="1">
      <c r="A215" s="104"/>
      <c r="B215" s="104"/>
      <c r="C215" s="104"/>
      <c r="D215" s="105"/>
      <c r="E215" s="106"/>
      <c r="F215" s="105"/>
      <c r="G215" s="106"/>
      <c r="H215" s="105"/>
      <c r="I215" s="106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</row>
    <row r="216" spans="1:26" ht="12.75" customHeight="1">
      <c r="A216" s="104"/>
      <c r="B216" s="104"/>
      <c r="C216" s="104"/>
      <c r="D216" s="105"/>
      <c r="E216" s="106"/>
      <c r="F216" s="105"/>
      <c r="G216" s="106"/>
      <c r="H216" s="105"/>
      <c r="I216" s="106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</row>
    <row r="217" spans="1:26" ht="12.75" customHeight="1">
      <c r="A217" s="104"/>
      <c r="B217" s="104"/>
      <c r="C217" s="104"/>
      <c r="D217" s="105"/>
      <c r="E217" s="106"/>
      <c r="F217" s="105"/>
      <c r="G217" s="106"/>
      <c r="H217" s="105"/>
      <c r="I217" s="106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</row>
    <row r="218" spans="1:26" ht="12.75" customHeight="1">
      <c r="A218" s="104"/>
      <c r="B218" s="104"/>
      <c r="C218" s="104"/>
      <c r="D218" s="105"/>
      <c r="E218" s="106"/>
      <c r="F218" s="105"/>
      <c r="G218" s="106"/>
      <c r="H218" s="105"/>
      <c r="I218" s="106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</row>
    <row r="219" spans="1:26" ht="12.75" customHeight="1">
      <c r="A219" s="104"/>
      <c r="B219" s="104"/>
      <c r="C219" s="104"/>
      <c r="D219" s="105"/>
      <c r="E219" s="106"/>
      <c r="F219" s="105"/>
      <c r="G219" s="106"/>
      <c r="H219" s="105"/>
      <c r="I219" s="106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</row>
    <row r="220" spans="1:26" ht="12.75" customHeight="1">
      <c r="A220" s="104"/>
      <c r="B220" s="104"/>
      <c r="C220" s="104"/>
      <c r="D220" s="105"/>
      <c r="E220" s="106"/>
      <c r="F220" s="105"/>
      <c r="G220" s="106"/>
      <c r="H220" s="105"/>
      <c r="I220" s="106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</row>
    <row r="221" spans="1:26" ht="12.75" customHeight="1">
      <c r="A221" s="104"/>
      <c r="B221" s="104"/>
      <c r="C221" s="104"/>
      <c r="D221" s="105"/>
      <c r="E221" s="106"/>
      <c r="F221" s="105"/>
      <c r="G221" s="106"/>
      <c r="H221" s="105"/>
      <c r="I221" s="106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</row>
    <row r="222" spans="1:26" ht="12.75" customHeight="1">
      <c r="A222" s="104"/>
      <c r="B222" s="104"/>
      <c r="C222" s="104"/>
      <c r="D222" s="105"/>
      <c r="E222" s="106"/>
      <c r="F222" s="105"/>
      <c r="G222" s="106"/>
      <c r="H222" s="105"/>
      <c r="I222" s="106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</row>
    <row r="223" spans="1:26" ht="12.75" customHeight="1">
      <c r="A223" s="104"/>
      <c r="B223" s="104"/>
      <c r="C223" s="104"/>
      <c r="D223" s="105"/>
      <c r="E223" s="106"/>
      <c r="F223" s="105"/>
      <c r="G223" s="106"/>
      <c r="H223" s="105"/>
      <c r="I223" s="106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</row>
    <row r="224" spans="1:26" ht="12.75" customHeight="1">
      <c r="A224" s="104"/>
      <c r="B224" s="104"/>
      <c r="C224" s="104"/>
      <c r="D224" s="105"/>
      <c r="E224" s="106"/>
      <c r="F224" s="105"/>
      <c r="G224" s="106"/>
      <c r="H224" s="105"/>
      <c r="I224" s="106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</row>
    <row r="225" spans="1:26" ht="12.75" customHeight="1">
      <c r="A225" s="104"/>
      <c r="B225" s="104"/>
      <c r="C225" s="104"/>
      <c r="D225" s="105"/>
      <c r="E225" s="106"/>
      <c r="F225" s="105"/>
      <c r="G225" s="106"/>
      <c r="H225" s="105"/>
      <c r="I225" s="106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</row>
    <row r="226" spans="1:26" ht="12.75" customHeight="1">
      <c r="A226" s="104"/>
      <c r="B226" s="104"/>
      <c r="C226" s="104"/>
      <c r="D226" s="105"/>
      <c r="E226" s="106"/>
      <c r="F226" s="105"/>
      <c r="G226" s="106"/>
      <c r="H226" s="105"/>
      <c r="I226" s="106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</row>
    <row r="227" spans="1:26" ht="12.75" customHeight="1">
      <c r="A227" s="104"/>
      <c r="B227" s="104"/>
      <c r="C227" s="104"/>
      <c r="D227" s="105"/>
      <c r="E227" s="106"/>
      <c r="F227" s="105"/>
      <c r="G227" s="106"/>
      <c r="H227" s="105"/>
      <c r="I227" s="106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</row>
    <row r="228" spans="1:26" ht="12.75" customHeight="1">
      <c r="A228" s="104"/>
      <c r="B228" s="104"/>
      <c r="C228" s="104"/>
      <c r="D228" s="105"/>
      <c r="E228" s="106"/>
      <c r="F228" s="105"/>
      <c r="G228" s="106"/>
      <c r="H228" s="105"/>
      <c r="I228" s="106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</row>
    <row r="229" spans="1:26" ht="12.75" customHeight="1">
      <c r="A229" s="104"/>
      <c r="B229" s="104"/>
      <c r="C229" s="104"/>
      <c r="D229" s="105"/>
      <c r="E229" s="106"/>
      <c r="F229" s="105"/>
      <c r="G229" s="106"/>
      <c r="H229" s="105"/>
      <c r="I229" s="106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</row>
    <row r="230" spans="1:26" ht="12.75" customHeight="1">
      <c r="A230" s="104"/>
      <c r="B230" s="104"/>
      <c r="C230" s="104"/>
      <c r="D230" s="105"/>
      <c r="E230" s="106"/>
      <c r="F230" s="105"/>
      <c r="G230" s="106"/>
      <c r="H230" s="105"/>
      <c r="I230" s="106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</row>
    <row r="231" spans="1:26" ht="12.75" customHeight="1">
      <c r="A231" s="104"/>
      <c r="B231" s="104"/>
      <c r="C231" s="104"/>
      <c r="D231" s="105"/>
      <c r="E231" s="106"/>
      <c r="F231" s="105"/>
      <c r="G231" s="106"/>
      <c r="H231" s="105"/>
      <c r="I231" s="106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</row>
    <row r="232" spans="1:26" ht="12.75" customHeight="1">
      <c r="A232" s="104"/>
      <c r="B232" s="104"/>
      <c r="C232" s="104"/>
      <c r="D232" s="105"/>
      <c r="E232" s="106"/>
      <c r="F232" s="105"/>
      <c r="G232" s="106"/>
      <c r="H232" s="105"/>
      <c r="I232" s="106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</row>
    <row r="233" spans="1:26" ht="12.75" customHeight="1">
      <c r="A233" s="104"/>
      <c r="B233" s="104"/>
      <c r="C233" s="104"/>
      <c r="D233" s="105"/>
      <c r="E233" s="106"/>
      <c r="F233" s="105"/>
      <c r="G233" s="106"/>
      <c r="H233" s="105"/>
      <c r="I233" s="106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</row>
    <row r="234" spans="1:26" ht="12.75" customHeight="1">
      <c r="A234" s="104"/>
      <c r="B234" s="104"/>
      <c r="C234" s="104"/>
      <c r="D234" s="105"/>
      <c r="E234" s="106"/>
      <c r="F234" s="105"/>
      <c r="G234" s="106"/>
      <c r="H234" s="105"/>
      <c r="I234" s="106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</row>
    <row r="235" spans="1:26" ht="12.75" customHeight="1">
      <c r="A235" s="104"/>
      <c r="B235" s="104"/>
      <c r="C235" s="104"/>
      <c r="D235" s="105"/>
      <c r="E235" s="106"/>
      <c r="F235" s="105"/>
      <c r="G235" s="106"/>
      <c r="H235" s="105"/>
      <c r="I235" s="106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</row>
    <row r="236" spans="1:26" ht="12.75" customHeight="1">
      <c r="A236" s="104"/>
      <c r="B236" s="104"/>
      <c r="C236" s="104"/>
      <c r="D236" s="105"/>
      <c r="E236" s="106"/>
      <c r="F236" s="105"/>
      <c r="G236" s="106"/>
      <c r="H236" s="105"/>
      <c r="I236" s="106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</row>
    <row r="237" spans="1:26" ht="12.75" customHeight="1">
      <c r="A237" s="104"/>
      <c r="B237" s="104"/>
      <c r="C237" s="104"/>
      <c r="D237" s="105"/>
      <c r="E237" s="106"/>
      <c r="F237" s="105"/>
      <c r="G237" s="106"/>
      <c r="H237" s="105"/>
      <c r="I237" s="106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</row>
    <row r="238" spans="1:26" ht="12.75" customHeight="1">
      <c r="A238" s="104"/>
      <c r="B238" s="104"/>
      <c r="C238" s="104"/>
      <c r="D238" s="105"/>
      <c r="E238" s="106"/>
      <c r="F238" s="105"/>
      <c r="G238" s="106"/>
      <c r="H238" s="105"/>
      <c r="I238" s="106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</row>
    <row r="239" spans="1:26" ht="12.75" customHeight="1">
      <c r="A239" s="104"/>
      <c r="B239" s="104"/>
      <c r="C239" s="104"/>
      <c r="D239" s="105"/>
      <c r="E239" s="106"/>
      <c r="F239" s="105"/>
      <c r="G239" s="106"/>
      <c r="H239" s="105"/>
      <c r="I239" s="106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</row>
    <row r="240" spans="1:26" ht="12.75" customHeight="1">
      <c r="A240" s="104"/>
      <c r="B240" s="104"/>
      <c r="C240" s="104"/>
      <c r="D240" s="105"/>
      <c r="E240" s="106"/>
      <c r="F240" s="105"/>
      <c r="G240" s="106"/>
      <c r="H240" s="105"/>
      <c r="I240" s="106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</row>
    <row r="241" spans="1:26" ht="12.75" customHeight="1">
      <c r="A241" s="104"/>
      <c r="B241" s="104"/>
      <c r="C241" s="104"/>
      <c r="D241" s="105"/>
      <c r="E241" s="106"/>
      <c r="F241" s="105"/>
      <c r="G241" s="106"/>
      <c r="H241" s="105"/>
      <c r="I241" s="106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</row>
    <row r="242" spans="1:26" ht="12.75" customHeight="1">
      <c r="A242" s="104"/>
      <c r="B242" s="104"/>
      <c r="C242" s="104"/>
      <c r="D242" s="105"/>
      <c r="E242" s="106"/>
      <c r="F242" s="105"/>
      <c r="G242" s="106"/>
      <c r="H242" s="105"/>
      <c r="I242" s="106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</row>
    <row r="243" spans="1:26" ht="12.75" customHeight="1">
      <c r="A243" s="104"/>
      <c r="B243" s="104"/>
      <c r="C243" s="104"/>
      <c r="D243" s="105"/>
      <c r="E243" s="106"/>
      <c r="F243" s="105"/>
      <c r="G243" s="106"/>
      <c r="H243" s="105"/>
      <c r="I243" s="106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</row>
    <row r="244" spans="1:26" ht="12.75" customHeight="1">
      <c r="A244" s="104"/>
      <c r="B244" s="104"/>
      <c r="C244" s="104"/>
      <c r="D244" s="105"/>
      <c r="E244" s="106"/>
      <c r="F244" s="105"/>
      <c r="G244" s="106"/>
      <c r="H244" s="105"/>
      <c r="I244" s="106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</row>
    <row r="245" spans="1:26" ht="12.75" customHeight="1">
      <c r="A245" s="104"/>
      <c r="B245" s="104"/>
      <c r="C245" s="104"/>
      <c r="D245" s="105"/>
      <c r="E245" s="106"/>
      <c r="F245" s="105"/>
      <c r="G245" s="106"/>
      <c r="H245" s="105"/>
      <c r="I245" s="106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</row>
    <row r="246" spans="1:26" ht="12.75" customHeight="1">
      <c r="A246" s="104"/>
      <c r="B246" s="104"/>
      <c r="C246" s="104"/>
      <c r="D246" s="105"/>
      <c r="E246" s="106"/>
      <c r="F246" s="105"/>
      <c r="G246" s="106"/>
      <c r="H246" s="105"/>
      <c r="I246" s="106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</row>
    <row r="247" spans="1:26" ht="12.75" customHeight="1">
      <c r="A247" s="104"/>
      <c r="B247" s="104"/>
      <c r="C247" s="104"/>
      <c r="D247" s="105"/>
      <c r="E247" s="106"/>
      <c r="F247" s="105"/>
      <c r="G247" s="106"/>
      <c r="H247" s="105"/>
      <c r="I247" s="106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</row>
    <row r="248" spans="1:26" ht="12.75" customHeight="1">
      <c r="A248" s="104"/>
      <c r="B248" s="104"/>
      <c r="C248" s="104"/>
      <c r="D248" s="105"/>
      <c r="E248" s="106"/>
      <c r="F248" s="105"/>
      <c r="G248" s="106"/>
      <c r="H248" s="105"/>
      <c r="I248" s="106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</row>
    <row r="249" spans="1:26" ht="12.75" customHeight="1">
      <c r="A249" s="104"/>
      <c r="B249" s="104"/>
      <c r="C249" s="104"/>
      <c r="D249" s="105"/>
      <c r="E249" s="106"/>
      <c r="F249" s="105"/>
      <c r="G249" s="106"/>
      <c r="H249" s="105"/>
      <c r="I249" s="106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</row>
    <row r="250" spans="1:26" ht="12.75" customHeight="1">
      <c r="A250" s="104"/>
      <c r="B250" s="104"/>
      <c r="C250" s="104"/>
      <c r="D250" s="105"/>
      <c r="E250" s="106"/>
      <c r="F250" s="105"/>
      <c r="G250" s="106"/>
      <c r="H250" s="105"/>
      <c r="I250" s="106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</row>
    <row r="251" spans="1:26" ht="12.75" customHeight="1">
      <c r="A251" s="104"/>
      <c r="B251" s="104"/>
      <c r="C251" s="104"/>
      <c r="D251" s="105"/>
      <c r="E251" s="106"/>
      <c r="F251" s="105"/>
      <c r="G251" s="106"/>
      <c r="H251" s="105"/>
      <c r="I251" s="106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</row>
    <row r="252" spans="1:26" ht="12.75" customHeight="1">
      <c r="A252" s="104"/>
      <c r="B252" s="104"/>
      <c r="C252" s="104"/>
      <c r="D252" s="105"/>
      <c r="E252" s="106"/>
      <c r="F252" s="105"/>
      <c r="G252" s="106"/>
      <c r="H252" s="105"/>
      <c r="I252" s="106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</row>
    <row r="253" spans="1:26" ht="12.75" customHeight="1">
      <c r="A253" s="104"/>
      <c r="B253" s="104"/>
      <c r="C253" s="104"/>
      <c r="D253" s="105"/>
      <c r="E253" s="106"/>
      <c r="F253" s="105"/>
      <c r="G253" s="106"/>
      <c r="H253" s="105"/>
      <c r="I253" s="106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</row>
    <row r="254" spans="1:26" ht="12.75" customHeight="1">
      <c r="A254" s="104"/>
      <c r="B254" s="104"/>
      <c r="C254" s="104"/>
      <c r="D254" s="105"/>
      <c r="E254" s="106"/>
      <c r="F254" s="105"/>
      <c r="G254" s="106"/>
      <c r="H254" s="105"/>
      <c r="I254" s="106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</row>
    <row r="255" spans="1:26" ht="12.75" customHeight="1">
      <c r="A255" s="104"/>
      <c r="B255" s="104"/>
      <c r="C255" s="104"/>
      <c r="D255" s="105"/>
      <c r="E255" s="106"/>
      <c r="F255" s="105"/>
      <c r="G255" s="106"/>
      <c r="H255" s="105"/>
      <c r="I255" s="106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</row>
    <row r="256" spans="1:26" ht="12.75" customHeight="1">
      <c r="A256" s="104"/>
      <c r="B256" s="104"/>
      <c r="C256" s="104"/>
      <c r="D256" s="105"/>
      <c r="E256" s="106"/>
      <c r="F256" s="105"/>
      <c r="G256" s="106"/>
      <c r="H256" s="105"/>
      <c r="I256" s="106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</row>
    <row r="257" spans="1:26" ht="12.75" customHeight="1">
      <c r="A257" s="104"/>
      <c r="B257" s="104"/>
      <c r="C257" s="104"/>
      <c r="D257" s="105"/>
      <c r="E257" s="106"/>
      <c r="F257" s="105"/>
      <c r="G257" s="106"/>
      <c r="H257" s="105"/>
      <c r="I257" s="106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</row>
    <row r="258" spans="1:26" ht="12.75" customHeight="1">
      <c r="A258" s="104"/>
      <c r="B258" s="104"/>
      <c r="C258" s="104"/>
      <c r="D258" s="105"/>
      <c r="E258" s="106"/>
      <c r="F258" s="105"/>
      <c r="G258" s="106"/>
      <c r="H258" s="105"/>
      <c r="I258" s="106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</row>
    <row r="259" spans="1:26" ht="12.75" customHeight="1">
      <c r="A259" s="104"/>
      <c r="B259" s="104"/>
      <c r="C259" s="104"/>
      <c r="D259" s="105"/>
      <c r="E259" s="106"/>
      <c r="F259" s="105"/>
      <c r="G259" s="106"/>
      <c r="H259" s="105"/>
      <c r="I259" s="106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</row>
    <row r="260" spans="1:26" ht="12.75" customHeight="1">
      <c r="A260" s="104"/>
      <c r="B260" s="104"/>
      <c r="C260" s="104"/>
      <c r="D260" s="105"/>
      <c r="E260" s="106"/>
      <c r="F260" s="105"/>
      <c r="G260" s="106"/>
      <c r="H260" s="105"/>
      <c r="I260" s="106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</row>
    <row r="261" spans="1:26" ht="12.75" customHeight="1">
      <c r="A261" s="104"/>
      <c r="B261" s="104"/>
      <c r="C261" s="104"/>
      <c r="D261" s="105"/>
      <c r="E261" s="106"/>
      <c r="F261" s="105"/>
      <c r="G261" s="106"/>
      <c r="H261" s="105"/>
      <c r="I261" s="106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</row>
    <row r="262" spans="1:26" ht="12.75" customHeight="1">
      <c r="A262" s="104"/>
      <c r="B262" s="104"/>
      <c r="C262" s="104"/>
      <c r="D262" s="105"/>
      <c r="E262" s="106"/>
      <c r="F262" s="105"/>
      <c r="G262" s="106"/>
      <c r="H262" s="105"/>
      <c r="I262" s="106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</row>
    <row r="263" spans="1:26" ht="12.75" customHeight="1">
      <c r="A263" s="104"/>
      <c r="B263" s="104"/>
      <c r="C263" s="104"/>
      <c r="D263" s="105"/>
      <c r="E263" s="106"/>
      <c r="F263" s="105"/>
      <c r="G263" s="106"/>
      <c r="H263" s="105"/>
      <c r="I263" s="106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</row>
    <row r="264" spans="1:26" ht="12.75" customHeight="1">
      <c r="A264" s="104"/>
      <c r="B264" s="104"/>
      <c r="C264" s="104"/>
      <c r="D264" s="105"/>
      <c r="E264" s="106"/>
      <c r="F264" s="105"/>
      <c r="G264" s="106"/>
      <c r="H264" s="105"/>
      <c r="I264" s="106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</row>
    <row r="265" spans="1:26" ht="12.75" customHeight="1">
      <c r="A265" s="104"/>
      <c r="B265" s="104"/>
      <c r="C265" s="104"/>
      <c r="D265" s="105"/>
      <c r="E265" s="106"/>
      <c r="F265" s="105"/>
      <c r="G265" s="106"/>
      <c r="H265" s="105"/>
      <c r="I265" s="106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</row>
    <row r="266" spans="1:26" ht="12.75" customHeight="1">
      <c r="A266" s="104"/>
      <c r="B266" s="104"/>
      <c r="C266" s="104"/>
      <c r="D266" s="105"/>
      <c r="E266" s="106"/>
      <c r="F266" s="105"/>
      <c r="G266" s="106"/>
      <c r="H266" s="105"/>
      <c r="I266" s="106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</row>
    <row r="267" spans="1:26" ht="12.75" customHeight="1">
      <c r="A267" s="104"/>
      <c r="B267" s="104"/>
      <c r="C267" s="104"/>
      <c r="D267" s="105"/>
      <c r="E267" s="106"/>
      <c r="F267" s="105"/>
      <c r="G267" s="106"/>
      <c r="H267" s="105"/>
      <c r="I267" s="106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</row>
    <row r="268" spans="1:26" ht="12.75" customHeight="1">
      <c r="A268" s="104"/>
      <c r="B268" s="104"/>
      <c r="C268" s="104"/>
      <c r="D268" s="105"/>
      <c r="E268" s="106"/>
      <c r="F268" s="105"/>
      <c r="G268" s="106"/>
      <c r="H268" s="105"/>
      <c r="I268" s="106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</row>
    <row r="269" spans="1:26" ht="12.75" customHeight="1">
      <c r="A269" s="104"/>
      <c r="B269" s="104"/>
      <c r="C269" s="104"/>
      <c r="D269" s="105"/>
      <c r="E269" s="106"/>
      <c r="F269" s="105"/>
      <c r="G269" s="106"/>
      <c r="H269" s="105"/>
      <c r="I269" s="106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</row>
    <row r="270" spans="1:26" ht="12.75" customHeight="1">
      <c r="A270" s="104"/>
      <c r="B270" s="104"/>
      <c r="C270" s="104"/>
      <c r="D270" s="105"/>
      <c r="E270" s="106"/>
      <c r="F270" s="105"/>
      <c r="G270" s="106"/>
      <c r="H270" s="105"/>
      <c r="I270" s="106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</row>
    <row r="271" spans="1:26" ht="12.75" customHeight="1">
      <c r="A271" s="104"/>
      <c r="B271" s="104"/>
      <c r="C271" s="104"/>
      <c r="D271" s="105"/>
      <c r="E271" s="106"/>
      <c r="F271" s="105"/>
      <c r="G271" s="106"/>
      <c r="H271" s="105"/>
      <c r="I271" s="106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</row>
    <row r="272" spans="1:26" ht="12.75" customHeight="1">
      <c r="A272" s="104"/>
      <c r="B272" s="104"/>
      <c r="C272" s="104"/>
      <c r="D272" s="105"/>
      <c r="E272" s="106"/>
      <c r="F272" s="105"/>
      <c r="G272" s="106"/>
      <c r="H272" s="105"/>
      <c r="I272" s="106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</row>
    <row r="273" spans="1:26" ht="12.75" customHeight="1">
      <c r="A273" s="104"/>
      <c r="B273" s="104"/>
      <c r="C273" s="104"/>
      <c r="D273" s="105"/>
      <c r="E273" s="106"/>
      <c r="F273" s="105"/>
      <c r="G273" s="106"/>
      <c r="H273" s="105"/>
      <c r="I273" s="106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</row>
    <row r="274" spans="1:26" ht="12.75" customHeight="1">
      <c r="A274" s="104"/>
      <c r="B274" s="104"/>
      <c r="C274" s="104"/>
      <c r="D274" s="105"/>
      <c r="E274" s="106"/>
      <c r="F274" s="105"/>
      <c r="G274" s="106"/>
      <c r="H274" s="105"/>
      <c r="I274" s="106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</row>
    <row r="275" spans="1:26" ht="12.75" customHeight="1">
      <c r="A275" s="104"/>
      <c r="B275" s="104"/>
      <c r="C275" s="104"/>
      <c r="D275" s="105"/>
      <c r="E275" s="106"/>
      <c r="F275" s="105"/>
      <c r="G275" s="106"/>
      <c r="H275" s="105"/>
      <c r="I275" s="106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</row>
    <row r="276" spans="1:26" ht="12.75" customHeight="1">
      <c r="A276" s="104"/>
      <c r="B276" s="104"/>
      <c r="C276" s="104"/>
      <c r="D276" s="105"/>
      <c r="E276" s="106"/>
      <c r="F276" s="105"/>
      <c r="G276" s="106"/>
      <c r="H276" s="105"/>
      <c r="I276" s="106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</row>
    <row r="277" spans="1:26" ht="12.75" customHeight="1">
      <c r="A277" s="104"/>
      <c r="B277" s="104"/>
      <c r="C277" s="104"/>
      <c r="D277" s="105"/>
      <c r="E277" s="106"/>
      <c r="F277" s="105"/>
      <c r="G277" s="106"/>
      <c r="H277" s="105"/>
      <c r="I277" s="106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</row>
    <row r="278" spans="1:26" ht="12.75" customHeight="1">
      <c r="A278" s="104"/>
      <c r="B278" s="104"/>
      <c r="C278" s="104"/>
      <c r="D278" s="105"/>
      <c r="E278" s="106"/>
      <c r="F278" s="105"/>
      <c r="G278" s="106"/>
      <c r="H278" s="105"/>
      <c r="I278" s="106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</row>
    <row r="279" spans="1:26" ht="12.75" customHeight="1">
      <c r="A279" s="104"/>
      <c r="B279" s="104"/>
      <c r="C279" s="104"/>
      <c r="D279" s="105"/>
      <c r="E279" s="106"/>
      <c r="F279" s="105"/>
      <c r="G279" s="106"/>
      <c r="H279" s="105"/>
      <c r="I279" s="106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</row>
    <row r="280" spans="1:26" ht="12.75" customHeight="1">
      <c r="A280" s="104"/>
      <c r="B280" s="104"/>
      <c r="C280" s="104"/>
      <c r="D280" s="105"/>
      <c r="E280" s="106"/>
      <c r="F280" s="105"/>
      <c r="G280" s="106"/>
      <c r="H280" s="105"/>
      <c r="I280" s="106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</row>
    <row r="281" spans="1:26" ht="12.75" customHeight="1">
      <c r="A281" s="104"/>
      <c r="B281" s="104"/>
      <c r="C281" s="104"/>
      <c r="D281" s="105"/>
      <c r="E281" s="106"/>
      <c r="F281" s="105"/>
      <c r="G281" s="106"/>
      <c r="H281" s="105"/>
      <c r="I281" s="106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</row>
    <row r="282" spans="1:26" ht="12.75" customHeight="1">
      <c r="A282" s="104"/>
      <c r="B282" s="104"/>
      <c r="C282" s="104"/>
      <c r="D282" s="105"/>
      <c r="E282" s="106"/>
      <c r="F282" s="105"/>
      <c r="G282" s="106"/>
      <c r="H282" s="105"/>
      <c r="I282" s="106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</row>
    <row r="283" spans="1:26" ht="12.75" customHeight="1">
      <c r="A283" s="104"/>
      <c r="B283" s="104"/>
      <c r="C283" s="104"/>
      <c r="D283" s="105"/>
      <c r="E283" s="106"/>
      <c r="F283" s="105"/>
      <c r="G283" s="106"/>
      <c r="H283" s="105"/>
      <c r="I283" s="106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</row>
    <row r="284" spans="1:26" ht="12.75" customHeight="1">
      <c r="A284" s="104"/>
      <c r="B284" s="104"/>
      <c r="C284" s="104"/>
      <c r="D284" s="105"/>
      <c r="E284" s="106"/>
      <c r="F284" s="105"/>
      <c r="G284" s="106"/>
      <c r="H284" s="105"/>
      <c r="I284" s="106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</row>
    <row r="285" spans="1:26" ht="12.75" customHeight="1">
      <c r="A285" s="104"/>
      <c r="B285" s="104"/>
      <c r="C285" s="104"/>
      <c r="D285" s="105"/>
      <c r="E285" s="106"/>
      <c r="F285" s="105"/>
      <c r="G285" s="106"/>
      <c r="H285" s="105"/>
      <c r="I285" s="106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</row>
    <row r="286" spans="1:26" ht="12.75" customHeight="1">
      <c r="A286" s="104"/>
      <c r="B286" s="104"/>
      <c r="C286" s="104"/>
      <c r="D286" s="105"/>
      <c r="E286" s="106"/>
      <c r="F286" s="105"/>
      <c r="G286" s="106"/>
      <c r="H286" s="105"/>
      <c r="I286" s="106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</row>
    <row r="287" spans="1:26" ht="12.75" customHeight="1">
      <c r="A287" s="104"/>
      <c r="B287" s="104"/>
      <c r="C287" s="104"/>
      <c r="D287" s="105"/>
      <c r="E287" s="106"/>
      <c r="F287" s="105"/>
      <c r="G287" s="106"/>
      <c r="H287" s="105"/>
      <c r="I287" s="106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</row>
    <row r="288" spans="1:26" ht="12.75" customHeight="1">
      <c r="A288" s="104"/>
      <c r="B288" s="104"/>
      <c r="C288" s="104"/>
      <c r="D288" s="105"/>
      <c r="E288" s="106"/>
      <c r="F288" s="105"/>
      <c r="G288" s="106"/>
      <c r="H288" s="105"/>
      <c r="I288" s="106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</row>
    <row r="289" spans="1:26" ht="12.75" customHeight="1">
      <c r="A289" s="104"/>
      <c r="B289" s="104"/>
      <c r="C289" s="104"/>
      <c r="D289" s="105"/>
      <c r="E289" s="106"/>
      <c r="F289" s="105"/>
      <c r="G289" s="106"/>
      <c r="H289" s="105"/>
      <c r="I289" s="106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</row>
    <row r="290" spans="1:26" ht="12.75" customHeight="1">
      <c r="A290" s="104"/>
      <c r="B290" s="104"/>
      <c r="C290" s="104"/>
      <c r="D290" s="105"/>
      <c r="E290" s="106"/>
      <c r="F290" s="105"/>
      <c r="G290" s="106"/>
      <c r="H290" s="105"/>
      <c r="I290" s="106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</row>
    <row r="291" spans="1:26" ht="12.75" customHeight="1">
      <c r="A291" s="104"/>
      <c r="B291" s="104"/>
      <c r="C291" s="104"/>
      <c r="D291" s="105"/>
      <c r="E291" s="106"/>
      <c r="F291" s="105"/>
      <c r="G291" s="106"/>
      <c r="H291" s="105"/>
      <c r="I291" s="106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</row>
    <row r="292" spans="1:26" ht="12.75" customHeight="1">
      <c r="A292" s="104"/>
      <c r="B292" s="104"/>
      <c r="C292" s="104"/>
      <c r="D292" s="105"/>
      <c r="E292" s="106"/>
      <c r="F292" s="105"/>
      <c r="G292" s="106"/>
      <c r="H292" s="105"/>
      <c r="I292" s="106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</row>
    <row r="293" spans="1:26" ht="12.75" customHeight="1">
      <c r="A293" s="104"/>
      <c r="B293" s="104"/>
      <c r="C293" s="104"/>
      <c r="D293" s="105"/>
      <c r="E293" s="106"/>
      <c r="F293" s="105"/>
      <c r="G293" s="106"/>
      <c r="H293" s="105"/>
      <c r="I293" s="106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</row>
    <row r="294" spans="1:26" ht="12.75" customHeight="1">
      <c r="A294" s="104"/>
      <c r="B294" s="104"/>
      <c r="C294" s="104"/>
      <c r="D294" s="105"/>
      <c r="E294" s="106"/>
      <c r="F294" s="105"/>
      <c r="G294" s="106"/>
      <c r="H294" s="105"/>
      <c r="I294" s="106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</row>
    <row r="295" spans="1:26" ht="12.75" customHeight="1">
      <c r="A295" s="104"/>
      <c r="B295" s="104"/>
      <c r="C295" s="104"/>
      <c r="D295" s="105"/>
      <c r="E295" s="106"/>
      <c r="F295" s="105"/>
      <c r="G295" s="106"/>
      <c r="H295" s="105"/>
      <c r="I295" s="106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</row>
    <row r="296" spans="1:26" ht="12.75" customHeight="1">
      <c r="A296" s="104"/>
      <c r="B296" s="104"/>
      <c r="C296" s="104"/>
      <c r="D296" s="105"/>
      <c r="E296" s="106"/>
      <c r="F296" s="105"/>
      <c r="G296" s="106"/>
      <c r="H296" s="105"/>
      <c r="I296" s="106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</row>
    <row r="297" spans="1:26" ht="12.75" customHeight="1">
      <c r="A297" s="104"/>
      <c r="B297" s="104"/>
      <c r="C297" s="104"/>
      <c r="D297" s="105"/>
      <c r="E297" s="106"/>
      <c r="F297" s="105"/>
      <c r="G297" s="106"/>
      <c r="H297" s="105"/>
      <c r="I297" s="106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</row>
    <row r="298" spans="1:26" ht="12.75" customHeight="1">
      <c r="A298" s="104"/>
      <c r="B298" s="104"/>
      <c r="C298" s="104"/>
      <c r="D298" s="105"/>
      <c r="E298" s="106"/>
      <c r="F298" s="105"/>
      <c r="G298" s="106"/>
      <c r="H298" s="105"/>
      <c r="I298" s="106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</row>
    <row r="299" spans="1:26" ht="12.75" customHeight="1">
      <c r="A299" s="104"/>
      <c r="B299" s="104"/>
      <c r="C299" s="104"/>
      <c r="D299" s="105"/>
      <c r="E299" s="106"/>
      <c r="F299" s="105"/>
      <c r="G299" s="106"/>
      <c r="H299" s="105"/>
      <c r="I299" s="106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</row>
    <row r="300" spans="1:26" ht="12.75" customHeight="1">
      <c r="A300" s="104"/>
      <c r="B300" s="104"/>
      <c r="C300" s="104"/>
      <c r="D300" s="105"/>
      <c r="E300" s="106"/>
      <c r="F300" s="105"/>
      <c r="G300" s="106"/>
      <c r="H300" s="105"/>
      <c r="I300" s="106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</row>
    <row r="301" spans="1:26" ht="12.75" customHeight="1">
      <c r="A301" s="104"/>
      <c r="B301" s="104"/>
      <c r="C301" s="104"/>
      <c r="D301" s="105"/>
      <c r="E301" s="106"/>
      <c r="F301" s="105"/>
      <c r="G301" s="106"/>
      <c r="H301" s="105"/>
      <c r="I301" s="106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</row>
    <row r="302" spans="1:26" ht="12.75" customHeight="1">
      <c r="A302" s="104"/>
      <c r="B302" s="104"/>
      <c r="C302" s="104"/>
      <c r="D302" s="105"/>
      <c r="E302" s="106"/>
      <c r="F302" s="105"/>
      <c r="G302" s="106"/>
      <c r="H302" s="105"/>
      <c r="I302" s="106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</row>
    <row r="303" spans="1:26" ht="12.75" customHeight="1">
      <c r="A303" s="104"/>
      <c r="B303" s="104"/>
      <c r="C303" s="104"/>
      <c r="D303" s="105"/>
      <c r="E303" s="106"/>
      <c r="F303" s="105"/>
      <c r="G303" s="106"/>
      <c r="H303" s="105"/>
      <c r="I303" s="106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</row>
    <row r="304" spans="1:26" ht="12.75" customHeight="1">
      <c r="A304" s="104"/>
      <c r="B304" s="104"/>
      <c r="C304" s="104"/>
      <c r="D304" s="105"/>
      <c r="E304" s="106"/>
      <c r="F304" s="105"/>
      <c r="G304" s="106"/>
      <c r="H304" s="105"/>
      <c r="I304" s="106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</row>
    <row r="305" spans="1:26" ht="12.75" customHeight="1">
      <c r="A305" s="104"/>
      <c r="B305" s="104"/>
      <c r="C305" s="104"/>
      <c r="D305" s="105"/>
      <c r="E305" s="106"/>
      <c r="F305" s="105"/>
      <c r="G305" s="106"/>
      <c r="H305" s="105"/>
      <c r="I305" s="106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</row>
    <row r="306" spans="1:26" ht="12.75" customHeight="1">
      <c r="A306" s="104"/>
      <c r="B306" s="104"/>
      <c r="C306" s="104"/>
      <c r="D306" s="105"/>
      <c r="E306" s="106"/>
      <c r="F306" s="105"/>
      <c r="G306" s="106"/>
      <c r="H306" s="105"/>
      <c r="I306" s="106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</row>
    <row r="307" spans="1:26" ht="12.75" customHeight="1">
      <c r="A307" s="104"/>
      <c r="B307" s="104"/>
      <c r="C307" s="104"/>
      <c r="D307" s="105"/>
      <c r="E307" s="106"/>
      <c r="F307" s="105"/>
      <c r="G307" s="106"/>
      <c r="H307" s="105"/>
      <c r="I307" s="106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</row>
    <row r="308" spans="1:26" ht="12.75" customHeight="1">
      <c r="A308" s="104"/>
      <c r="B308" s="104"/>
      <c r="C308" s="104"/>
      <c r="D308" s="105"/>
      <c r="E308" s="106"/>
      <c r="F308" s="105"/>
      <c r="G308" s="106"/>
      <c r="H308" s="105"/>
      <c r="I308" s="106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</row>
    <row r="309" spans="1:26" ht="12.75" customHeight="1">
      <c r="A309" s="104"/>
      <c r="B309" s="104"/>
      <c r="C309" s="104"/>
      <c r="D309" s="105"/>
      <c r="E309" s="106"/>
      <c r="F309" s="105"/>
      <c r="G309" s="106"/>
      <c r="H309" s="105"/>
      <c r="I309" s="106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</row>
    <row r="310" spans="1:26" ht="12.75" customHeight="1">
      <c r="A310" s="104"/>
      <c r="B310" s="104"/>
      <c r="C310" s="104"/>
      <c r="D310" s="105"/>
      <c r="E310" s="106"/>
      <c r="F310" s="105"/>
      <c r="G310" s="106"/>
      <c r="H310" s="105"/>
      <c r="I310" s="106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</row>
    <row r="311" spans="1:26" ht="12.75" customHeight="1">
      <c r="A311" s="104"/>
      <c r="B311" s="104"/>
      <c r="C311" s="104"/>
      <c r="D311" s="105"/>
      <c r="E311" s="106"/>
      <c r="F311" s="105"/>
      <c r="G311" s="106"/>
      <c r="H311" s="105"/>
      <c r="I311" s="106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</row>
    <row r="312" spans="1:26" ht="12.75" customHeight="1">
      <c r="A312" s="104"/>
      <c r="B312" s="104"/>
      <c r="C312" s="104"/>
      <c r="D312" s="105"/>
      <c r="E312" s="106"/>
      <c r="F312" s="105"/>
      <c r="G312" s="106"/>
      <c r="H312" s="105"/>
      <c r="I312" s="106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</row>
    <row r="313" spans="1:26" ht="12.75" customHeight="1">
      <c r="A313" s="104"/>
      <c r="B313" s="104"/>
      <c r="C313" s="104"/>
      <c r="D313" s="105"/>
      <c r="E313" s="106"/>
      <c r="F313" s="105"/>
      <c r="G313" s="106"/>
      <c r="H313" s="105"/>
      <c r="I313" s="106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</row>
    <row r="314" spans="1:26" ht="12.75" customHeight="1">
      <c r="A314" s="104"/>
      <c r="B314" s="104"/>
      <c r="C314" s="104"/>
      <c r="D314" s="105"/>
      <c r="E314" s="106"/>
      <c r="F314" s="105"/>
      <c r="G314" s="106"/>
      <c r="H314" s="105"/>
      <c r="I314" s="106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</row>
    <row r="315" spans="1:26" ht="12.75" customHeight="1">
      <c r="A315" s="104"/>
      <c r="B315" s="104"/>
      <c r="C315" s="104"/>
      <c r="D315" s="105"/>
      <c r="E315" s="106"/>
      <c r="F315" s="105"/>
      <c r="G315" s="106"/>
      <c r="H315" s="105"/>
      <c r="I315" s="106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</row>
    <row r="316" spans="1:26" ht="12.75" customHeight="1">
      <c r="A316" s="104"/>
      <c r="B316" s="104"/>
      <c r="C316" s="104"/>
      <c r="D316" s="105"/>
      <c r="E316" s="106"/>
      <c r="F316" s="105"/>
      <c r="G316" s="106"/>
      <c r="H316" s="105"/>
      <c r="I316" s="106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</row>
    <row r="317" spans="1:26" ht="12.75" customHeight="1">
      <c r="A317" s="104"/>
      <c r="B317" s="104"/>
      <c r="C317" s="104"/>
      <c r="D317" s="105"/>
      <c r="E317" s="106"/>
      <c r="F317" s="105"/>
      <c r="G317" s="106"/>
      <c r="H317" s="105"/>
      <c r="I317" s="106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</row>
    <row r="318" spans="1:26" ht="12.75" customHeight="1">
      <c r="A318" s="104"/>
      <c r="B318" s="104"/>
      <c r="C318" s="104"/>
      <c r="D318" s="105"/>
      <c r="E318" s="106"/>
      <c r="F318" s="105"/>
      <c r="G318" s="106"/>
      <c r="H318" s="105"/>
      <c r="I318" s="106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</row>
    <row r="319" spans="1:26" ht="12.75" customHeight="1">
      <c r="A319" s="104"/>
      <c r="B319" s="104"/>
      <c r="C319" s="104"/>
      <c r="D319" s="105"/>
      <c r="E319" s="106"/>
      <c r="F319" s="105"/>
      <c r="G319" s="106"/>
      <c r="H319" s="105"/>
      <c r="I319" s="106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</row>
    <row r="320" spans="1:26" ht="12.75" customHeight="1">
      <c r="A320" s="104"/>
      <c r="B320" s="104"/>
      <c r="C320" s="104"/>
      <c r="D320" s="105"/>
      <c r="E320" s="106"/>
      <c r="F320" s="105"/>
      <c r="G320" s="106"/>
      <c r="H320" s="105"/>
      <c r="I320" s="106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</row>
    <row r="321" spans="1:26" ht="12.75" customHeight="1">
      <c r="A321" s="104"/>
      <c r="B321" s="104"/>
      <c r="C321" s="104"/>
      <c r="D321" s="105"/>
      <c r="E321" s="106"/>
      <c r="F321" s="105"/>
      <c r="G321" s="106"/>
      <c r="H321" s="105"/>
      <c r="I321" s="106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</row>
    <row r="322" spans="1:26" ht="12.75" customHeight="1">
      <c r="A322" s="104"/>
      <c r="B322" s="104"/>
      <c r="C322" s="104"/>
      <c r="D322" s="105"/>
      <c r="E322" s="106"/>
      <c r="F322" s="105"/>
      <c r="G322" s="106"/>
      <c r="H322" s="105"/>
      <c r="I322" s="106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</row>
    <row r="323" spans="1:26" ht="12.75" customHeight="1">
      <c r="A323" s="104"/>
      <c r="B323" s="104"/>
      <c r="C323" s="104"/>
      <c r="D323" s="105"/>
      <c r="E323" s="106"/>
      <c r="F323" s="105"/>
      <c r="G323" s="106"/>
      <c r="H323" s="105"/>
      <c r="I323" s="106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</row>
    <row r="324" spans="1:26" ht="12.75" customHeight="1">
      <c r="A324" s="104"/>
      <c r="B324" s="104"/>
      <c r="C324" s="104"/>
      <c r="D324" s="105"/>
      <c r="E324" s="106"/>
      <c r="F324" s="105"/>
      <c r="G324" s="106"/>
      <c r="H324" s="105"/>
      <c r="I324" s="106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</row>
    <row r="325" spans="1:26" ht="12.75" customHeight="1">
      <c r="A325" s="104"/>
      <c r="B325" s="104"/>
      <c r="C325" s="104"/>
      <c r="D325" s="105"/>
      <c r="E325" s="106"/>
      <c r="F325" s="105"/>
      <c r="G325" s="106"/>
      <c r="H325" s="105"/>
      <c r="I325" s="106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</row>
    <row r="326" spans="1:26" ht="12.75" customHeight="1">
      <c r="A326" s="104"/>
      <c r="B326" s="104"/>
      <c r="C326" s="104"/>
      <c r="D326" s="105"/>
      <c r="E326" s="106"/>
      <c r="F326" s="105"/>
      <c r="G326" s="106"/>
      <c r="H326" s="105"/>
      <c r="I326" s="106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</row>
    <row r="327" spans="1:26" ht="12.75" customHeight="1">
      <c r="A327" s="104"/>
      <c r="B327" s="104"/>
      <c r="C327" s="104"/>
      <c r="D327" s="105"/>
      <c r="E327" s="106"/>
      <c r="F327" s="105"/>
      <c r="G327" s="106"/>
      <c r="H327" s="105"/>
      <c r="I327" s="106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</row>
    <row r="328" spans="1:26" ht="12.75" customHeight="1">
      <c r="A328" s="104"/>
      <c r="B328" s="104"/>
      <c r="C328" s="104"/>
      <c r="D328" s="105"/>
      <c r="E328" s="106"/>
      <c r="F328" s="105"/>
      <c r="G328" s="106"/>
      <c r="H328" s="105"/>
      <c r="I328" s="106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</row>
    <row r="329" spans="1:26" ht="12.75" customHeight="1">
      <c r="A329" s="104"/>
      <c r="B329" s="104"/>
      <c r="C329" s="104"/>
      <c r="D329" s="105"/>
      <c r="E329" s="106"/>
      <c r="F329" s="105"/>
      <c r="G329" s="106"/>
      <c r="H329" s="105"/>
      <c r="I329" s="106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</row>
    <row r="330" spans="1:26" ht="12.75" customHeight="1">
      <c r="A330" s="104"/>
      <c r="B330" s="104"/>
      <c r="C330" s="104"/>
      <c r="D330" s="105"/>
      <c r="E330" s="106"/>
      <c r="F330" s="105"/>
      <c r="G330" s="106"/>
      <c r="H330" s="105"/>
      <c r="I330" s="106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</row>
    <row r="331" spans="1:26" ht="12.75" customHeight="1">
      <c r="A331" s="104"/>
      <c r="B331" s="104"/>
      <c r="C331" s="104"/>
      <c r="D331" s="105"/>
      <c r="E331" s="106"/>
      <c r="F331" s="105"/>
      <c r="G331" s="106"/>
      <c r="H331" s="105"/>
      <c r="I331" s="106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</row>
    <row r="332" spans="1:26" ht="12.75" customHeight="1">
      <c r="A332" s="104"/>
      <c r="B332" s="104"/>
      <c r="C332" s="104"/>
      <c r="D332" s="105"/>
      <c r="E332" s="106"/>
      <c r="F332" s="105"/>
      <c r="G332" s="106"/>
      <c r="H332" s="105"/>
      <c r="I332" s="106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</row>
    <row r="333" spans="1:26" ht="12.75" customHeight="1">
      <c r="A333" s="104"/>
      <c r="B333" s="104"/>
      <c r="C333" s="104"/>
      <c r="D333" s="105"/>
      <c r="E333" s="106"/>
      <c r="F333" s="105"/>
      <c r="G333" s="106"/>
      <c r="H333" s="105"/>
      <c r="I333" s="106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</row>
    <row r="334" spans="1:26" ht="12.75" customHeight="1">
      <c r="A334" s="104"/>
      <c r="B334" s="104"/>
      <c r="C334" s="104"/>
      <c r="D334" s="105"/>
      <c r="E334" s="106"/>
      <c r="F334" s="105"/>
      <c r="G334" s="106"/>
      <c r="H334" s="105"/>
      <c r="I334" s="106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</row>
    <row r="335" spans="1:26" ht="12.75" customHeight="1">
      <c r="A335" s="104"/>
      <c r="B335" s="104"/>
      <c r="C335" s="104"/>
      <c r="D335" s="105"/>
      <c r="E335" s="106"/>
      <c r="F335" s="105"/>
      <c r="G335" s="106"/>
      <c r="H335" s="105"/>
      <c r="I335" s="106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</row>
    <row r="336" spans="1:26" ht="12.75" customHeight="1">
      <c r="A336" s="104"/>
      <c r="B336" s="104"/>
      <c r="C336" s="104"/>
      <c r="D336" s="105"/>
      <c r="E336" s="106"/>
      <c r="F336" s="105"/>
      <c r="G336" s="106"/>
      <c r="H336" s="105"/>
      <c r="I336" s="106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</row>
    <row r="337" spans="1:26" ht="12.75" customHeight="1">
      <c r="A337" s="104"/>
      <c r="B337" s="104"/>
      <c r="C337" s="104"/>
      <c r="D337" s="105"/>
      <c r="E337" s="106"/>
      <c r="F337" s="105"/>
      <c r="G337" s="106"/>
      <c r="H337" s="105"/>
      <c r="I337" s="106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</row>
    <row r="338" spans="1:26" ht="12.75" customHeight="1">
      <c r="A338" s="104"/>
      <c r="B338" s="104"/>
      <c r="C338" s="104"/>
      <c r="D338" s="105"/>
      <c r="E338" s="106"/>
      <c r="F338" s="105"/>
      <c r="G338" s="106"/>
      <c r="H338" s="105"/>
      <c r="I338" s="106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</row>
    <row r="339" spans="1:26" ht="12.75" customHeight="1">
      <c r="A339" s="104"/>
      <c r="B339" s="104"/>
      <c r="C339" s="104"/>
      <c r="D339" s="105"/>
      <c r="E339" s="106"/>
      <c r="F339" s="105"/>
      <c r="G339" s="106"/>
      <c r="H339" s="105"/>
      <c r="I339" s="106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</row>
    <row r="340" spans="1:26" ht="12.75" customHeight="1">
      <c r="A340" s="104"/>
      <c r="B340" s="104"/>
      <c r="C340" s="104"/>
      <c r="D340" s="105"/>
      <c r="E340" s="106"/>
      <c r="F340" s="105"/>
      <c r="G340" s="106"/>
      <c r="H340" s="105"/>
      <c r="I340" s="106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</row>
    <row r="341" spans="1:26" ht="12.75" customHeight="1">
      <c r="A341" s="104"/>
      <c r="B341" s="104"/>
      <c r="C341" s="104"/>
      <c r="D341" s="105"/>
      <c r="E341" s="106"/>
      <c r="F341" s="105"/>
      <c r="G341" s="106"/>
      <c r="H341" s="105"/>
      <c r="I341" s="106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</row>
    <row r="342" spans="1:26" ht="12.75" customHeight="1">
      <c r="A342" s="104"/>
      <c r="B342" s="104"/>
      <c r="C342" s="104"/>
      <c r="D342" s="105"/>
      <c r="E342" s="106"/>
      <c r="F342" s="105"/>
      <c r="G342" s="106"/>
      <c r="H342" s="105"/>
      <c r="I342" s="106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</row>
    <row r="343" spans="1:26" ht="12.75" customHeight="1">
      <c r="A343" s="104"/>
      <c r="B343" s="104"/>
      <c r="C343" s="104"/>
      <c r="D343" s="105"/>
      <c r="E343" s="106"/>
      <c r="F343" s="105"/>
      <c r="G343" s="106"/>
      <c r="H343" s="105"/>
      <c r="I343" s="106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</row>
    <row r="344" spans="1:26" ht="12.75" customHeight="1">
      <c r="A344" s="104"/>
      <c r="B344" s="104"/>
      <c r="C344" s="104"/>
      <c r="D344" s="105"/>
      <c r="E344" s="106"/>
      <c r="F344" s="105"/>
      <c r="G344" s="106"/>
      <c r="H344" s="105"/>
      <c r="I344" s="106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</row>
    <row r="345" spans="1:26" ht="12.75" customHeight="1">
      <c r="A345" s="104"/>
      <c r="B345" s="104"/>
      <c r="C345" s="104"/>
      <c r="D345" s="105"/>
      <c r="E345" s="106"/>
      <c r="F345" s="105"/>
      <c r="G345" s="106"/>
      <c r="H345" s="105"/>
      <c r="I345" s="106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</row>
    <row r="346" spans="1:26" ht="12.75" customHeight="1">
      <c r="A346" s="104"/>
      <c r="B346" s="104"/>
      <c r="C346" s="104"/>
      <c r="D346" s="105"/>
      <c r="E346" s="106"/>
      <c r="F346" s="105"/>
      <c r="G346" s="106"/>
      <c r="H346" s="105"/>
      <c r="I346" s="106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</row>
    <row r="347" spans="1:26" ht="12.75" customHeight="1">
      <c r="A347" s="104"/>
      <c r="B347" s="104"/>
      <c r="C347" s="104"/>
      <c r="D347" s="105"/>
      <c r="E347" s="106"/>
      <c r="F347" s="105"/>
      <c r="G347" s="106"/>
      <c r="H347" s="105"/>
      <c r="I347" s="106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</row>
    <row r="348" spans="1:26" ht="12.75" customHeight="1">
      <c r="A348" s="104"/>
      <c r="B348" s="104"/>
      <c r="C348" s="104"/>
      <c r="D348" s="105"/>
      <c r="E348" s="106"/>
      <c r="F348" s="105"/>
      <c r="G348" s="106"/>
      <c r="H348" s="105"/>
      <c r="I348" s="106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</row>
    <row r="349" spans="1:26" ht="12.75" customHeight="1">
      <c r="A349" s="104"/>
      <c r="B349" s="104"/>
      <c r="C349" s="104"/>
      <c r="D349" s="105"/>
      <c r="E349" s="106"/>
      <c r="F349" s="105"/>
      <c r="G349" s="106"/>
      <c r="H349" s="105"/>
      <c r="I349" s="106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</row>
    <row r="350" spans="1:26" ht="12.75" customHeight="1">
      <c r="A350" s="104"/>
      <c r="B350" s="104"/>
      <c r="C350" s="104"/>
      <c r="D350" s="105"/>
      <c r="E350" s="106"/>
      <c r="F350" s="105"/>
      <c r="G350" s="106"/>
      <c r="H350" s="105"/>
      <c r="I350" s="106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</row>
    <row r="351" spans="1:26" ht="12.75" customHeight="1">
      <c r="A351" s="104"/>
      <c r="B351" s="104"/>
      <c r="C351" s="104"/>
      <c r="D351" s="105"/>
      <c r="E351" s="106"/>
      <c r="F351" s="105"/>
      <c r="G351" s="106"/>
      <c r="H351" s="105"/>
      <c r="I351" s="106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</row>
    <row r="352" spans="1:26" ht="12.75" customHeight="1">
      <c r="A352" s="104"/>
      <c r="B352" s="104"/>
      <c r="C352" s="104"/>
      <c r="D352" s="105"/>
      <c r="E352" s="106"/>
      <c r="F352" s="105"/>
      <c r="G352" s="106"/>
      <c r="H352" s="105"/>
      <c r="I352" s="106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</row>
    <row r="353" spans="1:26" ht="12.75" customHeight="1">
      <c r="A353" s="104"/>
      <c r="B353" s="104"/>
      <c r="C353" s="104"/>
      <c r="D353" s="105"/>
      <c r="E353" s="106"/>
      <c r="F353" s="105"/>
      <c r="G353" s="106"/>
      <c r="H353" s="105"/>
      <c r="I353" s="106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</row>
    <row r="354" spans="1:26" ht="12.75" customHeight="1">
      <c r="A354" s="104"/>
      <c r="B354" s="104"/>
      <c r="C354" s="104"/>
      <c r="D354" s="105"/>
      <c r="E354" s="106"/>
      <c r="F354" s="105"/>
      <c r="G354" s="106"/>
      <c r="H354" s="105"/>
      <c r="I354" s="106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</row>
    <row r="355" spans="1:26" ht="12.75" customHeight="1">
      <c r="A355" s="104"/>
      <c r="B355" s="104"/>
      <c r="C355" s="104"/>
      <c r="D355" s="105"/>
      <c r="E355" s="106"/>
      <c r="F355" s="105"/>
      <c r="G355" s="106"/>
      <c r="H355" s="105"/>
      <c r="I355" s="106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</row>
    <row r="356" spans="1:26" ht="12.75" customHeight="1">
      <c r="A356" s="104"/>
      <c r="B356" s="104"/>
      <c r="C356" s="104"/>
      <c r="D356" s="105"/>
      <c r="E356" s="106"/>
      <c r="F356" s="105"/>
      <c r="G356" s="106"/>
      <c r="H356" s="105"/>
      <c r="I356" s="106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</row>
    <row r="357" spans="1:26" ht="12.75" customHeight="1">
      <c r="A357" s="104"/>
      <c r="B357" s="104"/>
      <c r="C357" s="104"/>
      <c r="D357" s="105"/>
      <c r="E357" s="106"/>
      <c r="F357" s="105"/>
      <c r="G357" s="106"/>
      <c r="H357" s="105"/>
      <c r="I357" s="106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</row>
    <row r="358" spans="1:26" ht="12.75" customHeight="1">
      <c r="A358" s="104"/>
      <c r="B358" s="104"/>
      <c r="C358" s="104"/>
      <c r="D358" s="105"/>
      <c r="E358" s="106"/>
      <c r="F358" s="105"/>
      <c r="G358" s="106"/>
      <c r="H358" s="105"/>
      <c r="I358" s="106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</row>
    <row r="359" spans="1:26" ht="12.75" customHeight="1">
      <c r="A359" s="104"/>
      <c r="B359" s="104"/>
      <c r="C359" s="104"/>
      <c r="D359" s="105"/>
      <c r="E359" s="106"/>
      <c r="F359" s="105"/>
      <c r="G359" s="106"/>
      <c r="H359" s="105"/>
      <c r="I359" s="106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</row>
    <row r="360" spans="1:26" ht="12.75" customHeight="1">
      <c r="A360" s="104"/>
      <c r="B360" s="104"/>
      <c r="C360" s="104"/>
      <c r="D360" s="105"/>
      <c r="E360" s="106"/>
      <c r="F360" s="105"/>
      <c r="G360" s="106"/>
      <c r="H360" s="105"/>
      <c r="I360" s="106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</row>
    <row r="361" spans="1:26" ht="12.75" customHeight="1">
      <c r="A361" s="104"/>
      <c r="B361" s="104"/>
      <c r="C361" s="104"/>
      <c r="D361" s="105"/>
      <c r="E361" s="106"/>
      <c r="F361" s="105"/>
      <c r="G361" s="106"/>
      <c r="H361" s="105"/>
      <c r="I361" s="106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</row>
    <row r="362" spans="1:26" ht="12.75" customHeight="1">
      <c r="A362" s="104"/>
      <c r="B362" s="104"/>
      <c r="C362" s="104"/>
      <c r="D362" s="105"/>
      <c r="E362" s="106"/>
      <c r="F362" s="105"/>
      <c r="G362" s="106"/>
      <c r="H362" s="105"/>
      <c r="I362" s="106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</row>
    <row r="363" spans="1:26" ht="12.75" customHeight="1">
      <c r="A363" s="104"/>
      <c r="B363" s="104"/>
      <c r="C363" s="104"/>
      <c r="D363" s="105"/>
      <c r="E363" s="106"/>
      <c r="F363" s="105"/>
      <c r="G363" s="106"/>
      <c r="H363" s="105"/>
      <c r="I363" s="106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</row>
    <row r="364" spans="1:26" ht="12.75" customHeight="1">
      <c r="A364" s="104"/>
      <c r="B364" s="104"/>
      <c r="C364" s="104"/>
      <c r="D364" s="105"/>
      <c r="E364" s="106"/>
      <c r="F364" s="105"/>
      <c r="G364" s="106"/>
      <c r="H364" s="105"/>
      <c r="I364" s="106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</row>
    <row r="365" spans="1:26" ht="12.75" customHeight="1">
      <c r="A365" s="104"/>
      <c r="B365" s="104"/>
      <c r="C365" s="104"/>
      <c r="D365" s="105"/>
      <c r="E365" s="106"/>
      <c r="F365" s="105"/>
      <c r="G365" s="106"/>
      <c r="H365" s="105"/>
      <c r="I365" s="106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</row>
    <row r="366" spans="1:26" ht="12.75" customHeight="1">
      <c r="A366" s="104"/>
      <c r="B366" s="104"/>
      <c r="C366" s="104"/>
      <c r="D366" s="105"/>
      <c r="E366" s="106"/>
      <c r="F366" s="105"/>
      <c r="G366" s="106"/>
      <c r="H366" s="105"/>
      <c r="I366" s="106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</row>
    <row r="367" spans="1:26" ht="12.75" customHeight="1">
      <c r="A367" s="104"/>
      <c r="B367" s="104"/>
      <c r="C367" s="104"/>
      <c r="D367" s="105"/>
      <c r="E367" s="106"/>
      <c r="F367" s="105"/>
      <c r="G367" s="106"/>
      <c r="H367" s="105"/>
      <c r="I367" s="106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</row>
    <row r="368" spans="1:26" ht="12.75" customHeight="1">
      <c r="A368" s="104"/>
      <c r="B368" s="104"/>
      <c r="C368" s="104"/>
      <c r="D368" s="105"/>
      <c r="E368" s="106"/>
      <c r="F368" s="105"/>
      <c r="G368" s="106"/>
      <c r="H368" s="105"/>
      <c r="I368" s="106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</row>
    <row r="369" spans="1:26" ht="12.75" customHeight="1">
      <c r="A369" s="104"/>
      <c r="B369" s="104"/>
      <c r="C369" s="104"/>
      <c r="D369" s="105"/>
      <c r="E369" s="106"/>
      <c r="F369" s="105"/>
      <c r="G369" s="106"/>
      <c r="H369" s="105"/>
      <c r="I369" s="106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</row>
    <row r="370" spans="1:26" ht="12.75" customHeight="1">
      <c r="A370" s="104"/>
      <c r="B370" s="104"/>
      <c r="C370" s="104"/>
      <c r="D370" s="105"/>
      <c r="E370" s="106"/>
      <c r="F370" s="105"/>
      <c r="G370" s="106"/>
      <c r="H370" s="105"/>
      <c r="I370" s="106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</row>
    <row r="371" spans="1:26" ht="12.75" customHeight="1">
      <c r="A371" s="104"/>
      <c r="B371" s="104"/>
      <c r="C371" s="104"/>
      <c r="D371" s="105"/>
      <c r="E371" s="106"/>
      <c r="F371" s="105"/>
      <c r="G371" s="106"/>
      <c r="H371" s="105"/>
      <c r="I371" s="106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</row>
    <row r="372" spans="1:26" ht="12.75" customHeight="1">
      <c r="A372" s="104"/>
      <c r="B372" s="104"/>
      <c r="C372" s="104"/>
      <c r="D372" s="105"/>
      <c r="E372" s="106"/>
      <c r="F372" s="105"/>
      <c r="G372" s="106"/>
      <c r="H372" s="105"/>
      <c r="I372" s="106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</row>
    <row r="373" spans="1:26" ht="12.75" customHeight="1">
      <c r="A373" s="104"/>
      <c r="B373" s="104"/>
      <c r="C373" s="104"/>
      <c r="D373" s="105"/>
      <c r="E373" s="106"/>
      <c r="F373" s="105"/>
      <c r="G373" s="106"/>
      <c r="H373" s="105"/>
      <c r="I373" s="106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</row>
    <row r="374" spans="1:26" ht="12.75" customHeight="1">
      <c r="A374" s="104"/>
      <c r="B374" s="104"/>
      <c r="C374" s="104"/>
      <c r="D374" s="105"/>
      <c r="E374" s="106"/>
      <c r="F374" s="105"/>
      <c r="G374" s="106"/>
      <c r="H374" s="105"/>
      <c r="I374" s="106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</row>
    <row r="375" spans="1:26" ht="12.75" customHeight="1">
      <c r="A375" s="104"/>
      <c r="B375" s="104"/>
      <c r="C375" s="104"/>
      <c r="D375" s="105"/>
      <c r="E375" s="106"/>
      <c r="F375" s="105"/>
      <c r="G375" s="106"/>
      <c r="H375" s="105"/>
      <c r="I375" s="106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</row>
    <row r="376" spans="1:26" ht="12.75" customHeight="1">
      <c r="A376" s="104"/>
      <c r="B376" s="104"/>
      <c r="C376" s="104"/>
      <c r="D376" s="105"/>
      <c r="E376" s="106"/>
      <c r="F376" s="105"/>
      <c r="G376" s="106"/>
      <c r="H376" s="105"/>
      <c r="I376" s="106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</row>
    <row r="377" spans="1:26" ht="12.75" customHeight="1">
      <c r="A377" s="104"/>
      <c r="B377" s="104"/>
      <c r="C377" s="104"/>
      <c r="D377" s="105"/>
      <c r="E377" s="106"/>
      <c r="F377" s="105"/>
      <c r="G377" s="106"/>
      <c r="H377" s="105"/>
      <c r="I377" s="106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</row>
    <row r="378" spans="1:26" ht="12.75" customHeight="1">
      <c r="A378" s="104"/>
      <c r="B378" s="104"/>
      <c r="C378" s="104"/>
      <c r="D378" s="105"/>
      <c r="E378" s="106"/>
      <c r="F378" s="105"/>
      <c r="G378" s="106"/>
      <c r="H378" s="105"/>
      <c r="I378" s="106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</row>
    <row r="379" spans="1:26" ht="12.75" customHeight="1">
      <c r="A379" s="104"/>
      <c r="B379" s="104"/>
      <c r="C379" s="104"/>
      <c r="D379" s="105"/>
      <c r="E379" s="106"/>
      <c r="F379" s="105"/>
      <c r="G379" s="106"/>
      <c r="H379" s="105"/>
      <c r="I379" s="106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</row>
    <row r="380" spans="1:26" ht="12.75" customHeight="1">
      <c r="A380" s="104"/>
      <c r="B380" s="104"/>
      <c r="C380" s="104"/>
      <c r="D380" s="105"/>
      <c r="E380" s="106"/>
      <c r="F380" s="105"/>
      <c r="G380" s="106"/>
      <c r="H380" s="105"/>
      <c r="I380" s="106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</row>
    <row r="381" spans="1:26" ht="12.75" customHeight="1">
      <c r="A381" s="104"/>
      <c r="B381" s="104"/>
      <c r="C381" s="104"/>
      <c r="D381" s="105"/>
      <c r="E381" s="106"/>
      <c r="F381" s="105"/>
      <c r="G381" s="106"/>
      <c r="H381" s="105"/>
      <c r="I381" s="106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</row>
    <row r="382" spans="1:26" ht="12.75" customHeight="1">
      <c r="A382" s="104"/>
      <c r="B382" s="104"/>
      <c r="C382" s="104"/>
      <c r="D382" s="105"/>
      <c r="E382" s="106"/>
      <c r="F382" s="105"/>
      <c r="G382" s="106"/>
      <c r="H382" s="105"/>
      <c r="I382" s="106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</row>
    <row r="383" spans="1:26" ht="12.75" customHeight="1">
      <c r="A383" s="104"/>
      <c r="B383" s="104"/>
      <c r="C383" s="104"/>
      <c r="D383" s="105"/>
      <c r="E383" s="106"/>
      <c r="F383" s="105"/>
      <c r="G383" s="106"/>
      <c r="H383" s="105"/>
      <c r="I383" s="106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</row>
    <row r="384" spans="1:26" ht="12.75" customHeight="1">
      <c r="A384" s="104"/>
      <c r="B384" s="104"/>
      <c r="C384" s="104"/>
      <c r="D384" s="105"/>
      <c r="E384" s="106"/>
      <c r="F384" s="105"/>
      <c r="G384" s="106"/>
      <c r="H384" s="105"/>
      <c r="I384" s="106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</row>
    <row r="385" spans="1:26" ht="12.75" customHeight="1">
      <c r="A385" s="104"/>
      <c r="B385" s="104"/>
      <c r="C385" s="104"/>
      <c r="D385" s="105"/>
      <c r="E385" s="106"/>
      <c r="F385" s="105"/>
      <c r="G385" s="106"/>
      <c r="H385" s="105"/>
      <c r="I385" s="106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</row>
    <row r="386" spans="1:26" ht="12.75" customHeight="1">
      <c r="A386" s="104"/>
      <c r="B386" s="104"/>
      <c r="C386" s="104"/>
      <c r="D386" s="105"/>
      <c r="E386" s="106"/>
      <c r="F386" s="105"/>
      <c r="G386" s="106"/>
      <c r="H386" s="105"/>
      <c r="I386" s="106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</row>
    <row r="387" spans="1:26" ht="12.75" customHeight="1">
      <c r="A387" s="104"/>
      <c r="B387" s="104"/>
      <c r="C387" s="104"/>
      <c r="D387" s="105"/>
      <c r="E387" s="106"/>
      <c r="F387" s="105"/>
      <c r="G387" s="106"/>
      <c r="H387" s="105"/>
      <c r="I387" s="106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</row>
    <row r="388" spans="1:26" ht="12.75" customHeight="1">
      <c r="A388" s="104"/>
      <c r="B388" s="104"/>
      <c r="C388" s="104"/>
      <c r="D388" s="105"/>
      <c r="E388" s="106"/>
      <c r="F388" s="105"/>
      <c r="G388" s="106"/>
      <c r="H388" s="105"/>
      <c r="I388" s="106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</row>
    <row r="389" spans="1:26" ht="12.75" customHeight="1">
      <c r="A389" s="104"/>
      <c r="B389" s="104"/>
      <c r="C389" s="104"/>
      <c r="D389" s="105"/>
      <c r="E389" s="106"/>
      <c r="F389" s="105"/>
      <c r="G389" s="106"/>
      <c r="H389" s="105"/>
      <c r="I389" s="106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</row>
    <row r="390" spans="1:26" ht="12.75" customHeight="1">
      <c r="A390" s="104"/>
      <c r="B390" s="104"/>
      <c r="C390" s="104"/>
      <c r="D390" s="105"/>
      <c r="E390" s="106"/>
      <c r="F390" s="105"/>
      <c r="G390" s="106"/>
      <c r="H390" s="105"/>
      <c r="I390" s="106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</row>
    <row r="391" spans="1:26" ht="12.75" customHeight="1">
      <c r="A391" s="104"/>
      <c r="B391" s="104"/>
      <c r="C391" s="104"/>
      <c r="D391" s="105"/>
      <c r="E391" s="106"/>
      <c r="F391" s="105"/>
      <c r="G391" s="106"/>
      <c r="H391" s="105"/>
      <c r="I391" s="106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</row>
    <row r="392" spans="1:26" ht="12.75" customHeight="1">
      <c r="A392" s="104"/>
      <c r="B392" s="104"/>
      <c r="C392" s="104"/>
      <c r="D392" s="105"/>
      <c r="E392" s="106"/>
      <c r="F392" s="105"/>
      <c r="G392" s="106"/>
      <c r="H392" s="105"/>
      <c r="I392" s="106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</row>
    <row r="393" spans="1:26" ht="12.75" customHeight="1">
      <c r="A393" s="104"/>
      <c r="B393" s="104"/>
      <c r="C393" s="104"/>
      <c r="D393" s="105"/>
      <c r="E393" s="106"/>
      <c r="F393" s="105"/>
      <c r="G393" s="106"/>
      <c r="H393" s="105"/>
      <c r="I393" s="106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</row>
    <row r="394" spans="1:26" ht="12.75" customHeight="1">
      <c r="A394" s="104"/>
      <c r="B394" s="104"/>
      <c r="C394" s="104"/>
      <c r="D394" s="105"/>
      <c r="E394" s="106"/>
      <c r="F394" s="105"/>
      <c r="G394" s="106"/>
      <c r="H394" s="105"/>
      <c r="I394" s="106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</row>
    <row r="395" spans="1:26" ht="12.75" customHeight="1">
      <c r="A395" s="104"/>
      <c r="B395" s="104"/>
      <c r="C395" s="104"/>
      <c r="D395" s="105"/>
      <c r="E395" s="106"/>
      <c r="F395" s="105"/>
      <c r="G395" s="106"/>
      <c r="H395" s="105"/>
      <c r="I395" s="106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</row>
    <row r="396" spans="1:26" ht="12.75" customHeight="1">
      <c r="A396" s="104"/>
      <c r="B396" s="104"/>
      <c r="C396" s="104"/>
      <c r="D396" s="105"/>
      <c r="E396" s="106"/>
      <c r="F396" s="105"/>
      <c r="G396" s="106"/>
      <c r="H396" s="105"/>
      <c r="I396" s="106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</row>
    <row r="397" spans="1:26" ht="12.75" customHeight="1">
      <c r="A397" s="104"/>
      <c r="B397" s="104"/>
      <c r="C397" s="104"/>
      <c r="D397" s="105"/>
      <c r="E397" s="106"/>
      <c r="F397" s="105"/>
      <c r="G397" s="106"/>
      <c r="H397" s="105"/>
      <c r="I397" s="106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</row>
    <row r="398" spans="1:26" ht="12.75" customHeight="1">
      <c r="A398" s="104"/>
      <c r="B398" s="104"/>
      <c r="C398" s="104"/>
      <c r="D398" s="105"/>
      <c r="E398" s="106"/>
      <c r="F398" s="105"/>
      <c r="G398" s="106"/>
      <c r="H398" s="105"/>
      <c r="I398" s="106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</row>
    <row r="399" spans="1:26" ht="12.75" customHeight="1">
      <c r="A399" s="104"/>
      <c r="B399" s="104"/>
      <c r="C399" s="104"/>
      <c r="D399" s="105"/>
      <c r="E399" s="106"/>
      <c r="F399" s="105"/>
      <c r="G399" s="106"/>
      <c r="H399" s="105"/>
      <c r="I399" s="106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</row>
    <row r="400" spans="1:26" ht="12.75" customHeight="1">
      <c r="A400" s="104"/>
      <c r="B400" s="104"/>
      <c r="C400" s="104"/>
      <c r="D400" s="105"/>
      <c r="E400" s="106"/>
      <c r="F400" s="105"/>
      <c r="G400" s="106"/>
      <c r="H400" s="105"/>
      <c r="I400" s="106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</row>
    <row r="401" spans="1:26" ht="12.75" customHeight="1">
      <c r="A401" s="104"/>
      <c r="B401" s="104"/>
      <c r="C401" s="104"/>
      <c r="D401" s="105"/>
      <c r="E401" s="106"/>
      <c r="F401" s="105"/>
      <c r="G401" s="106"/>
      <c r="H401" s="105"/>
      <c r="I401" s="106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</row>
    <row r="402" spans="1:26" ht="12.75" customHeight="1">
      <c r="A402" s="104"/>
      <c r="B402" s="104"/>
      <c r="C402" s="104"/>
      <c r="D402" s="105"/>
      <c r="E402" s="106"/>
      <c r="F402" s="105"/>
      <c r="G402" s="106"/>
      <c r="H402" s="105"/>
      <c r="I402" s="106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</row>
    <row r="403" spans="1:26" ht="12.75" customHeight="1">
      <c r="A403" s="104"/>
      <c r="B403" s="104"/>
      <c r="C403" s="104"/>
      <c r="D403" s="105"/>
      <c r="E403" s="106"/>
      <c r="F403" s="105"/>
      <c r="G403" s="106"/>
      <c r="H403" s="105"/>
      <c r="I403" s="106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</row>
    <row r="404" spans="1:26" ht="12.75" customHeight="1">
      <c r="A404" s="104"/>
      <c r="B404" s="104"/>
      <c r="C404" s="104"/>
      <c r="D404" s="105"/>
      <c r="E404" s="106"/>
      <c r="F404" s="105"/>
      <c r="G404" s="106"/>
      <c r="H404" s="105"/>
      <c r="I404" s="106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</row>
    <row r="405" spans="1:26" ht="12.75" customHeight="1">
      <c r="A405" s="104"/>
      <c r="B405" s="104"/>
      <c r="C405" s="104"/>
      <c r="D405" s="105"/>
      <c r="E405" s="106"/>
      <c r="F405" s="105"/>
      <c r="G405" s="106"/>
      <c r="H405" s="105"/>
      <c r="I405" s="106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</row>
    <row r="406" spans="1:26" ht="12.75" customHeight="1">
      <c r="A406" s="104"/>
      <c r="B406" s="104"/>
      <c r="C406" s="104"/>
      <c r="D406" s="105"/>
      <c r="E406" s="106"/>
      <c r="F406" s="105"/>
      <c r="G406" s="106"/>
      <c r="H406" s="105"/>
      <c r="I406" s="106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</row>
    <row r="407" spans="1:26" ht="12.75" customHeight="1">
      <c r="A407" s="104"/>
      <c r="B407" s="104"/>
      <c r="C407" s="104"/>
      <c r="D407" s="105"/>
      <c r="E407" s="106"/>
      <c r="F407" s="105"/>
      <c r="G407" s="106"/>
      <c r="H407" s="105"/>
      <c r="I407" s="106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</row>
    <row r="408" spans="1:26" ht="12.75" customHeight="1">
      <c r="A408" s="104"/>
      <c r="B408" s="104"/>
      <c r="C408" s="104"/>
      <c r="D408" s="105"/>
      <c r="E408" s="106"/>
      <c r="F408" s="105"/>
      <c r="G408" s="106"/>
      <c r="H408" s="105"/>
      <c r="I408" s="106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</row>
    <row r="409" spans="1:26" ht="12.75" customHeight="1">
      <c r="A409" s="104"/>
      <c r="B409" s="104"/>
      <c r="C409" s="104"/>
      <c r="D409" s="105"/>
      <c r="E409" s="106"/>
      <c r="F409" s="105"/>
      <c r="G409" s="106"/>
      <c r="H409" s="105"/>
      <c r="I409" s="106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</row>
    <row r="410" spans="1:26" ht="12.75" customHeight="1">
      <c r="A410" s="104"/>
      <c r="B410" s="104"/>
      <c r="C410" s="104"/>
      <c r="D410" s="105"/>
      <c r="E410" s="106"/>
      <c r="F410" s="105"/>
      <c r="G410" s="106"/>
      <c r="H410" s="105"/>
      <c r="I410" s="106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</row>
    <row r="411" spans="1:26" ht="12.75" customHeight="1">
      <c r="A411" s="104"/>
      <c r="B411" s="104"/>
      <c r="C411" s="104"/>
      <c r="D411" s="105"/>
      <c r="E411" s="106"/>
      <c r="F411" s="105"/>
      <c r="G411" s="106"/>
      <c r="H411" s="105"/>
      <c r="I411" s="106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</row>
    <row r="412" spans="1:26" ht="12.75" customHeight="1">
      <c r="A412" s="104"/>
      <c r="B412" s="104"/>
      <c r="C412" s="104"/>
      <c r="D412" s="105"/>
      <c r="E412" s="106"/>
      <c r="F412" s="105"/>
      <c r="G412" s="106"/>
      <c r="H412" s="105"/>
      <c r="I412" s="106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</row>
    <row r="413" spans="1:26" ht="12.75" customHeight="1">
      <c r="A413" s="104"/>
      <c r="B413" s="104"/>
      <c r="C413" s="104"/>
      <c r="D413" s="105"/>
      <c r="E413" s="106"/>
      <c r="F413" s="105"/>
      <c r="G413" s="106"/>
      <c r="H413" s="105"/>
      <c r="I413" s="106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</row>
    <row r="414" spans="1:26" ht="12.75" customHeight="1">
      <c r="A414" s="104"/>
      <c r="B414" s="104"/>
      <c r="C414" s="104"/>
      <c r="D414" s="105"/>
      <c r="E414" s="106"/>
      <c r="F414" s="105"/>
      <c r="G414" s="106"/>
      <c r="H414" s="105"/>
      <c r="I414" s="106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</row>
    <row r="415" spans="1:26" ht="12.75" customHeight="1">
      <c r="A415" s="104"/>
      <c r="B415" s="104"/>
      <c r="C415" s="104"/>
      <c r="D415" s="105"/>
      <c r="E415" s="106"/>
      <c r="F415" s="105"/>
      <c r="G415" s="106"/>
      <c r="H415" s="105"/>
      <c r="I415" s="106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</row>
    <row r="416" spans="1:26" ht="12.75" customHeight="1">
      <c r="A416" s="104"/>
      <c r="B416" s="104"/>
      <c r="C416" s="104"/>
      <c r="D416" s="105"/>
      <c r="E416" s="106"/>
      <c r="F416" s="105"/>
      <c r="G416" s="106"/>
      <c r="H416" s="105"/>
      <c r="I416" s="106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</row>
    <row r="417" spans="1:26" ht="12.75" customHeight="1">
      <c r="A417" s="104"/>
      <c r="B417" s="104"/>
      <c r="C417" s="104"/>
      <c r="D417" s="105"/>
      <c r="E417" s="106"/>
      <c r="F417" s="105"/>
      <c r="G417" s="106"/>
      <c r="H417" s="105"/>
      <c r="I417" s="106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</row>
    <row r="418" spans="1:26" ht="12.75" customHeight="1">
      <c r="A418" s="104"/>
      <c r="B418" s="104"/>
      <c r="C418" s="104"/>
      <c r="D418" s="105"/>
      <c r="E418" s="106"/>
      <c r="F418" s="105"/>
      <c r="G418" s="106"/>
      <c r="H418" s="105"/>
      <c r="I418" s="106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</row>
    <row r="419" spans="1:26" ht="12.75" customHeight="1">
      <c r="A419" s="104"/>
      <c r="B419" s="104"/>
      <c r="C419" s="104"/>
      <c r="D419" s="105"/>
      <c r="E419" s="106"/>
      <c r="F419" s="105"/>
      <c r="G419" s="106"/>
      <c r="H419" s="105"/>
      <c r="I419" s="106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</row>
    <row r="420" spans="1:26" ht="12.75" customHeight="1">
      <c r="A420" s="104"/>
      <c r="B420" s="104"/>
      <c r="C420" s="104"/>
      <c r="D420" s="105"/>
      <c r="E420" s="106"/>
      <c r="F420" s="105"/>
      <c r="G420" s="106"/>
      <c r="H420" s="105"/>
      <c r="I420" s="106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</row>
    <row r="421" spans="1:26" ht="12.75" customHeight="1">
      <c r="A421" s="104"/>
      <c r="B421" s="104"/>
      <c r="C421" s="104"/>
      <c r="D421" s="105"/>
      <c r="E421" s="106"/>
      <c r="F421" s="105"/>
      <c r="G421" s="106"/>
      <c r="H421" s="105"/>
      <c r="I421" s="106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</row>
    <row r="422" spans="1:26" ht="12.75" customHeight="1">
      <c r="A422" s="104"/>
      <c r="B422" s="104"/>
      <c r="C422" s="104"/>
      <c r="D422" s="105"/>
      <c r="E422" s="106"/>
      <c r="F422" s="105"/>
      <c r="G422" s="106"/>
      <c r="H422" s="105"/>
      <c r="I422" s="106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</row>
    <row r="423" spans="1:26" ht="12.75" customHeight="1">
      <c r="A423" s="104"/>
      <c r="B423" s="104"/>
      <c r="C423" s="104"/>
      <c r="D423" s="105"/>
      <c r="E423" s="106"/>
      <c r="F423" s="105"/>
      <c r="G423" s="106"/>
      <c r="H423" s="105"/>
      <c r="I423" s="106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</row>
    <row r="424" spans="1:26" ht="12.75" customHeight="1">
      <c r="A424" s="104"/>
      <c r="B424" s="104"/>
      <c r="C424" s="104"/>
      <c r="D424" s="105"/>
      <c r="E424" s="106"/>
      <c r="F424" s="105"/>
      <c r="G424" s="106"/>
      <c r="H424" s="105"/>
      <c r="I424" s="106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</row>
    <row r="425" spans="1:26" ht="12.75" customHeight="1">
      <c r="A425" s="104"/>
      <c r="B425" s="104"/>
      <c r="C425" s="104"/>
      <c r="D425" s="105"/>
      <c r="E425" s="106"/>
      <c r="F425" s="105"/>
      <c r="G425" s="106"/>
      <c r="H425" s="105"/>
      <c r="I425" s="106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</row>
    <row r="426" spans="1:26" ht="12.75" customHeight="1">
      <c r="A426" s="104"/>
      <c r="B426" s="104"/>
      <c r="C426" s="104"/>
      <c r="D426" s="105"/>
      <c r="E426" s="106"/>
      <c r="F426" s="105"/>
      <c r="G426" s="106"/>
      <c r="H426" s="105"/>
      <c r="I426" s="106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</row>
    <row r="427" spans="1:26" ht="12.75" customHeight="1">
      <c r="A427" s="104"/>
      <c r="B427" s="104"/>
      <c r="C427" s="104"/>
      <c r="D427" s="105"/>
      <c r="E427" s="106"/>
      <c r="F427" s="105"/>
      <c r="G427" s="106"/>
      <c r="H427" s="105"/>
      <c r="I427" s="106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</row>
    <row r="428" spans="1:26" ht="12.75" customHeight="1">
      <c r="A428" s="104"/>
      <c r="B428" s="104"/>
      <c r="C428" s="104"/>
      <c r="D428" s="105"/>
      <c r="E428" s="106"/>
      <c r="F428" s="105"/>
      <c r="G428" s="106"/>
      <c r="H428" s="105"/>
      <c r="I428" s="106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</row>
    <row r="429" spans="1:26" ht="12.75" customHeight="1">
      <c r="A429" s="104"/>
      <c r="B429" s="104"/>
      <c r="C429" s="104"/>
      <c r="D429" s="105"/>
      <c r="E429" s="106"/>
      <c r="F429" s="105"/>
      <c r="G429" s="106"/>
      <c r="H429" s="105"/>
      <c r="I429" s="106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</row>
    <row r="430" spans="1:26" ht="12.75" customHeight="1">
      <c r="A430" s="104"/>
      <c r="B430" s="104"/>
      <c r="C430" s="104"/>
      <c r="D430" s="105"/>
      <c r="E430" s="106"/>
      <c r="F430" s="105"/>
      <c r="G430" s="106"/>
      <c r="H430" s="105"/>
      <c r="I430" s="106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</row>
    <row r="431" spans="1:26" ht="12.75" customHeight="1">
      <c r="A431" s="104"/>
      <c r="B431" s="104"/>
      <c r="C431" s="104"/>
      <c r="D431" s="105"/>
      <c r="E431" s="106"/>
      <c r="F431" s="105"/>
      <c r="G431" s="106"/>
      <c r="H431" s="105"/>
      <c r="I431" s="106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</row>
    <row r="432" spans="1:26" ht="12.75" customHeight="1">
      <c r="A432" s="104"/>
      <c r="B432" s="104"/>
      <c r="C432" s="104"/>
      <c r="D432" s="105"/>
      <c r="E432" s="106"/>
      <c r="F432" s="105"/>
      <c r="G432" s="106"/>
      <c r="H432" s="105"/>
      <c r="I432" s="106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</row>
    <row r="433" spans="1:26" ht="12.75" customHeight="1">
      <c r="A433" s="104"/>
      <c r="B433" s="104"/>
      <c r="C433" s="104"/>
      <c r="D433" s="105"/>
      <c r="E433" s="106"/>
      <c r="F433" s="105"/>
      <c r="G433" s="106"/>
      <c r="H433" s="105"/>
      <c r="I433" s="106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</row>
    <row r="434" spans="1:26" ht="12.75" customHeight="1">
      <c r="A434" s="104"/>
      <c r="B434" s="104"/>
      <c r="C434" s="104"/>
      <c r="D434" s="105"/>
      <c r="E434" s="106"/>
      <c r="F434" s="105"/>
      <c r="G434" s="106"/>
      <c r="H434" s="105"/>
      <c r="I434" s="106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</row>
    <row r="435" spans="1:26" ht="12.75" customHeight="1">
      <c r="A435" s="104"/>
      <c r="B435" s="104"/>
      <c r="C435" s="104"/>
      <c r="D435" s="105"/>
      <c r="E435" s="106"/>
      <c r="F435" s="105"/>
      <c r="G435" s="106"/>
      <c r="H435" s="105"/>
      <c r="I435" s="106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</row>
    <row r="436" spans="1:26" ht="12.75" customHeight="1">
      <c r="A436" s="104"/>
      <c r="B436" s="104"/>
      <c r="C436" s="104"/>
      <c r="D436" s="105"/>
      <c r="E436" s="106"/>
      <c r="F436" s="105"/>
      <c r="G436" s="106"/>
      <c r="H436" s="105"/>
      <c r="I436" s="106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</row>
    <row r="437" spans="1:26" ht="12.75" customHeight="1">
      <c r="A437" s="104"/>
      <c r="B437" s="104"/>
      <c r="C437" s="104"/>
      <c r="D437" s="105"/>
      <c r="E437" s="106"/>
      <c r="F437" s="105"/>
      <c r="G437" s="106"/>
      <c r="H437" s="105"/>
      <c r="I437" s="106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</row>
    <row r="438" spans="1:26" ht="12.75" customHeight="1">
      <c r="A438" s="104"/>
      <c r="B438" s="104"/>
      <c r="C438" s="104"/>
      <c r="D438" s="105"/>
      <c r="E438" s="106"/>
      <c r="F438" s="105"/>
      <c r="G438" s="106"/>
      <c r="H438" s="105"/>
      <c r="I438" s="106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</row>
    <row r="439" spans="1:26" ht="12.75" customHeight="1">
      <c r="A439" s="104"/>
      <c r="B439" s="104"/>
      <c r="C439" s="104"/>
      <c r="D439" s="105"/>
      <c r="E439" s="106"/>
      <c r="F439" s="105"/>
      <c r="G439" s="106"/>
      <c r="H439" s="105"/>
      <c r="I439" s="106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</row>
    <row r="440" spans="1:26" ht="12.75" customHeight="1">
      <c r="A440" s="104"/>
      <c r="B440" s="104"/>
      <c r="C440" s="104"/>
      <c r="D440" s="105"/>
      <c r="E440" s="106"/>
      <c r="F440" s="105"/>
      <c r="G440" s="106"/>
      <c r="H440" s="105"/>
      <c r="I440" s="106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</row>
    <row r="441" spans="1:26" ht="12.75" customHeight="1">
      <c r="A441" s="104"/>
      <c r="B441" s="104"/>
      <c r="C441" s="104"/>
      <c r="D441" s="105"/>
      <c r="E441" s="106"/>
      <c r="F441" s="105"/>
      <c r="G441" s="106"/>
      <c r="H441" s="105"/>
      <c r="I441" s="106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</row>
    <row r="442" spans="1:26" ht="12.75" customHeight="1">
      <c r="A442" s="104"/>
      <c r="B442" s="104"/>
      <c r="C442" s="104"/>
      <c r="D442" s="105"/>
      <c r="E442" s="106"/>
      <c r="F442" s="105"/>
      <c r="G442" s="106"/>
      <c r="H442" s="105"/>
      <c r="I442" s="106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</row>
    <row r="443" spans="1:26" ht="12.75" customHeight="1">
      <c r="A443" s="104"/>
      <c r="B443" s="104"/>
      <c r="C443" s="104"/>
      <c r="D443" s="105"/>
      <c r="E443" s="106"/>
      <c r="F443" s="105"/>
      <c r="G443" s="106"/>
      <c r="H443" s="105"/>
      <c r="I443" s="106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</row>
    <row r="444" spans="1:26" ht="12.75" customHeight="1">
      <c r="A444" s="104"/>
      <c r="B444" s="104"/>
      <c r="C444" s="104"/>
      <c r="D444" s="105"/>
      <c r="E444" s="106"/>
      <c r="F444" s="105"/>
      <c r="G444" s="106"/>
      <c r="H444" s="105"/>
      <c r="I444" s="106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</row>
    <row r="445" spans="1:26" ht="12.75" customHeight="1">
      <c r="A445" s="104"/>
      <c r="B445" s="104"/>
      <c r="C445" s="104"/>
      <c r="D445" s="105"/>
      <c r="E445" s="106"/>
      <c r="F445" s="105"/>
      <c r="G445" s="106"/>
      <c r="H445" s="105"/>
      <c r="I445" s="106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</row>
    <row r="446" spans="1:26" ht="12.75" customHeight="1">
      <c r="A446" s="104"/>
      <c r="B446" s="104"/>
      <c r="C446" s="104"/>
      <c r="D446" s="105"/>
      <c r="E446" s="106"/>
      <c r="F446" s="105"/>
      <c r="G446" s="106"/>
      <c r="H446" s="105"/>
      <c r="I446" s="106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</row>
    <row r="447" spans="1:26" ht="12.75" customHeight="1">
      <c r="A447" s="104"/>
      <c r="B447" s="104"/>
      <c r="C447" s="104"/>
      <c r="D447" s="105"/>
      <c r="E447" s="106"/>
      <c r="F447" s="105"/>
      <c r="G447" s="106"/>
      <c r="H447" s="105"/>
      <c r="I447" s="106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</row>
    <row r="448" spans="1:26" ht="12.75" customHeight="1">
      <c r="A448" s="104"/>
      <c r="B448" s="104"/>
      <c r="C448" s="104"/>
      <c r="D448" s="105"/>
      <c r="E448" s="106"/>
      <c r="F448" s="105"/>
      <c r="G448" s="106"/>
      <c r="H448" s="105"/>
      <c r="I448" s="106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</row>
    <row r="449" spans="1:26" ht="12.75" customHeight="1">
      <c r="A449" s="104"/>
      <c r="B449" s="104"/>
      <c r="C449" s="104"/>
      <c r="D449" s="105"/>
      <c r="E449" s="106"/>
      <c r="F449" s="105"/>
      <c r="G449" s="106"/>
      <c r="H449" s="105"/>
      <c r="I449" s="106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</row>
    <row r="450" spans="1:26" ht="12.75" customHeight="1">
      <c r="A450" s="104"/>
      <c r="B450" s="104"/>
      <c r="C450" s="104"/>
      <c r="D450" s="105"/>
      <c r="E450" s="106"/>
      <c r="F450" s="105"/>
      <c r="G450" s="106"/>
      <c r="H450" s="105"/>
      <c r="I450" s="106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</row>
    <row r="451" spans="1:26" ht="12.75" customHeight="1">
      <c r="A451" s="104"/>
      <c r="B451" s="104"/>
      <c r="C451" s="104"/>
      <c r="D451" s="105"/>
      <c r="E451" s="106"/>
      <c r="F451" s="105"/>
      <c r="G451" s="106"/>
      <c r="H451" s="105"/>
      <c r="I451" s="106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</row>
    <row r="452" spans="1:26" ht="12.75" customHeight="1">
      <c r="A452" s="104"/>
      <c r="B452" s="104"/>
      <c r="C452" s="104"/>
      <c r="D452" s="105"/>
      <c r="E452" s="106"/>
      <c r="F452" s="105"/>
      <c r="G452" s="106"/>
      <c r="H452" s="105"/>
      <c r="I452" s="106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</row>
    <row r="453" spans="1:26" ht="12.75" customHeight="1">
      <c r="A453" s="104"/>
      <c r="B453" s="104"/>
      <c r="C453" s="104"/>
      <c r="D453" s="105"/>
      <c r="E453" s="106"/>
      <c r="F453" s="105"/>
      <c r="G453" s="106"/>
      <c r="H453" s="105"/>
      <c r="I453" s="106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</row>
    <row r="454" spans="1:26" ht="12.75" customHeight="1">
      <c r="A454" s="104"/>
      <c r="B454" s="104"/>
      <c r="C454" s="104"/>
      <c r="D454" s="105"/>
      <c r="E454" s="106"/>
      <c r="F454" s="105"/>
      <c r="G454" s="106"/>
      <c r="H454" s="105"/>
      <c r="I454" s="106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</row>
    <row r="455" spans="1:26" ht="12.75" customHeight="1">
      <c r="A455" s="104"/>
      <c r="B455" s="104"/>
      <c r="C455" s="104"/>
      <c r="D455" s="105"/>
      <c r="E455" s="106"/>
      <c r="F455" s="105"/>
      <c r="G455" s="106"/>
      <c r="H455" s="105"/>
      <c r="I455" s="106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</row>
    <row r="456" spans="1:26" ht="12.75" customHeight="1">
      <c r="A456" s="104"/>
      <c r="B456" s="104"/>
      <c r="C456" s="104"/>
      <c r="D456" s="105"/>
      <c r="E456" s="106"/>
      <c r="F456" s="105"/>
      <c r="G456" s="106"/>
      <c r="H456" s="105"/>
      <c r="I456" s="106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</row>
    <row r="457" spans="1:26" ht="12.75" customHeight="1">
      <c r="A457" s="104"/>
      <c r="B457" s="104"/>
      <c r="C457" s="104"/>
      <c r="D457" s="105"/>
      <c r="E457" s="106"/>
      <c r="F457" s="105"/>
      <c r="G457" s="106"/>
      <c r="H457" s="105"/>
      <c r="I457" s="106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</row>
    <row r="458" spans="1:26" ht="12.75" customHeight="1">
      <c r="A458" s="104"/>
      <c r="B458" s="104"/>
      <c r="C458" s="104"/>
      <c r="D458" s="105"/>
      <c r="E458" s="106"/>
      <c r="F458" s="105"/>
      <c r="G458" s="106"/>
      <c r="H458" s="105"/>
      <c r="I458" s="106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</row>
    <row r="459" spans="1:26" ht="12.75" customHeight="1">
      <c r="A459" s="104"/>
      <c r="B459" s="104"/>
      <c r="C459" s="104"/>
      <c r="D459" s="105"/>
      <c r="E459" s="106"/>
      <c r="F459" s="105"/>
      <c r="G459" s="106"/>
      <c r="H459" s="105"/>
      <c r="I459" s="106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</row>
    <row r="460" spans="1:26" ht="12.75" customHeight="1">
      <c r="A460" s="104"/>
      <c r="B460" s="104"/>
      <c r="C460" s="104"/>
      <c r="D460" s="105"/>
      <c r="E460" s="106"/>
      <c r="F460" s="105"/>
      <c r="G460" s="106"/>
      <c r="H460" s="105"/>
      <c r="I460" s="106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</row>
    <row r="461" spans="1:26" ht="12.75" customHeight="1">
      <c r="A461" s="104"/>
      <c r="B461" s="104"/>
      <c r="C461" s="104"/>
      <c r="D461" s="105"/>
      <c r="E461" s="106"/>
      <c r="F461" s="105"/>
      <c r="G461" s="106"/>
      <c r="H461" s="105"/>
      <c r="I461" s="106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</row>
    <row r="462" spans="1:26" ht="12.75" customHeight="1">
      <c r="A462" s="104"/>
      <c r="B462" s="104"/>
      <c r="C462" s="104"/>
      <c r="D462" s="105"/>
      <c r="E462" s="106"/>
      <c r="F462" s="105"/>
      <c r="G462" s="106"/>
      <c r="H462" s="105"/>
      <c r="I462" s="106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</row>
    <row r="463" spans="1:26" ht="12.75" customHeight="1">
      <c r="A463" s="104"/>
      <c r="B463" s="104"/>
      <c r="C463" s="104"/>
      <c r="D463" s="105"/>
      <c r="E463" s="106"/>
      <c r="F463" s="105"/>
      <c r="G463" s="106"/>
      <c r="H463" s="105"/>
      <c r="I463" s="106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</row>
    <row r="464" spans="1:26" ht="12.75" customHeight="1">
      <c r="A464" s="104"/>
      <c r="B464" s="104"/>
      <c r="C464" s="104"/>
      <c r="D464" s="105"/>
      <c r="E464" s="106"/>
      <c r="F464" s="105"/>
      <c r="G464" s="106"/>
      <c r="H464" s="105"/>
      <c r="I464" s="106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</row>
    <row r="465" spans="1:26" ht="12.75" customHeight="1">
      <c r="A465" s="104"/>
      <c r="B465" s="104"/>
      <c r="C465" s="104"/>
      <c r="D465" s="105"/>
      <c r="E465" s="106"/>
      <c r="F465" s="105"/>
      <c r="G465" s="106"/>
      <c r="H465" s="105"/>
      <c r="I465" s="106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</row>
    <row r="466" spans="1:26" ht="12.75" customHeight="1">
      <c r="A466" s="104"/>
      <c r="B466" s="104"/>
      <c r="C466" s="104"/>
      <c r="D466" s="105"/>
      <c r="E466" s="106"/>
      <c r="F466" s="105"/>
      <c r="G466" s="106"/>
      <c r="H466" s="105"/>
      <c r="I466" s="106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</row>
    <row r="467" spans="1:26" ht="12.75" customHeight="1">
      <c r="A467" s="104"/>
      <c r="B467" s="104"/>
      <c r="C467" s="104"/>
      <c r="D467" s="105"/>
      <c r="E467" s="106"/>
      <c r="F467" s="105"/>
      <c r="G467" s="106"/>
      <c r="H467" s="105"/>
      <c r="I467" s="106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</row>
    <row r="468" spans="1:26" ht="12.75" customHeight="1">
      <c r="A468" s="104"/>
      <c r="B468" s="104"/>
      <c r="C468" s="104"/>
      <c r="D468" s="105"/>
      <c r="E468" s="106"/>
      <c r="F468" s="105"/>
      <c r="G468" s="106"/>
      <c r="H468" s="105"/>
      <c r="I468" s="106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</row>
    <row r="469" spans="1:26" ht="12.75" customHeight="1">
      <c r="A469" s="104"/>
      <c r="B469" s="104"/>
      <c r="C469" s="104"/>
      <c r="D469" s="105"/>
      <c r="E469" s="106"/>
      <c r="F469" s="105"/>
      <c r="G469" s="106"/>
      <c r="H469" s="105"/>
      <c r="I469" s="106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</row>
    <row r="470" spans="1:26" ht="12.75" customHeight="1">
      <c r="A470" s="104"/>
      <c r="B470" s="104"/>
      <c r="C470" s="104"/>
      <c r="D470" s="105"/>
      <c r="E470" s="106"/>
      <c r="F470" s="105"/>
      <c r="G470" s="106"/>
      <c r="H470" s="105"/>
      <c r="I470" s="106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</row>
    <row r="471" spans="1:26" ht="12.75" customHeight="1">
      <c r="A471" s="104"/>
      <c r="B471" s="104"/>
      <c r="C471" s="104"/>
      <c r="D471" s="105"/>
      <c r="E471" s="106"/>
      <c r="F471" s="105"/>
      <c r="G471" s="106"/>
      <c r="H471" s="105"/>
      <c r="I471" s="106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</row>
    <row r="472" spans="1:26" ht="12.75" customHeight="1">
      <c r="A472" s="104"/>
      <c r="B472" s="104"/>
      <c r="C472" s="104"/>
      <c r="D472" s="105"/>
      <c r="E472" s="106"/>
      <c r="F472" s="105"/>
      <c r="G472" s="106"/>
      <c r="H472" s="105"/>
      <c r="I472" s="106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</row>
    <row r="473" spans="1:26" ht="12.75" customHeight="1">
      <c r="A473" s="104"/>
      <c r="B473" s="104"/>
      <c r="C473" s="104"/>
      <c r="D473" s="105"/>
      <c r="E473" s="106"/>
      <c r="F473" s="105"/>
      <c r="G473" s="106"/>
      <c r="H473" s="105"/>
      <c r="I473" s="106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</row>
    <row r="474" spans="1:26" ht="12.75" customHeight="1">
      <c r="A474" s="104"/>
      <c r="B474" s="104"/>
      <c r="C474" s="104"/>
      <c r="D474" s="105"/>
      <c r="E474" s="106"/>
      <c r="F474" s="105"/>
      <c r="G474" s="106"/>
      <c r="H474" s="105"/>
      <c r="I474" s="106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</row>
    <row r="475" spans="1:26" ht="12.75" customHeight="1">
      <c r="A475" s="104"/>
      <c r="B475" s="104"/>
      <c r="C475" s="104"/>
      <c r="D475" s="105"/>
      <c r="E475" s="106"/>
      <c r="F475" s="105"/>
      <c r="G475" s="106"/>
      <c r="H475" s="105"/>
      <c r="I475" s="106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</row>
    <row r="476" spans="1:26" ht="12.75" customHeight="1">
      <c r="A476" s="104"/>
      <c r="B476" s="104"/>
      <c r="C476" s="104"/>
      <c r="D476" s="105"/>
      <c r="E476" s="106"/>
      <c r="F476" s="105"/>
      <c r="G476" s="106"/>
      <c r="H476" s="105"/>
      <c r="I476" s="106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</row>
    <row r="477" spans="1:26" ht="12.75" customHeight="1">
      <c r="A477" s="104"/>
      <c r="B477" s="104"/>
      <c r="C477" s="104"/>
      <c r="D477" s="105"/>
      <c r="E477" s="106"/>
      <c r="F477" s="105"/>
      <c r="G477" s="106"/>
      <c r="H477" s="105"/>
      <c r="I477" s="106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</row>
    <row r="478" spans="1:26" ht="12.75" customHeight="1">
      <c r="A478" s="104"/>
      <c r="B478" s="104"/>
      <c r="C478" s="104"/>
      <c r="D478" s="105"/>
      <c r="E478" s="106"/>
      <c r="F478" s="105"/>
      <c r="G478" s="106"/>
      <c r="H478" s="105"/>
      <c r="I478" s="106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</row>
    <row r="479" spans="1:26" ht="12.75" customHeight="1">
      <c r="A479" s="104"/>
      <c r="B479" s="104"/>
      <c r="C479" s="104"/>
      <c r="D479" s="105"/>
      <c r="E479" s="106"/>
      <c r="F479" s="105"/>
      <c r="G479" s="106"/>
      <c r="H479" s="105"/>
      <c r="I479" s="106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</row>
    <row r="480" spans="1:26" ht="12.75" customHeight="1">
      <c r="A480" s="104"/>
      <c r="B480" s="104"/>
      <c r="C480" s="104"/>
      <c r="D480" s="105"/>
      <c r="E480" s="106"/>
      <c r="F480" s="105"/>
      <c r="G480" s="106"/>
      <c r="H480" s="105"/>
      <c r="I480" s="106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</row>
    <row r="481" spans="1:26" ht="12.75" customHeight="1">
      <c r="A481" s="104"/>
      <c r="B481" s="104"/>
      <c r="C481" s="104"/>
      <c r="D481" s="105"/>
      <c r="E481" s="106"/>
      <c r="F481" s="105"/>
      <c r="G481" s="106"/>
      <c r="H481" s="105"/>
      <c r="I481" s="106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</row>
    <row r="482" spans="1:26" ht="12.75" customHeight="1">
      <c r="A482" s="104"/>
      <c r="B482" s="104"/>
      <c r="C482" s="104"/>
      <c r="D482" s="105"/>
      <c r="E482" s="106"/>
      <c r="F482" s="105"/>
      <c r="G482" s="106"/>
      <c r="H482" s="105"/>
      <c r="I482" s="106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</row>
    <row r="483" spans="1:26" ht="12.75" customHeight="1">
      <c r="A483" s="104"/>
      <c r="B483" s="104"/>
      <c r="C483" s="104"/>
      <c r="D483" s="105"/>
      <c r="E483" s="106"/>
      <c r="F483" s="105"/>
      <c r="G483" s="106"/>
      <c r="H483" s="105"/>
      <c r="I483" s="106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</row>
    <row r="484" spans="1:26" ht="12.75" customHeight="1">
      <c r="A484" s="104"/>
      <c r="B484" s="104"/>
      <c r="C484" s="104"/>
      <c r="D484" s="105"/>
      <c r="E484" s="106"/>
      <c r="F484" s="105"/>
      <c r="G484" s="106"/>
      <c r="H484" s="105"/>
      <c r="I484" s="106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</row>
    <row r="485" spans="1:26" ht="12.75" customHeight="1">
      <c r="A485" s="104"/>
      <c r="B485" s="104"/>
      <c r="C485" s="104"/>
      <c r="D485" s="105"/>
      <c r="E485" s="106"/>
      <c r="F485" s="105"/>
      <c r="G485" s="106"/>
      <c r="H485" s="105"/>
      <c r="I485" s="106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</row>
    <row r="486" spans="1:26" ht="12.75" customHeight="1">
      <c r="A486" s="104"/>
      <c r="B486" s="104"/>
      <c r="C486" s="104"/>
      <c r="D486" s="105"/>
      <c r="E486" s="106"/>
      <c r="F486" s="105"/>
      <c r="G486" s="106"/>
      <c r="H486" s="105"/>
      <c r="I486" s="106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</row>
    <row r="487" spans="1:26" ht="12.75" customHeight="1">
      <c r="A487" s="104"/>
      <c r="B487" s="104"/>
      <c r="C487" s="104"/>
      <c r="D487" s="105"/>
      <c r="E487" s="106"/>
      <c r="F487" s="105"/>
      <c r="G487" s="106"/>
      <c r="H487" s="105"/>
      <c r="I487" s="106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</row>
    <row r="488" spans="1:26" ht="12.75" customHeight="1">
      <c r="A488" s="104"/>
      <c r="B488" s="104"/>
      <c r="C488" s="104"/>
      <c r="D488" s="105"/>
      <c r="E488" s="106"/>
      <c r="F488" s="105"/>
      <c r="G488" s="106"/>
      <c r="H488" s="105"/>
      <c r="I488" s="106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</row>
    <row r="489" spans="1:26" ht="12.75" customHeight="1">
      <c r="A489" s="104"/>
      <c r="B489" s="104"/>
      <c r="C489" s="104"/>
      <c r="D489" s="105"/>
      <c r="E489" s="106"/>
      <c r="F489" s="105"/>
      <c r="G489" s="106"/>
      <c r="H489" s="105"/>
      <c r="I489" s="106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</row>
    <row r="490" spans="1:26" ht="12.75" customHeight="1">
      <c r="A490" s="104"/>
      <c r="B490" s="104"/>
      <c r="C490" s="104"/>
      <c r="D490" s="105"/>
      <c r="E490" s="106"/>
      <c r="F490" s="105"/>
      <c r="G490" s="106"/>
      <c r="H490" s="105"/>
      <c r="I490" s="106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</row>
    <row r="491" spans="1:26" ht="12.75" customHeight="1">
      <c r="A491" s="104"/>
      <c r="B491" s="104"/>
      <c r="C491" s="104"/>
      <c r="D491" s="105"/>
      <c r="E491" s="106"/>
      <c r="F491" s="105"/>
      <c r="G491" s="106"/>
      <c r="H491" s="105"/>
      <c r="I491" s="106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</row>
    <row r="492" spans="1:26" ht="12.75" customHeight="1">
      <c r="A492" s="104"/>
      <c r="B492" s="104"/>
      <c r="C492" s="104"/>
      <c r="D492" s="105"/>
      <c r="E492" s="106"/>
      <c r="F492" s="105"/>
      <c r="G492" s="106"/>
      <c r="H492" s="105"/>
      <c r="I492" s="106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</row>
    <row r="493" spans="1:26" ht="12.75" customHeight="1">
      <c r="A493" s="104"/>
      <c r="B493" s="104"/>
      <c r="C493" s="104"/>
      <c r="D493" s="105"/>
      <c r="E493" s="106"/>
      <c r="F493" s="105"/>
      <c r="G493" s="106"/>
      <c r="H493" s="105"/>
      <c r="I493" s="106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</row>
    <row r="494" spans="1:26" ht="12.75" customHeight="1">
      <c r="A494" s="104"/>
      <c r="B494" s="104"/>
      <c r="C494" s="104"/>
      <c r="D494" s="105"/>
      <c r="E494" s="106"/>
      <c r="F494" s="105"/>
      <c r="G494" s="106"/>
      <c r="H494" s="105"/>
      <c r="I494" s="106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</row>
    <row r="495" spans="1:26" ht="12.75" customHeight="1">
      <c r="A495" s="104"/>
      <c r="B495" s="104"/>
      <c r="C495" s="104"/>
      <c r="D495" s="105"/>
      <c r="E495" s="106"/>
      <c r="F495" s="105"/>
      <c r="G495" s="106"/>
      <c r="H495" s="105"/>
      <c r="I495" s="106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</row>
    <row r="496" spans="1:26" ht="12.75" customHeight="1">
      <c r="A496" s="104"/>
      <c r="B496" s="104"/>
      <c r="C496" s="104"/>
      <c r="D496" s="105"/>
      <c r="E496" s="106"/>
      <c r="F496" s="105"/>
      <c r="G496" s="106"/>
      <c r="H496" s="105"/>
      <c r="I496" s="106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</row>
    <row r="497" spans="1:26" ht="12.75" customHeight="1">
      <c r="A497" s="104"/>
      <c r="B497" s="104"/>
      <c r="C497" s="104"/>
      <c r="D497" s="105"/>
      <c r="E497" s="106"/>
      <c r="F497" s="105"/>
      <c r="G497" s="106"/>
      <c r="H497" s="105"/>
      <c r="I497" s="106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</row>
    <row r="498" spans="1:26" ht="12.75" customHeight="1">
      <c r="A498" s="104"/>
      <c r="B498" s="104"/>
      <c r="C498" s="104"/>
      <c r="D498" s="105"/>
      <c r="E498" s="106"/>
      <c r="F498" s="105"/>
      <c r="G498" s="106"/>
      <c r="H498" s="105"/>
      <c r="I498" s="106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</row>
    <row r="499" spans="1:26" ht="12.75" customHeight="1">
      <c r="A499" s="104"/>
      <c r="B499" s="104"/>
      <c r="C499" s="104"/>
      <c r="D499" s="105"/>
      <c r="E499" s="106"/>
      <c r="F499" s="105"/>
      <c r="G499" s="106"/>
      <c r="H499" s="105"/>
      <c r="I499" s="106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</row>
    <row r="500" spans="1:26" ht="12.75" customHeight="1">
      <c r="A500" s="104"/>
      <c r="B500" s="104"/>
      <c r="C500" s="104"/>
      <c r="D500" s="105"/>
      <c r="E500" s="106"/>
      <c r="F500" s="105"/>
      <c r="G500" s="106"/>
      <c r="H500" s="105"/>
      <c r="I500" s="106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</row>
    <row r="501" spans="1:26" ht="12.75" customHeight="1">
      <c r="A501" s="104"/>
      <c r="B501" s="104"/>
      <c r="C501" s="104"/>
      <c r="D501" s="105"/>
      <c r="E501" s="106"/>
      <c r="F501" s="105"/>
      <c r="G501" s="106"/>
      <c r="H501" s="105"/>
      <c r="I501" s="106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</row>
    <row r="502" spans="1:26" ht="12.75" customHeight="1">
      <c r="A502" s="104"/>
      <c r="B502" s="104"/>
      <c r="C502" s="104"/>
      <c r="D502" s="105"/>
      <c r="E502" s="106"/>
      <c r="F502" s="105"/>
      <c r="G502" s="106"/>
      <c r="H502" s="105"/>
      <c r="I502" s="106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</row>
    <row r="503" spans="1:26" ht="12.75" customHeight="1">
      <c r="A503" s="104"/>
      <c r="B503" s="104"/>
      <c r="C503" s="104"/>
      <c r="D503" s="105"/>
      <c r="E503" s="106"/>
      <c r="F503" s="105"/>
      <c r="G503" s="106"/>
      <c r="H503" s="105"/>
      <c r="I503" s="106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</row>
    <row r="504" spans="1:26" ht="12.75" customHeight="1">
      <c r="A504" s="104"/>
      <c r="B504" s="104"/>
      <c r="C504" s="104"/>
      <c r="D504" s="105"/>
      <c r="E504" s="106"/>
      <c r="F504" s="105"/>
      <c r="G504" s="106"/>
      <c r="H504" s="105"/>
      <c r="I504" s="106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</row>
    <row r="505" spans="1:26" ht="12.75" customHeight="1">
      <c r="A505" s="104"/>
      <c r="B505" s="104"/>
      <c r="C505" s="104"/>
      <c r="D505" s="105"/>
      <c r="E505" s="106"/>
      <c r="F505" s="105"/>
      <c r="G505" s="106"/>
      <c r="H505" s="105"/>
      <c r="I505" s="106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</row>
    <row r="506" spans="1:26" ht="12.75" customHeight="1">
      <c r="A506" s="104"/>
      <c r="B506" s="104"/>
      <c r="C506" s="104"/>
      <c r="D506" s="105"/>
      <c r="E506" s="106"/>
      <c r="F506" s="105"/>
      <c r="G506" s="106"/>
      <c r="H506" s="105"/>
      <c r="I506" s="106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</row>
    <row r="507" spans="1:26" ht="12.75" customHeight="1">
      <c r="A507" s="104"/>
      <c r="B507" s="104"/>
      <c r="C507" s="104"/>
      <c r="D507" s="105"/>
      <c r="E507" s="106"/>
      <c r="F507" s="105"/>
      <c r="G507" s="106"/>
      <c r="H507" s="105"/>
      <c r="I507" s="106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</row>
    <row r="508" spans="1:26" ht="12.75" customHeight="1">
      <c r="A508" s="104"/>
      <c r="B508" s="104"/>
      <c r="C508" s="104"/>
      <c r="D508" s="105"/>
      <c r="E508" s="106"/>
      <c r="F508" s="105"/>
      <c r="G508" s="106"/>
      <c r="H508" s="105"/>
      <c r="I508" s="106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</row>
    <row r="509" spans="1:26" ht="12.75" customHeight="1">
      <c r="A509" s="104"/>
      <c r="B509" s="104"/>
      <c r="C509" s="104"/>
      <c r="D509" s="105"/>
      <c r="E509" s="106"/>
      <c r="F509" s="105"/>
      <c r="G509" s="106"/>
      <c r="H509" s="105"/>
      <c r="I509" s="106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</row>
    <row r="510" spans="1:26" ht="12.75" customHeight="1">
      <c r="A510" s="104"/>
      <c r="B510" s="104"/>
      <c r="C510" s="104"/>
      <c r="D510" s="105"/>
      <c r="E510" s="106"/>
      <c r="F510" s="105"/>
      <c r="G510" s="106"/>
      <c r="H510" s="105"/>
      <c r="I510" s="106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</row>
    <row r="511" spans="1:26" ht="12.75" customHeight="1">
      <c r="A511" s="104"/>
      <c r="B511" s="104"/>
      <c r="C511" s="104"/>
      <c r="D511" s="105"/>
      <c r="E511" s="106"/>
      <c r="F511" s="105"/>
      <c r="G511" s="106"/>
      <c r="H511" s="105"/>
      <c r="I511" s="106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</row>
    <row r="512" spans="1:26" ht="12.75" customHeight="1">
      <c r="A512" s="104"/>
      <c r="B512" s="104"/>
      <c r="C512" s="104"/>
      <c r="D512" s="105"/>
      <c r="E512" s="106"/>
      <c r="F512" s="105"/>
      <c r="G512" s="106"/>
      <c r="H512" s="105"/>
      <c r="I512" s="106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</row>
    <row r="513" spans="1:26" ht="12.75" customHeight="1">
      <c r="A513" s="104"/>
      <c r="B513" s="104"/>
      <c r="C513" s="104"/>
      <c r="D513" s="105"/>
      <c r="E513" s="106"/>
      <c r="F513" s="105"/>
      <c r="G513" s="106"/>
      <c r="H513" s="105"/>
      <c r="I513" s="106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</row>
    <row r="514" spans="1:26" ht="12.75" customHeight="1">
      <c r="A514" s="104"/>
      <c r="B514" s="104"/>
      <c r="C514" s="104"/>
      <c r="D514" s="105"/>
      <c r="E514" s="106"/>
      <c r="F514" s="105"/>
      <c r="G514" s="106"/>
      <c r="H514" s="105"/>
      <c r="I514" s="106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</row>
    <row r="515" spans="1:26" ht="12.75" customHeight="1">
      <c r="A515" s="104"/>
      <c r="B515" s="104"/>
      <c r="C515" s="104"/>
      <c r="D515" s="105"/>
      <c r="E515" s="106"/>
      <c r="F515" s="105"/>
      <c r="G515" s="106"/>
      <c r="H515" s="105"/>
      <c r="I515" s="106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</row>
    <row r="516" spans="1:26" ht="12.75" customHeight="1">
      <c r="A516" s="104"/>
      <c r="B516" s="104"/>
      <c r="C516" s="104"/>
      <c r="D516" s="105"/>
      <c r="E516" s="106"/>
      <c r="F516" s="105"/>
      <c r="G516" s="106"/>
      <c r="H516" s="105"/>
      <c r="I516" s="106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</row>
    <row r="517" spans="1:26" ht="12.75" customHeight="1">
      <c r="A517" s="104"/>
      <c r="B517" s="104"/>
      <c r="C517" s="104"/>
      <c r="D517" s="105"/>
      <c r="E517" s="106"/>
      <c r="F517" s="105"/>
      <c r="G517" s="106"/>
      <c r="H517" s="105"/>
      <c r="I517" s="106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</row>
    <row r="518" spans="1:26" ht="12.75" customHeight="1">
      <c r="A518" s="104"/>
      <c r="B518" s="104"/>
      <c r="C518" s="104"/>
      <c r="D518" s="105"/>
      <c r="E518" s="106"/>
      <c r="F518" s="105"/>
      <c r="G518" s="106"/>
      <c r="H518" s="105"/>
      <c r="I518" s="106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</row>
    <row r="519" spans="1:26" ht="12.75" customHeight="1">
      <c r="A519" s="104"/>
      <c r="B519" s="104"/>
      <c r="C519" s="104"/>
      <c r="D519" s="105"/>
      <c r="E519" s="106"/>
      <c r="F519" s="105"/>
      <c r="G519" s="106"/>
      <c r="H519" s="105"/>
      <c r="I519" s="106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</row>
    <row r="520" spans="1:26" ht="12.75" customHeight="1">
      <c r="A520" s="104"/>
      <c r="B520" s="104"/>
      <c r="C520" s="104"/>
      <c r="D520" s="105"/>
      <c r="E520" s="106"/>
      <c r="F520" s="105"/>
      <c r="G520" s="106"/>
      <c r="H520" s="105"/>
      <c r="I520" s="106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</row>
    <row r="521" spans="1:26" ht="12.75" customHeight="1">
      <c r="A521" s="104"/>
      <c r="B521" s="104"/>
      <c r="C521" s="104"/>
      <c r="D521" s="105"/>
      <c r="E521" s="106"/>
      <c r="F521" s="105"/>
      <c r="G521" s="106"/>
      <c r="H521" s="105"/>
      <c r="I521" s="106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</row>
    <row r="522" spans="1:26" ht="12.75" customHeight="1">
      <c r="A522" s="104"/>
      <c r="B522" s="104"/>
      <c r="C522" s="104"/>
      <c r="D522" s="105"/>
      <c r="E522" s="106"/>
      <c r="F522" s="105"/>
      <c r="G522" s="106"/>
      <c r="H522" s="105"/>
      <c r="I522" s="106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</row>
    <row r="523" spans="1:26" ht="12.75" customHeight="1">
      <c r="A523" s="104"/>
      <c r="B523" s="104"/>
      <c r="C523" s="104"/>
      <c r="D523" s="105"/>
      <c r="E523" s="106"/>
      <c r="F523" s="105"/>
      <c r="G523" s="106"/>
      <c r="H523" s="105"/>
      <c r="I523" s="106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</row>
    <row r="524" spans="1:26" ht="12.75" customHeight="1">
      <c r="A524" s="104"/>
      <c r="B524" s="104"/>
      <c r="C524" s="104"/>
      <c r="D524" s="105"/>
      <c r="E524" s="106"/>
      <c r="F524" s="105"/>
      <c r="G524" s="106"/>
      <c r="H524" s="105"/>
      <c r="I524" s="106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</row>
    <row r="525" spans="1:26" ht="12.75" customHeight="1">
      <c r="A525" s="104"/>
      <c r="B525" s="104"/>
      <c r="C525" s="104"/>
      <c r="D525" s="105"/>
      <c r="E525" s="106"/>
      <c r="F525" s="105"/>
      <c r="G525" s="106"/>
      <c r="H525" s="105"/>
      <c r="I525" s="106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</row>
    <row r="526" spans="1:26" ht="12.75" customHeight="1">
      <c r="A526" s="104"/>
      <c r="B526" s="104"/>
      <c r="C526" s="104"/>
      <c r="D526" s="105"/>
      <c r="E526" s="106"/>
      <c r="F526" s="105"/>
      <c r="G526" s="106"/>
      <c r="H526" s="105"/>
      <c r="I526" s="106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</row>
    <row r="527" spans="1:26" ht="12.75" customHeight="1">
      <c r="A527" s="104"/>
      <c r="B527" s="104"/>
      <c r="C527" s="104"/>
      <c r="D527" s="105"/>
      <c r="E527" s="106"/>
      <c r="F527" s="105"/>
      <c r="G527" s="106"/>
      <c r="H527" s="105"/>
      <c r="I527" s="106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</row>
    <row r="528" spans="1:26" ht="12.75" customHeight="1">
      <c r="A528" s="104"/>
      <c r="B528" s="104"/>
      <c r="C528" s="104"/>
      <c r="D528" s="105"/>
      <c r="E528" s="106"/>
      <c r="F528" s="105"/>
      <c r="G528" s="106"/>
      <c r="H528" s="105"/>
      <c r="I528" s="106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</row>
    <row r="529" spans="1:26" ht="12.75" customHeight="1">
      <c r="A529" s="104"/>
      <c r="B529" s="104"/>
      <c r="C529" s="104"/>
      <c r="D529" s="105"/>
      <c r="E529" s="106"/>
      <c r="F529" s="105"/>
      <c r="G529" s="106"/>
      <c r="H529" s="105"/>
      <c r="I529" s="106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</row>
    <row r="530" spans="1:26" ht="12.75" customHeight="1">
      <c r="A530" s="104"/>
      <c r="B530" s="104"/>
      <c r="C530" s="104"/>
      <c r="D530" s="105"/>
      <c r="E530" s="106"/>
      <c r="F530" s="105"/>
      <c r="G530" s="106"/>
      <c r="H530" s="105"/>
      <c r="I530" s="106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</row>
    <row r="531" spans="1:26" ht="12.75" customHeight="1">
      <c r="A531" s="104"/>
      <c r="B531" s="104"/>
      <c r="C531" s="104"/>
      <c r="D531" s="105"/>
      <c r="E531" s="106"/>
      <c r="F531" s="105"/>
      <c r="G531" s="106"/>
      <c r="H531" s="105"/>
      <c r="I531" s="106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</row>
    <row r="532" spans="1:26" ht="12.75" customHeight="1">
      <c r="A532" s="104"/>
      <c r="B532" s="104"/>
      <c r="C532" s="104"/>
      <c r="D532" s="105"/>
      <c r="E532" s="106"/>
      <c r="F532" s="105"/>
      <c r="G532" s="106"/>
      <c r="H532" s="105"/>
      <c r="I532" s="106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</row>
    <row r="533" spans="1:26" ht="12.75" customHeight="1">
      <c r="A533" s="104"/>
      <c r="B533" s="104"/>
      <c r="C533" s="104"/>
      <c r="D533" s="105"/>
      <c r="E533" s="106"/>
      <c r="F533" s="105"/>
      <c r="G533" s="106"/>
      <c r="H533" s="105"/>
      <c r="I533" s="106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</row>
    <row r="534" spans="1:26" ht="12.75" customHeight="1">
      <c r="A534" s="104"/>
      <c r="B534" s="104"/>
      <c r="C534" s="104"/>
      <c r="D534" s="105"/>
      <c r="E534" s="106"/>
      <c r="F534" s="105"/>
      <c r="G534" s="106"/>
      <c r="H534" s="105"/>
      <c r="I534" s="106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</row>
    <row r="535" spans="1:26" ht="12.75" customHeight="1">
      <c r="A535" s="104"/>
      <c r="B535" s="104"/>
      <c r="C535" s="104"/>
      <c r="D535" s="105"/>
      <c r="E535" s="106"/>
      <c r="F535" s="105"/>
      <c r="G535" s="106"/>
      <c r="H535" s="105"/>
      <c r="I535" s="106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</row>
    <row r="536" spans="1:26" ht="12.75" customHeight="1">
      <c r="A536" s="104"/>
      <c r="B536" s="104"/>
      <c r="C536" s="104"/>
      <c r="D536" s="105"/>
      <c r="E536" s="106"/>
      <c r="F536" s="105"/>
      <c r="G536" s="106"/>
      <c r="H536" s="105"/>
      <c r="I536" s="106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</row>
    <row r="537" spans="1:26" ht="12.75" customHeight="1">
      <c r="A537" s="104"/>
      <c r="B537" s="104"/>
      <c r="C537" s="104"/>
      <c r="D537" s="105"/>
      <c r="E537" s="106"/>
      <c r="F537" s="105"/>
      <c r="G537" s="106"/>
      <c r="H537" s="105"/>
      <c r="I537" s="106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</row>
    <row r="538" spans="1:26" ht="12.75" customHeight="1">
      <c r="A538" s="104"/>
      <c r="B538" s="104"/>
      <c r="C538" s="104"/>
      <c r="D538" s="105"/>
      <c r="E538" s="106"/>
      <c r="F538" s="105"/>
      <c r="G538" s="106"/>
      <c r="H538" s="105"/>
      <c r="I538" s="106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</row>
    <row r="539" spans="1:26" ht="12.75" customHeight="1">
      <c r="A539" s="104"/>
      <c r="B539" s="104"/>
      <c r="C539" s="104"/>
      <c r="D539" s="105"/>
      <c r="E539" s="106"/>
      <c r="F539" s="105"/>
      <c r="G539" s="106"/>
      <c r="H539" s="105"/>
      <c r="I539" s="106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</row>
    <row r="540" spans="1:26" ht="12.75" customHeight="1">
      <c r="A540" s="104"/>
      <c r="B540" s="104"/>
      <c r="C540" s="104"/>
      <c r="D540" s="105"/>
      <c r="E540" s="106"/>
      <c r="F540" s="105"/>
      <c r="G540" s="106"/>
      <c r="H540" s="105"/>
      <c r="I540" s="106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</row>
    <row r="541" spans="1:26" ht="12.75" customHeight="1">
      <c r="A541" s="104"/>
      <c r="B541" s="104"/>
      <c r="C541" s="104"/>
      <c r="D541" s="105"/>
      <c r="E541" s="106"/>
      <c r="F541" s="105"/>
      <c r="G541" s="106"/>
      <c r="H541" s="105"/>
      <c r="I541" s="106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</row>
    <row r="542" spans="1:26" ht="12.75" customHeight="1">
      <c r="A542" s="104"/>
      <c r="B542" s="104"/>
      <c r="C542" s="104"/>
      <c r="D542" s="105"/>
      <c r="E542" s="106"/>
      <c r="F542" s="105"/>
      <c r="G542" s="106"/>
      <c r="H542" s="105"/>
      <c r="I542" s="106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</row>
    <row r="543" spans="1:26" ht="12.75" customHeight="1">
      <c r="A543" s="104"/>
      <c r="B543" s="104"/>
      <c r="C543" s="104"/>
      <c r="D543" s="105"/>
      <c r="E543" s="106"/>
      <c r="F543" s="105"/>
      <c r="G543" s="106"/>
      <c r="H543" s="105"/>
      <c r="I543" s="106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</row>
    <row r="544" spans="1:26" ht="12.75" customHeight="1">
      <c r="A544" s="104"/>
      <c r="B544" s="104"/>
      <c r="C544" s="104"/>
      <c r="D544" s="105"/>
      <c r="E544" s="106"/>
      <c r="F544" s="105"/>
      <c r="G544" s="106"/>
      <c r="H544" s="105"/>
      <c r="I544" s="106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</row>
    <row r="545" spans="1:26" ht="12.75" customHeight="1">
      <c r="A545" s="104"/>
      <c r="B545" s="104"/>
      <c r="C545" s="104"/>
      <c r="D545" s="105"/>
      <c r="E545" s="106"/>
      <c r="F545" s="105"/>
      <c r="G545" s="106"/>
      <c r="H545" s="105"/>
      <c r="I545" s="106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</row>
    <row r="546" spans="1:26" ht="12.75" customHeight="1">
      <c r="A546" s="104"/>
      <c r="B546" s="104"/>
      <c r="C546" s="104"/>
      <c r="D546" s="105"/>
      <c r="E546" s="106"/>
      <c r="F546" s="105"/>
      <c r="G546" s="106"/>
      <c r="H546" s="105"/>
      <c r="I546" s="106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</row>
    <row r="547" spans="1:26" ht="12.75" customHeight="1">
      <c r="A547" s="104"/>
      <c r="B547" s="104"/>
      <c r="C547" s="104"/>
      <c r="D547" s="105"/>
      <c r="E547" s="106"/>
      <c r="F547" s="105"/>
      <c r="G547" s="106"/>
      <c r="H547" s="105"/>
      <c r="I547" s="106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</row>
    <row r="548" spans="1:26" ht="12.75" customHeight="1">
      <c r="A548" s="104"/>
      <c r="B548" s="104"/>
      <c r="C548" s="104"/>
      <c r="D548" s="105"/>
      <c r="E548" s="106"/>
      <c r="F548" s="105"/>
      <c r="G548" s="106"/>
      <c r="H548" s="105"/>
      <c r="I548" s="106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</row>
    <row r="549" spans="1:26" ht="12.75" customHeight="1">
      <c r="A549" s="104"/>
      <c r="B549" s="104"/>
      <c r="C549" s="104"/>
      <c r="D549" s="105"/>
      <c r="E549" s="106"/>
      <c r="F549" s="105"/>
      <c r="G549" s="106"/>
      <c r="H549" s="105"/>
      <c r="I549" s="106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</row>
    <row r="550" spans="1:26" ht="12.75" customHeight="1">
      <c r="A550" s="104"/>
      <c r="B550" s="104"/>
      <c r="C550" s="104"/>
      <c r="D550" s="105"/>
      <c r="E550" s="106"/>
      <c r="F550" s="105"/>
      <c r="G550" s="106"/>
      <c r="H550" s="105"/>
      <c r="I550" s="106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</row>
    <row r="551" spans="1:26" ht="12.75" customHeight="1">
      <c r="A551" s="104"/>
      <c r="B551" s="104"/>
      <c r="C551" s="104"/>
      <c r="D551" s="105"/>
      <c r="E551" s="106"/>
      <c r="F551" s="105"/>
      <c r="G551" s="106"/>
      <c r="H551" s="105"/>
      <c r="I551" s="106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</row>
    <row r="552" spans="1:26" ht="12.75" customHeight="1">
      <c r="A552" s="104"/>
      <c r="B552" s="104"/>
      <c r="C552" s="104"/>
      <c r="D552" s="105"/>
      <c r="E552" s="106"/>
      <c r="F552" s="105"/>
      <c r="G552" s="106"/>
      <c r="H552" s="105"/>
      <c r="I552" s="106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</row>
    <row r="553" spans="1:26" ht="12.75" customHeight="1">
      <c r="A553" s="104"/>
      <c r="B553" s="104"/>
      <c r="C553" s="104"/>
      <c r="D553" s="105"/>
      <c r="E553" s="106"/>
      <c r="F553" s="105"/>
      <c r="G553" s="106"/>
      <c r="H553" s="105"/>
      <c r="I553" s="106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</row>
    <row r="554" spans="1:26" ht="12.75" customHeight="1">
      <c r="A554" s="104"/>
      <c r="B554" s="104"/>
      <c r="C554" s="104"/>
      <c r="D554" s="105"/>
      <c r="E554" s="106"/>
      <c r="F554" s="105"/>
      <c r="G554" s="106"/>
      <c r="H554" s="105"/>
      <c r="I554" s="106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</row>
    <row r="555" spans="1:26" ht="12.75" customHeight="1">
      <c r="A555" s="104"/>
      <c r="B555" s="104"/>
      <c r="C555" s="104"/>
      <c r="D555" s="105"/>
      <c r="E555" s="106"/>
      <c r="F555" s="105"/>
      <c r="G555" s="106"/>
      <c r="H555" s="105"/>
      <c r="I555" s="106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</row>
    <row r="556" spans="1:26" ht="12.75" customHeight="1">
      <c r="A556" s="104"/>
      <c r="B556" s="104"/>
      <c r="C556" s="104"/>
      <c r="D556" s="105"/>
      <c r="E556" s="106"/>
      <c r="F556" s="105"/>
      <c r="G556" s="106"/>
      <c r="H556" s="105"/>
      <c r="I556" s="106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</row>
    <row r="557" spans="1:26" ht="12.75" customHeight="1">
      <c r="A557" s="104"/>
      <c r="B557" s="104"/>
      <c r="C557" s="104"/>
      <c r="D557" s="105"/>
      <c r="E557" s="106"/>
      <c r="F557" s="105"/>
      <c r="G557" s="106"/>
      <c r="H557" s="105"/>
      <c r="I557" s="106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</row>
    <row r="558" spans="1:26" ht="12.75" customHeight="1">
      <c r="A558" s="104"/>
      <c r="B558" s="104"/>
      <c r="C558" s="104"/>
      <c r="D558" s="105"/>
      <c r="E558" s="106"/>
      <c r="F558" s="105"/>
      <c r="G558" s="106"/>
      <c r="H558" s="105"/>
      <c r="I558" s="106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</row>
    <row r="559" spans="1:26" ht="12.75" customHeight="1">
      <c r="A559" s="104"/>
      <c r="B559" s="104"/>
      <c r="C559" s="104"/>
      <c r="D559" s="105"/>
      <c r="E559" s="106"/>
      <c r="F559" s="105"/>
      <c r="G559" s="106"/>
      <c r="H559" s="105"/>
      <c r="I559" s="106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</row>
    <row r="560" spans="1:26" ht="12.75" customHeight="1">
      <c r="A560" s="104"/>
      <c r="B560" s="104"/>
      <c r="C560" s="104"/>
      <c r="D560" s="105"/>
      <c r="E560" s="106"/>
      <c r="F560" s="105"/>
      <c r="G560" s="106"/>
      <c r="H560" s="105"/>
      <c r="I560" s="106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</row>
    <row r="561" spans="1:26" ht="12.75" customHeight="1">
      <c r="A561" s="104"/>
      <c r="B561" s="104"/>
      <c r="C561" s="104"/>
      <c r="D561" s="105"/>
      <c r="E561" s="106"/>
      <c r="F561" s="105"/>
      <c r="G561" s="106"/>
      <c r="H561" s="105"/>
      <c r="I561" s="106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</row>
    <row r="562" spans="1:26" ht="12.75" customHeight="1">
      <c r="A562" s="104"/>
      <c r="B562" s="104"/>
      <c r="C562" s="104"/>
      <c r="D562" s="105"/>
      <c r="E562" s="106"/>
      <c r="F562" s="105"/>
      <c r="G562" s="106"/>
      <c r="H562" s="105"/>
      <c r="I562" s="106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</row>
    <row r="563" spans="1:26" ht="12.75" customHeight="1">
      <c r="A563" s="104"/>
      <c r="B563" s="104"/>
      <c r="C563" s="104"/>
      <c r="D563" s="105"/>
      <c r="E563" s="106"/>
      <c r="F563" s="105"/>
      <c r="G563" s="106"/>
      <c r="H563" s="105"/>
      <c r="I563" s="106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</row>
    <row r="564" spans="1:26" ht="12.75" customHeight="1">
      <c r="A564" s="104"/>
      <c r="B564" s="104"/>
      <c r="C564" s="104"/>
      <c r="D564" s="105"/>
      <c r="E564" s="106"/>
      <c r="F564" s="105"/>
      <c r="G564" s="106"/>
      <c r="H564" s="105"/>
      <c r="I564" s="106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</row>
    <row r="565" spans="1:26" ht="12.75" customHeight="1">
      <c r="A565" s="104"/>
      <c r="B565" s="104"/>
      <c r="C565" s="104"/>
      <c r="D565" s="105"/>
      <c r="E565" s="106"/>
      <c r="F565" s="105"/>
      <c r="G565" s="106"/>
      <c r="H565" s="105"/>
      <c r="I565" s="106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</row>
    <row r="566" spans="1:26" ht="12.75" customHeight="1">
      <c r="A566" s="104"/>
      <c r="B566" s="104"/>
      <c r="C566" s="104"/>
      <c r="D566" s="105"/>
      <c r="E566" s="106"/>
      <c r="F566" s="105"/>
      <c r="G566" s="106"/>
      <c r="H566" s="105"/>
      <c r="I566" s="106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</row>
    <row r="567" spans="1:26" ht="12.75" customHeight="1">
      <c r="A567" s="104"/>
      <c r="B567" s="104"/>
      <c r="C567" s="104"/>
      <c r="D567" s="105"/>
      <c r="E567" s="106"/>
      <c r="F567" s="105"/>
      <c r="G567" s="106"/>
      <c r="H567" s="105"/>
      <c r="I567" s="106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</row>
    <row r="568" spans="1:26" ht="12.75" customHeight="1">
      <c r="A568" s="104"/>
      <c r="B568" s="104"/>
      <c r="C568" s="104"/>
      <c r="D568" s="105"/>
      <c r="E568" s="106"/>
      <c r="F568" s="105"/>
      <c r="G568" s="106"/>
      <c r="H568" s="105"/>
      <c r="I568" s="106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</row>
    <row r="569" spans="1:26" ht="12.75" customHeight="1">
      <c r="A569" s="104"/>
      <c r="B569" s="104"/>
      <c r="C569" s="104"/>
      <c r="D569" s="105"/>
      <c r="E569" s="106"/>
      <c r="F569" s="105"/>
      <c r="G569" s="106"/>
      <c r="H569" s="105"/>
      <c r="I569" s="106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</row>
    <row r="570" spans="1:26" ht="12.75" customHeight="1">
      <c r="A570" s="104"/>
      <c r="B570" s="104"/>
      <c r="C570" s="104"/>
      <c r="D570" s="105"/>
      <c r="E570" s="106"/>
      <c r="F570" s="105"/>
      <c r="G570" s="106"/>
      <c r="H570" s="105"/>
      <c r="I570" s="106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</row>
    <row r="571" spans="1:26" ht="12.75" customHeight="1">
      <c r="A571" s="104"/>
      <c r="B571" s="104"/>
      <c r="C571" s="104"/>
      <c r="D571" s="105"/>
      <c r="E571" s="106"/>
      <c r="F571" s="105"/>
      <c r="G571" s="106"/>
      <c r="H571" s="105"/>
      <c r="I571" s="106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</row>
    <row r="572" spans="1:26" ht="12.75" customHeight="1">
      <c r="A572" s="104"/>
      <c r="B572" s="104"/>
      <c r="C572" s="104"/>
      <c r="D572" s="105"/>
      <c r="E572" s="106"/>
      <c r="F572" s="105"/>
      <c r="G572" s="106"/>
      <c r="H572" s="105"/>
      <c r="I572" s="106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</row>
    <row r="573" spans="1:26" ht="12.75" customHeight="1">
      <c r="A573" s="104"/>
      <c r="B573" s="104"/>
      <c r="C573" s="104"/>
      <c r="D573" s="105"/>
      <c r="E573" s="106"/>
      <c r="F573" s="105"/>
      <c r="G573" s="106"/>
      <c r="H573" s="105"/>
      <c r="I573" s="106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</row>
    <row r="574" spans="1:26" ht="12.75" customHeight="1">
      <c r="A574" s="104"/>
      <c r="B574" s="104"/>
      <c r="C574" s="104"/>
      <c r="D574" s="105"/>
      <c r="E574" s="106"/>
      <c r="F574" s="105"/>
      <c r="G574" s="106"/>
      <c r="H574" s="105"/>
      <c r="I574" s="106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</row>
    <row r="575" spans="1:26" ht="12.75" customHeight="1">
      <c r="A575" s="104"/>
      <c r="B575" s="104"/>
      <c r="C575" s="104"/>
      <c r="D575" s="105"/>
      <c r="E575" s="106"/>
      <c r="F575" s="105"/>
      <c r="G575" s="106"/>
      <c r="H575" s="105"/>
      <c r="I575" s="106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</row>
    <row r="576" spans="1:26" ht="12.75" customHeight="1">
      <c r="A576" s="104"/>
      <c r="B576" s="104"/>
      <c r="C576" s="104"/>
      <c r="D576" s="105"/>
      <c r="E576" s="106"/>
      <c r="F576" s="105"/>
      <c r="G576" s="106"/>
      <c r="H576" s="105"/>
      <c r="I576" s="106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</row>
    <row r="577" spans="1:26" ht="12.75" customHeight="1">
      <c r="A577" s="104"/>
      <c r="B577" s="104"/>
      <c r="C577" s="104"/>
      <c r="D577" s="105"/>
      <c r="E577" s="106"/>
      <c r="F577" s="105"/>
      <c r="G577" s="106"/>
      <c r="H577" s="105"/>
      <c r="I577" s="106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</row>
    <row r="578" spans="1:26" ht="12.75" customHeight="1">
      <c r="A578" s="104"/>
      <c r="B578" s="104"/>
      <c r="C578" s="104"/>
      <c r="D578" s="105"/>
      <c r="E578" s="106"/>
      <c r="F578" s="105"/>
      <c r="G578" s="106"/>
      <c r="H578" s="105"/>
      <c r="I578" s="106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</row>
    <row r="579" spans="1:26" ht="12.75" customHeight="1">
      <c r="A579" s="104"/>
      <c r="B579" s="104"/>
      <c r="C579" s="104"/>
      <c r="D579" s="105"/>
      <c r="E579" s="106"/>
      <c r="F579" s="105"/>
      <c r="G579" s="106"/>
      <c r="H579" s="105"/>
      <c r="I579" s="106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</row>
    <row r="580" spans="1:26" ht="12.75" customHeight="1">
      <c r="A580" s="104"/>
      <c r="B580" s="104"/>
      <c r="C580" s="104"/>
      <c r="D580" s="105"/>
      <c r="E580" s="106"/>
      <c r="F580" s="105"/>
      <c r="G580" s="106"/>
      <c r="H580" s="105"/>
      <c r="I580" s="106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</row>
    <row r="581" spans="1:26" ht="12.75" customHeight="1">
      <c r="A581" s="104"/>
      <c r="B581" s="104"/>
      <c r="C581" s="104"/>
      <c r="D581" s="105"/>
      <c r="E581" s="106"/>
      <c r="F581" s="105"/>
      <c r="G581" s="106"/>
      <c r="H581" s="105"/>
      <c r="I581" s="106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</row>
    <row r="582" spans="1:26" ht="12.75" customHeight="1">
      <c r="A582" s="104"/>
      <c r="B582" s="104"/>
      <c r="C582" s="104"/>
      <c r="D582" s="105"/>
      <c r="E582" s="106"/>
      <c r="F582" s="105"/>
      <c r="G582" s="106"/>
      <c r="H582" s="105"/>
      <c r="I582" s="106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</row>
    <row r="583" spans="1:26" ht="12.75" customHeight="1">
      <c r="A583" s="104"/>
      <c r="B583" s="104"/>
      <c r="C583" s="104"/>
      <c r="D583" s="105"/>
      <c r="E583" s="106"/>
      <c r="F583" s="105"/>
      <c r="G583" s="106"/>
      <c r="H583" s="105"/>
      <c r="I583" s="106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</row>
    <row r="584" spans="1:26" ht="12.75" customHeight="1">
      <c r="A584" s="104"/>
      <c r="B584" s="104"/>
      <c r="C584" s="104"/>
      <c r="D584" s="105"/>
      <c r="E584" s="106"/>
      <c r="F584" s="105"/>
      <c r="G584" s="106"/>
      <c r="H584" s="105"/>
      <c r="I584" s="106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</row>
    <row r="585" spans="1:26" ht="12.75" customHeight="1">
      <c r="A585" s="104"/>
      <c r="B585" s="104"/>
      <c r="C585" s="104"/>
      <c r="D585" s="105"/>
      <c r="E585" s="106"/>
      <c r="F585" s="105"/>
      <c r="G585" s="106"/>
      <c r="H585" s="105"/>
      <c r="I585" s="106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</row>
    <row r="586" spans="1:26" ht="12.75" customHeight="1">
      <c r="A586" s="104"/>
      <c r="B586" s="104"/>
      <c r="C586" s="104"/>
      <c r="D586" s="105"/>
      <c r="E586" s="106"/>
      <c r="F586" s="105"/>
      <c r="G586" s="106"/>
      <c r="H586" s="105"/>
      <c r="I586" s="106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</row>
    <row r="587" spans="1:26" ht="12.75" customHeight="1">
      <c r="A587" s="104"/>
      <c r="B587" s="104"/>
      <c r="C587" s="104"/>
      <c r="D587" s="105"/>
      <c r="E587" s="106"/>
      <c r="F587" s="105"/>
      <c r="G587" s="106"/>
      <c r="H587" s="105"/>
      <c r="I587" s="106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</row>
    <row r="588" spans="1:26" ht="12.75" customHeight="1">
      <c r="A588" s="104"/>
      <c r="B588" s="104"/>
      <c r="C588" s="104"/>
      <c r="D588" s="105"/>
      <c r="E588" s="106"/>
      <c r="F588" s="105"/>
      <c r="G588" s="106"/>
      <c r="H588" s="105"/>
      <c r="I588" s="106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</row>
    <row r="589" spans="1:26" ht="12.75" customHeight="1">
      <c r="A589" s="104"/>
      <c r="B589" s="104"/>
      <c r="C589" s="104"/>
      <c r="D589" s="105"/>
      <c r="E589" s="106"/>
      <c r="F589" s="105"/>
      <c r="G589" s="106"/>
      <c r="H589" s="105"/>
      <c r="I589" s="106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</row>
    <row r="590" spans="1:26" ht="12.75" customHeight="1">
      <c r="A590" s="104"/>
      <c r="B590" s="104"/>
      <c r="C590" s="104"/>
      <c r="D590" s="105"/>
      <c r="E590" s="106"/>
      <c r="F590" s="105"/>
      <c r="G590" s="106"/>
      <c r="H590" s="105"/>
      <c r="I590" s="106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</row>
    <row r="591" spans="1:26" ht="12.75" customHeight="1">
      <c r="A591" s="104"/>
      <c r="B591" s="104"/>
      <c r="C591" s="104"/>
      <c r="D591" s="105"/>
      <c r="E591" s="106"/>
      <c r="F591" s="105"/>
      <c r="G591" s="106"/>
      <c r="H591" s="105"/>
      <c r="I591" s="106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</row>
    <row r="592" spans="1:26" ht="12.75" customHeight="1">
      <c r="A592" s="104"/>
      <c r="B592" s="104"/>
      <c r="C592" s="104"/>
      <c r="D592" s="105"/>
      <c r="E592" s="106"/>
      <c r="F592" s="105"/>
      <c r="G592" s="106"/>
      <c r="H592" s="105"/>
      <c r="I592" s="106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</row>
    <row r="593" spans="1:26" ht="12.75" customHeight="1">
      <c r="A593" s="104"/>
      <c r="B593" s="104"/>
      <c r="C593" s="104"/>
      <c r="D593" s="105"/>
      <c r="E593" s="106"/>
      <c r="F593" s="105"/>
      <c r="G593" s="106"/>
      <c r="H593" s="105"/>
      <c r="I593" s="106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</row>
    <row r="594" spans="1:26" ht="12.75" customHeight="1">
      <c r="A594" s="104"/>
      <c r="B594" s="104"/>
      <c r="C594" s="104"/>
      <c r="D594" s="105"/>
      <c r="E594" s="106"/>
      <c r="F594" s="105"/>
      <c r="G594" s="106"/>
      <c r="H594" s="105"/>
      <c r="I594" s="106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</row>
    <row r="595" spans="1:26" ht="12.75" customHeight="1">
      <c r="A595" s="104"/>
      <c r="B595" s="104"/>
      <c r="C595" s="104"/>
      <c r="D595" s="105"/>
      <c r="E595" s="106"/>
      <c r="F595" s="105"/>
      <c r="G595" s="106"/>
      <c r="H595" s="105"/>
      <c r="I595" s="106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</row>
    <row r="596" spans="1:26" ht="12.75" customHeight="1">
      <c r="A596" s="104"/>
      <c r="B596" s="104"/>
      <c r="C596" s="104"/>
      <c r="D596" s="105"/>
      <c r="E596" s="106"/>
      <c r="F596" s="105"/>
      <c r="G596" s="106"/>
      <c r="H596" s="105"/>
      <c r="I596" s="106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</row>
    <row r="597" spans="1:26" ht="12.75" customHeight="1">
      <c r="A597" s="104"/>
      <c r="B597" s="104"/>
      <c r="C597" s="104"/>
      <c r="D597" s="105"/>
      <c r="E597" s="106"/>
      <c r="F597" s="105"/>
      <c r="G597" s="106"/>
      <c r="H597" s="105"/>
      <c r="I597" s="106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</row>
    <row r="598" spans="1:26" ht="12.75" customHeight="1">
      <c r="A598" s="104"/>
      <c r="B598" s="104"/>
      <c r="C598" s="104"/>
      <c r="D598" s="105"/>
      <c r="E598" s="106"/>
      <c r="F598" s="105"/>
      <c r="G598" s="106"/>
      <c r="H598" s="105"/>
      <c r="I598" s="106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</row>
    <row r="599" spans="1:26" ht="12.75" customHeight="1">
      <c r="A599" s="104"/>
      <c r="B599" s="104"/>
      <c r="C599" s="104"/>
      <c r="D599" s="105"/>
      <c r="E599" s="106"/>
      <c r="F599" s="105"/>
      <c r="G599" s="106"/>
      <c r="H599" s="105"/>
      <c r="I599" s="106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</row>
    <row r="600" spans="1:26" ht="12.75" customHeight="1">
      <c r="A600" s="104"/>
      <c r="B600" s="104"/>
      <c r="C600" s="104"/>
      <c r="D600" s="105"/>
      <c r="E600" s="106"/>
      <c r="F600" s="105"/>
      <c r="G600" s="106"/>
      <c r="H600" s="105"/>
      <c r="I600" s="106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 spans="1:26" ht="12.75" customHeight="1">
      <c r="A601" s="104"/>
      <c r="B601" s="104"/>
      <c r="C601" s="104"/>
      <c r="D601" s="105"/>
      <c r="E601" s="106"/>
      <c r="F601" s="105"/>
      <c r="G601" s="106"/>
      <c r="H601" s="105"/>
      <c r="I601" s="106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 spans="1:26" ht="12.75" customHeight="1">
      <c r="A602" s="104"/>
      <c r="B602" s="104"/>
      <c r="C602" s="104"/>
      <c r="D602" s="105"/>
      <c r="E602" s="106"/>
      <c r="F602" s="105"/>
      <c r="G602" s="106"/>
      <c r="H602" s="105"/>
      <c r="I602" s="106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 spans="1:26" ht="12.75" customHeight="1">
      <c r="A603" s="104"/>
      <c r="B603" s="104"/>
      <c r="C603" s="104"/>
      <c r="D603" s="105"/>
      <c r="E603" s="106"/>
      <c r="F603" s="105"/>
      <c r="G603" s="106"/>
      <c r="H603" s="105"/>
      <c r="I603" s="106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 spans="1:26" ht="12.75" customHeight="1">
      <c r="A604" s="104"/>
      <c r="B604" s="104"/>
      <c r="C604" s="104"/>
      <c r="D604" s="105"/>
      <c r="E604" s="106"/>
      <c r="F604" s="105"/>
      <c r="G604" s="106"/>
      <c r="H604" s="105"/>
      <c r="I604" s="106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 spans="1:26" ht="12.75" customHeight="1">
      <c r="A605" s="104"/>
      <c r="B605" s="104"/>
      <c r="C605" s="104"/>
      <c r="D605" s="105"/>
      <c r="E605" s="106"/>
      <c r="F605" s="105"/>
      <c r="G605" s="106"/>
      <c r="H605" s="105"/>
      <c r="I605" s="106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 spans="1:26" ht="12.75" customHeight="1">
      <c r="A606" s="104"/>
      <c r="B606" s="104"/>
      <c r="C606" s="104"/>
      <c r="D606" s="105"/>
      <c r="E606" s="106"/>
      <c r="F606" s="105"/>
      <c r="G606" s="106"/>
      <c r="H606" s="105"/>
      <c r="I606" s="106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 spans="1:26" ht="12.75" customHeight="1">
      <c r="A607" s="104"/>
      <c r="B607" s="104"/>
      <c r="C607" s="104"/>
      <c r="D607" s="105"/>
      <c r="E607" s="106"/>
      <c r="F607" s="105"/>
      <c r="G607" s="106"/>
      <c r="H607" s="105"/>
      <c r="I607" s="106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 spans="1:26" ht="12.75" customHeight="1">
      <c r="A608" s="104"/>
      <c r="B608" s="104"/>
      <c r="C608" s="104"/>
      <c r="D608" s="105"/>
      <c r="E608" s="106"/>
      <c r="F608" s="105"/>
      <c r="G608" s="106"/>
      <c r="H608" s="105"/>
      <c r="I608" s="106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 spans="1:26" ht="12.75" customHeight="1">
      <c r="A609" s="104"/>
      <c r="B609" s="104"/>
      <c r="C609" s="104"/>
      <c r="D609" s="105"/>
      <c r="E609" s="106"/>
      <c r="F609" s="105"/>
      <c r="G609" s="106"/>
      <c r="H609" s="105"/>
      <c r="I609" s="106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 spans="1:26" ht="12.75" customHeight="1">
      <c r="A610" s="104"/>
      <c r="B610" s="104"/>
      <c r="C610" s="104"/>
      <c r="D610" s="105"/>
      <c r="E610" s="106"/>
      <c r="F610" s="105"/>
      <c r="G610" s="106"/>
      <c r="H610" s="105"/>
      <c r="I610" s="106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 spans="1:26" ht="12.75" customHeight="1">
      <c r="A611" s="104"/>
      <c r="B611" s="104"/>
      <c r="C611" s="104"/>
      <c r="D611" s="105"/>
      <c r="E611" s="106"/>
      <c r="F611" s="105"/>
      <c r="G611" s="106"/>
      <c r="H611" s="105"/>
      <c r="I611" s="106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 spans="1:26" ht="12.75" customHeight="1">
      <c r="A612" s="104"/>
      <c r="B612" s="104"/>
      <c r="C612" s="104"/>
      <c r="D612" s="105"/>
      <c r="E612" s="106"/>
      <c r="F612" s="105"/>
      <c r="G612" s="106"/>
      <c r="H612" s="105"/>
      <c r="I612" s="106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 spans="1:26" ht="12.75" customHeight="1">
      <c r="A613" s="104"/>
      <c r="B613" s="104"/>
      <c r="C613" s="104"/>
      <c r="D613" s="105"/>
      <c r="E613" s="106"/>
      <c r="F613" s="105"/>
      <c r="G613" s="106"/>
      <c r="H613" s="105"/>
      <c r="I613" s="106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 spans="1:26" ht="12.75" customHeight="1">
      <c r="A614" s="104"/>
      <c r="B614" s="104"/>
      <c r="C614" s="104"/>
      <c r="D614" s="105"/>
      <c r="E614" s="106"/>
      <c r="F614" s="105"/>
      <c r="G614" s="106"/>
      <c r="H614" s="105"/>
      <c r="I614" s="106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 spans="1:26" ht="12.75" customHeight="1">
      <c r="A615" s="104"/>
      <c r="B615" s="104"/>
      <c r="C615" s="104"/>
      <c r="D615" s="105"/>
      <c r="E615" s="106"/>
      <c r="F615" s="105"/>
      <c r="G615" s="106"/>
      <c r="H615" s="105"/>
      <c r="I615" s="106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 spans="1:26" ht="12.75" customHeight="1">
      <c r="A616" s="104"/>
      <c r="B616" s="104"/>
      <c r="C616" s="104"/>
      <c r="D616" s="105"/>
      <c r="E616" s="106"/>
      <c r="F616" s="105"/>
      <c r="G616" s="106"/>
      <c r="H616" s="105"/>
      <c r="I616" s="106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 spans="1:26" ht="12.75" customHeight="1">
      <c r="A617" s="104"/>
      <c r="B617" s="104"/>
      <c r="C617" s="104"/>
      <c r="D617" s="105"/>
      <c r="E617" s="106"/>
      <c r="F617" s="105"/>
      <c r="G617" s="106"/>
      <c r="H617" s="105"/>
      <c r="I617" s="106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 spans="1:26" ht="12.75" customHeight="1">
      <c r="A618" s="104"/>
      <c r="B618" s="104"/>
      <c r="C618" s="104"/>
      <c r="D618" s="105"/>
      <c r="E618" s="106"/>
      <c r="F618" s="105"/>
      <c r="G618" s="106"/>
      <c r="H618" s="105"/>
      <c r="I618" s="106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 spans="1:26" ht="12.75" customHeight="1">
      <c r="A619" s="104"/>
      <c r="B619" s="104"/>
      <c r="C619" s="104"/>
      <c r="D619" s="105"/>
      <c r="E619" s="106"/>
      <c r="F619" s="105"/>
      <c r="G619" s="106"/>
      <c r="H619" s="105"/>
      <c r="I619" s="106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spans="1:26" ht="12.75" customHeight="1">
      <c r="A620" s="104"/>
      <c r="B620" s="104"/>
      <c r="C620" s="104"/>
      <c r="D620" s="105"/>
      <c r="E620" s="106"/>
      <c r="F620" s="105"/>
      <c r="G620" s="106"/>
      <c r="H620" s="105"/>
      <c r="I620" s="106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 spans="1:26" ht="12.75" customHeight="1">
      <c r="A621" s="104"/>
      <c r="B621" s="104"/>
      <c r="C621" s="104"/>
      <c r="D621" s="105"/>
      <c r="E621" s="106"/>
      <c r="F621" s="105"/>
      <c r="G621" s="106"/>
      <c r="H621" s="105"/>
      <c r="I621" s="106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 spans="1:26" ht="12.75" customHeight="1">
      <c r="A622" s="104"/>
      <c r="B622" s="104"/>
      <c r="C622" s="104"/>
      <c r="D622" s="105"/>
      <c r="E622" s="106"/>
      <c r="F622" s="105"/>
      <c r="G622" s="106"/>
      <c r="H622" s="105"/>
      <c r="I622" s="106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spans="1:26" ht="12.75" customHeight="1">
      <c r="A623" s="104"/>
      <c r="B623" s="104"/>
      <c r="C623" s="104"/>
      <c r="D623" s="105"/>
      <c r="E623" s="106"/>
      <c r="F623" s="105"/>
      <c r="G623" s="106"/>
      <c r="H623" s="105"/>
      <c r="I623" s="106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 spans="1:26" ht="12.75" customHeight="1">
      <c r="A624" s="104"/>
      <c r="B624" s="104"/>
      <c r="C624" s="104"/>
      <c r="D624" s="105"/>
      <c r="E624" s="106"/>
      <c r="F624" s="105"/>
      <c r="G624" s="106"/>
      <c r="H624" s="105"/>
      <c r="I624" s="106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 spans="1:26" ht="12.75" customHeight="1">
      <c r="A625" s="104"/>
      <c r="B625" s="104"/>
      <c r="C625" s="104"/>
      <c r="D625" s="105"/>
      <c r="E625" s="106"/>
      <c r="F625" s="105"/>
      <c r="G625" s="106"/>
      <c r="H625" s="105"/>
      <c r="I625" s="106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 spans="1:26" ht="12.75" customHeight="1">
      <c r="A626" s="104"/>
      <c r="B626" s="104"/>
      <c r="C626" s="104"/>
      <c r="D626" s="105"/>
      <c r="E626" s="106"/>
      <c r="F626" s="105"/>
      <c r="G626" s="106"/>
      <c r="H626" s="105"/>
      <c r="I626" s="106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spans="1:26" ht="12.75" customHeight="1">
      <c r="A627" s="104"/>
      <c r="B627" s="104"/>
      <c r="C627" s="104"/>
      <c r="D627" s="105"/>
      <c r="E627" s="106"/>
      <c r="F627" s="105"/>
      <c r="G627" s="106"/>
      <c r="H627" s="105"/>
      <c r="I627" s="106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spans="1:26" ht="12.75" customHeight="1">
      <c r="A628" s="104"/>
      <c r="B628" s="104"/>
      <c r="C628" s="104"/>
      <c r="D628" s="105"/>
      <c r="E628" s="106"/>
      <c r="F628" s="105"/>
      <c r="G628" s="106"/>
      <c r="H628" s="105"/>
      <c r="I628" s="106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spans="1:26" ht="12.75" customHeight="1">
      <c r="A629" s="104"/>
      <c r="B629" s="104"/>
      <c r="C629" s="104"/>
      <c r="D629" s="105"/>
      <c r="E629" s="106"/>
      <c r="F629" s="105"/>
      <c r="G629" s="106"/>
      <c r="H629" s="105"/>
      <c r="I629" s="106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spans="1:26" ht="12.75" customHeight="1">
      <c r="A630" s="104"/>
      <c r="B630" s="104"/>
      <c r="C630" s="104"/>
      <c r="D630" s="105"/>
      <c r="E630" s="106"/>
      <c r="F630" s="105"/>
      <c r="G630" s="106"/>
      <c r="H630" s="105"/>
      <c r="I630" s="106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 spans="1:26" ht="12.75" customHeight="1">
      <c r="A631" s="104"/>
      <c r="B631" s="104"/>
      <c r="C631" s="104"/>
      <c r="D631" s="105"/>
      <c r="E631" s="106"/>
      <c r="F631" s="105"/>
      <c r="G631" s="106"/>
      <c r="H631" s="105"/>
      <c r="I631" s="106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spans="1:26" ht="12.75" customHeight="1">
      <c r="A632" s="104"/>
      <c r="B632" s="104"/>
      <c r="C632" s="104"/>
      <c r="D632" s="105"/>
      <c r="E632" s="106"/>
      <c r="F632" s="105"/>
      <c r="G632" s="106"/>
      <c r="H632" s="105"/>
      <c r="I632" s="106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 spans="1:26" ht="12.75" customHeight="1">
      <c r="A633" s="104"/>
      <c r="B633" s="104"/>
      <c r="C633" s="104"/>
      <c r="D633" s="105"/>
      <c r="E633" s="106"/>
      <c r="F633" s="105"/>
      <c r="G633" s="106"/>
      <c r="H633" s="105"/>
      <c r="I633" s="106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spans="1:26" ht="12.75" customHeight="1">
      <c r="A634" s="104"/>
      <c r="B634" s="104"/>
      <c r="C634" s="104"/>
      <c r="D634" s="105"/>
      <c r="E634" s="106"/>
      <c r="F634" s="105"/>
      <c r="G634" s="106"/>
      <c r="H634" s="105"/>
      <c r="I634" s="106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 spans="1:26" ht="12.75" customHeight="1">
      <c r="A635" s="104"/>
      <c r="B635" s="104"/>
      <c r="C635" s="104"/>
      <c r="D635" s="105"/>
      <c r="E635" s="106"/>
      <c r="F635" s="105"/>
      <c r="G635" s="106"/>
      <c r="H635" s="105"/>
      <c r="I635" s="106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 spans="1:26" ht="12.75" customHeight="1">
      <c r="A636" s="104"/>
      <c r="B636" s="104"/>
      <c r="C636" s="104"/>
      <c r="D636" s="105"/>
      <c r="E636" s="106"/>
      <c r="F636" s="105"/>
      <c r="G636" s="106"/>
      <c r="H636" s="105"/>
      <c r="I636" s="106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 spans="1:26" ht="12.75" customHeight="1">
      <c r="A637" s="104"/>
      <c r="B637" s="104"/>
      <c r="C637" s="104"/>
      <c r="D637" s="105"/>
      <c r="E637" s="106"/>
      <c r="F637" s="105"/>
      <c r="G637" s="106"/>
      <c r="H637" s="105"/>
      <c r="I637" s="106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 spans="1:26" ht="12.75" customHeight="1">
      <c r="A638" s="104"/>
      <c r="B638" s="104"/>
      <c r="C638" s="104"/>
      <c r="D638" s="105"/>
      <c r="E638" s="106"/>
      <c r="F638" s="105"/>
      <c r="G638" s="106"/>
      <c r="H638" s="105"/>
      <c r="I638" s="106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 spans="1:26" ht="12.75" customHeight="1">
      <c r="A639" s="104"/>
      <c r="B639" s="104"/>
      <c r="C639" s="104"/>
      <c r="D639" s="105"/>
      <c r="E639" s="106"/>
      <c r="F639" s="105"/>
      <c r="G639" s="106"/>
      <c r="H639" s="105"/>
      <c r="I639" s="106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 spans="1:26" ht="12.75" customHeight="1">
      <c r="A640" s="104"/>
      <c r="B640" s="104"/>
      <c r="C640" s="104"/>
      <c r="D640" s="105"/>
      <c r="E640" s="106"/>
      <c r="F640" s="105"/>
      <c r="G640" s="106"/>
      <c r="H640" s="105"/>
      <c r="I640" s="106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 spans="1:26" ht="12.75" customHeight="1">
      <c r="A641" s="104"/>
      <c r="B641" s="104"/>
      <c r="C641" s="104"/>
      <c r="D641" s="105"/>
      <c r="E641" s="106"/>
      <c r="F641" s="105"/>
      <c r="G641" s="106"/>
      <c r="H641" s="105"/>
      <c r="I641" s="106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 spans="1:26" ht="12.75" customHeight="1">
      <c r="A642" s="104"/>
      <c r="B642" s="104"/>
      <c r="C642" s="104"/>
      <c r="D642" s="105"/>
      <c r="E642" s="106"/>
      <c r="F642" s="105"/>
      <c r="G642" s="106"/>
      <c r="H642" s="105"/>
      <c r="I642" s="106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spans="1:26" ht="12.75" customHeight="1">
      <c r="A643" s="104"/>
      <c r="B643" s="104"/>
      <c r="C643" s="104"/>
      <c r="D643" s="105"/>
      <c r="E643" s="106"/>
      <c r="F643" s="105"/>
      <c r="G643" s="106"/>
      <c r="H643" s="105"/>
      <c r="I643" s="106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 spans="1:26" ht="12.75" customHeight="1">
      <c r="A644" s="104"/>
      <c r="B644" s="104"/>
      <c r="C644" s="104"/>
      <c r="D644" s="105"/>
      <c r="E644" s="106"/>
      <c r="F644" s="105"/>
      <c r="G644" s="106"/>
      <c r="H644" s="105"/>
      <c r="I644" s="106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 spans="1:26" ht="12.75" customHeight="1">
      <c r="A645" s="104"/>
      <c r="B645" s="104"/>
      <c r="C645" s="104"/>
      <c r="D645" s="105"/>
      <c r="E645" s="106"/>
      <c r="F645" s="105"/>
      <c r="G645" s="106"/>
      <c r="H645" s="105"/>
      <c r="I645" s="106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 spans="1:26" ht="12.75" customHeight="1">
      <c r="A646" s="104"/>
      <c r="B646" s="104"/>
      <c r="C646" s="104"/>
      <c r="D646" s="105"/>
      <c r="E646" s="106"/>
      <c r="F646" s="105"/>
      <c r="G646" s="106"/>
      <c r="H646" s="105"/>
      <c r="I646" s="106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 spans="1:26" ht="12.75" customHeight="1">
      <c r="A647" s="104"/>
      <c r="B647" s="104"/>
      <c r="C647" s="104"/>
      <c r="D647" s="105"/>
      <c r="E647" s="106"/>
      <c r="F647" s="105"/>
      <c r="G647" s="106"/>
      <c r="H647" s="105"/>
      <c r="I647" s="106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 spans="1:26" ht="12.75" customHeight="1">
      <c r="A648" s="104"/>
      <c r="B648" s="104"/>
      <c r="C648" s="104"/>
      <c r="D648" s="105"/>
      <c r="E648" s="106"/>
      <c r="F648" s="105"/>
      <c r="G648" s="106"/>
      <c r="H648" s="105"/>
      <c r="I648" s="106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 spans="1:26" ht="12.75" customHeight="1">
      <c r="A649" s="104"/>
      <c r="B649" s="104"/>
      <c r="C649" s="104"/>
      <c r="D649" s="105"/>
      <c r="E649" s="106"/>
      <c r="F649" s="105"/>
      <c r="G649" s="106"/>
      <c r="H649" s="105"/>
      <c r="I649" s="106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 spans="1:26" ht="12.75" customHeight="1">
      <c r="A650" s="104"/>
      <c r="B650" s="104"/>
      <c r="C650" s="104"/>
      <c r="D650" s="105"/>
      <c r="E650" s="106"/>
      <c r="F650" s="105"/>
      <c r="G650" s="106"/>
      <c r="H650" s="105"/>
      <c r="I650" s="106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 spans="1:26" ht="12.75" customHeight="1">
      <c r="A651" s="104"/>
      <c r="B651" s="104"/>
      <c r="C651" s="104"/>
      <c r="D651" s="105"/>
      <c r="E651" s="106"/>
      <c r="F651" s="105"/>
      <c r="G651" s="106"/>
      <c r="H651" s="105"/>
      <c r="I651" s="106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 spans="1:26" ht="12.75" customHeight="1">
      <c r="A652" s="104"/>
      <c r="B652" s="104"/>
      <c r="C652" s="104"/>
      <c r="D652" s="105"/>
      <c r="E652" s="106"/>
      <c r="F652" s="105"/>
      <c r="G652" s="106"/>
      <c r="H652" s="105"/>
      <c r="I652" s="106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 spans="1:26" ht="12.75" customHeight="1">
      <c r="A653" s="104"/>
      <c r="B653" s="104"/>
      <c r="C653" s="104"/>
      <c r="D653" s="105"/>
      <c r="E653" s="106"/>
      <c r="F653" s="105"/>
      <c r="G653" s="106"/>
      <c r="H653" s="105"/>
      <c r="I653" s="106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 spans="1:26" ht="12.75" customHeight="1">
      <c r="A654" s="104"/>
      <c r="B654" s="104"/>
      <c r="C654" s="104"/>
      <c r="D654" s="105"/>
      <c r="E654" s="106"/>
      <c r="F654" s="105"/>
      <c r="G654" s="106"/>
      <c r="H654" s="105"/>
      <c r="I654" s="106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 spans="1:26" ht="12.75" customHeight="1">
      <c r="A655" s="104"/>
      <c r="B655" s="104"/>
      <c r="C655" s="104"/>
      <c r="D655" s="105"/>
      <c r="E655" s="106"/>
      <c r="F655" s="105"/>
      <c r="G655" s="106"/>
      <c r="H655" s="105"/>
      <c r="I655" s="106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 spans="1:26" ht="12.75" customHeight="1">
      <c r="A656" s="104"/>
      <c r="B656" s="104"/>
      <c r="C656" s="104"/>
      <c r="D656" s="105"/>
      <c r="E656" s="106"/>
      <c r="F656" s="105"/>
      <c r="G656" s="106"/>
      <c r="H656" s="105"/>
      <c r="I656" s="106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 spans="1:26" ht="12.75" customHeight="1">
      <c r="A657" s="104"/>
      <c r="B657" s="104"/>
      <c r="C657" s="104"/>
      <c r="D657" s="105"/>
      <c r="E657" s="106"/>
      <c r="F657" s="105"/>
      <c r="G657" s="106"/>
      <c r="H657" s="105"/>
      <c r="I657" s="106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 spans="1:26" ht="12.75" customHeight="1">
      <c r="A658" s="104"/>
      <c r="B658" s="104"/>
      <c r="C658" s="104"/>
      <c r="D658" s="105"/>
      <c r="E658" s="106"/>
      <c r="F658" s="105"/>
      <c r="G658" s="106"/>
      <c r="H658" s="105"/>
      <c r="I658" s="106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 spans="1:26" ht="12.75" customHeight="1">
      <c r="A659" s="104"/>
      <c r="B659" s="104"/>
      <c r="C659" s="104"/>
      <c r="D659" s="105"/>
      <c r="E659" s="106"/>
      <c r="F659" s="105"/>
      <c r="G659" s="106"/>
      <c r="H659" s="105"/>
      <c r="I659" s="106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 spans="1:26" ht="12.75" customHeight="1">
      <c r="A660" s="104"/>
      <c r="B660" s="104"/>
      <c r="C660" s="104"/>
      <c r="D660" s="105"/>
      <c r="E660" s="106"/>
      <c r="F660" s="105"/>
      <c r="G660" s="106"/>
      <c r="H660" s="105"/>
      <c r="I660" s="106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 spans="1:26" ht="12.75" customHeight="1">
      <c r="A661" s="104"/>
      <c r="B661" s="104"/>
      <c r="C661" s="104"/>
      <c r="D661" s="105"/>
      <c r="E661" s="106"/>
      <c r="F661" s="105"/>
      <c r="G661" s="106"/>
      <c r="H661" s="105"/>
      <c r="I661" s="106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 spans="1:26" ht="12.75" customHeight="1">
      <c r="A662" s="104"/>
      <c r="B662" s="104"/>
      <c r="C662" s="104"/>
      <c r="D662" s="105"/>
      <c r="E662" s="106"/>
      <c r="F662" s="105"/>
      <c r="G662" s="106"/>
      <c r="H662" s="105"/>
      <c r="I662" s="106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 spans="1:26" ht="12.75" customHeight="1">
      <c r="A663" s="104"/>
      <c r="B663" s="104"/>
      <c r="C663" s="104"/>
      <c r="D663" s="105"/>
      <c r="E663" s="106"/>
      <c r="F663" s="105"/>
      <c r="G663" s="106"/>
      <c r="H663" s="105"/>
      <c r="I663" s="106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 spans="1:26" ht="12.75" customHeight="1">
      <c r="A664" s="104"/>
      <c r="B664" s="104"/>
      <c r="C664" s="104"/>
      <c r="D664" s="105"/>
      <c r="E664" s="106"/>
      <c r="F664" s="105"/>
      <c r="G664" s="106"/>
      <c r="H664" s="105"/>
      <c r="I664" s="106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 spans="1:26" ht="12.75" customHeight="1">
      <c r="A665" s="104"/>
      <c r="B665" s="104"/>
      <c r="C665" s="104"/>
      <c r="D665" s="105"/>
      <c r="E665" s="106"/>
      <c r="F665" s="105"/>
      <c r="G665" s="106"/>
      <c r="H665" s="105"/>
      <c r="I665" s="106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 spans="1:26" ht="12.75" customHeight="1">
      <c r="A666" s="104"/>
      <c r="B666" s="104"/>
      <c r="C666" s="104"/>
      <c r="D666" s="105"/>
      <c r="E666" s="106"/>
      <c r="F666" s="105"/>
      <c r="G666" s="106"/>
      <c r="H666" s="105"/>
      <c r="I666" s="106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 spans="1:26" ht="12.75" customHeight="1">
      <c r="A667" s="104"/>
      <c r="B667" s="104"/>
      <c r="C667" s="104"/>
      <c r="D667" s="105"/>
      <c r="E667" s="106"/>
      <c r="F667" s="105"/>
      <c r="G667" s="106"/>
      <c r="H667" s="105"/>
      <c r="I667" s="106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 spans="1:26" ht="12.75" customHeight="1">
      <c r="A668" s="104"/>
      <c r="B668" s="104"/>
      <c r="C668" s="104"/>
      <c r="D668" s="105"/>
      <c r="E668" s="106"/>
      <c r="F668" s="105"/>
      <c r="G668" s="106"/>
      <c r="H668" s="105"/>
      <c r="I668" s="106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 spans="1:26" ht="12.75" customHeight="1">
      <c r="A669" s="104"/>
      <c r="B669" s="104"/>
      <c r="C669" s="104"/>
      <c r="D669" s="105"/>
      <c r="E669" s="106"/>
      <c r="F669" s="105"/>
      <c r="G669" s="106"/>
      <c r="H669" s="105"/>
      <c r="I669" s="106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 spans="1:26" ht="12.75" customHeight="1">
      <c r="A670" s="104"/>
      <c r="B670" s="104"/>
      <c r="C670" s="104"/>
      <c r="D670" s="105"/>
      <c r="E670" s="106"/>
      <c r="F670" s="105"/>
      <c r="G670" s="106"/>
      <c r="H670" s="105"/>
      <c r="I670" s="106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 spans="1:26" ht="12.75" customHeight="1">
      <c r="A671" s="104"/>
      <c r="B671" s="104"/>
      <c r="C671" s="104"/>
      <c r="D671" s="105"/>
      <c r="E671" s="106"/>
      <c r="F671" s="105"/>
      <c r="G671" s="106"/>
      <c r="H671" s="105"/>
      <c r="I671" s="106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 spans="1:26" ht="12.75" customHeight="1">
      <c r="A672" s="104"/>
      <c r="B672" s="104"/>
      <c r="C672" s="104"/>
      <c r="D672" s="105"/>
      <c r="E672" s="106"/>
      <c r="F672" s="105"/>
      <c r="G672" s="106"/>
      <c r="H672" s="105"/>
      <c r="I672" s="106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 spans="1:26" ht="12.75" customHeight="1">
      <c r="A673" s="104"/>
      <c r="B673" s="104"/>
      <c r="C673" s="104"/>
      <c r="D673" s="105"/>
      <c r="E673" s="106"/>
      <c r="F673" s="105"/>
      <c r="G673" s="106"/>
      <c r="H673" s="105"/>
      <c r="I673" s="106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spans="1:26" ht="12.75" customHeight="1">
      <c r="A674" s="104"/>
      <c r="B674" s="104"/>
      <c r="C674" s="104"/>
      <c r="D674" s="105"/>
      <c r="E674" s="106"/>
      <c r="F674" s="105"/>
      <c r="G674" s="106"/>
      <c r="H674" s="105"/>
      <c r="I674" s="106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spans="1:26" ht="12.75" customHeight="1">
      <c r="A675" s="104"/>
      <c r="B675" s="104"/>
      <c r="C675" s="104"/>
      <c r="D675" s="105"/>
      <c r="E675" s="106"/>
      <c r="F675" s="105"/>
      <c r="G675" s="106"/>
      <c r="H675" s="105"/>
      <c r="I675" s="106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spans="1:26" ht="12.75" customHeight="1">
      <c r="A676" s="104"/>
      <c r="B676" s="104"/>
      <c r="C676" s="104"/>
      <c r="D676" s="105"/>
      <c r="E676" s="106"/>
      <c r="F676" s="105"/>
      <c r="G676" s="106"/>
      <c r="H676" s="105"/>
      <c r="I676" s="106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 spans="1:26" ht="12.75" customHeight="1">
      <c r="A677" s="104"/>
      <c r="B677" s="104"/>
      <c r="C677" s="104"/>
      <c r="D677" s="105"/>
      <c r="E677" s="106"/>
      <c r="F677" s="105"/>
      <c r="G677" s="106"/>
      <c r="H677" s="105"/>
      <c r="I677" s="106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spans="1:26" ht="12.75" customHeight="1">
      <c r="A678" s="104"/>
      <c r="B678" s="104"/>
      <c r="C678" s="104"/>
      <c r="D678" s="105"/>
      <c r="E678" s="106"/>
      <c r="F678" s="105"/>
      <c r="G678" s="106"/>
      <c r="H678" s="105"/>
      <c r="I678" s="106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 spans="1:26" ht="12.75" customHeight="1">
      <c r="A679" s="104"/>
      <c r="B679" s="104"/>
      <c r="C679" s="104"/>
      <c r="D679" s="105"/>
      <c r="E679" s="106"/>
      <c r="F679" s="105"/>
      <c r="G679" s="106"/>
      <c r="H679" s="105"/>
      <c r="I679" s="106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 spans="1:26" ht="12.75" customHeight="1">
      <c r="A680" s="104"/>
      <c r="B680" s="104"/>
      <c r="C680" s="104"/>
      <c r="D680" s="105"/>
      <c r="E680" s="106"/>
      <c r="F680" s="105"/>
      <c r="G680" s="106"/>
      <c r="H680" s="105"/>
      <c r="I680" s="106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 spans="1:26" ht="12.75" customHeight="1">
      <c r="A681" s="104"/>
      <c r="B681" s="104"/>
      <c r="C681" s="104"/>
      <c r="D681" s="105"/>
      <c r="E681" s="106"/>
      <c r="F681" s="105"/>
      <c r="G681" s="106"/>
      <c r="H681" s="105"/>
      <c r="I681" s="106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spans="1:26" ht="12.75" customHeight="1">
      <c r="A682" s="104"/>
      <c r="B682" s="104"/>
      <c r="C682" s="104"/>
      <c r="D682" s="105"/>
      <c r="E682" s="106"/>
      <c r="F682" s="105"/>
      <c r="G682" s="106"/>
      <c r="H682" s="105"/>
      <c r="I682" s="106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 spans="1:26" ht="12.75" customHeight="1">
      <c r="A683" s="104"/>
      <c r="B683" s="104"/>
      <c r="C683" s="104"/>
      <c r="D683" s="105"/>
      <c r="E683" s="106"/>
      <c r="F683" s="105"/>
      <c r="G683" s="106"/>
      <c r="H683" s="105"/>
      <c r="I683" s="106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 spans="1:26" ht="12.75" customHeight="1">
      <c r="A684" s="104"/>
      <c r="B684" s="104"/>
      <c r="C684" s="104"/>
      <c r="D684" s="105"/>
      <c r="E684" s="106"/>
      <c r="F684" s="105"/>
      <c r="G684" s="106"/>
      <c r="H684" s="105"/>
      <c r="I684" s="106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 spans="1:26" ht="12.75" customHeight="1">
      <c r="A685" s="104"/>
      <c r="B685" s="104"/>
      <c r="C685" s="104"/>
      <c r="D685" s="105"/>
      <c r="E685" s="106"/>
      <c r="F685" s="105"/>
      <c r="G685" s="106"/>
      <c r="H685" s="105"/>
      <c r="I685" s="106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spans="1:26" ht="12.75" customHeight="1">
      <c r="A686" s="104"/>
      <c r="B686" s="104"/>
      <c r="C686" s="104"/>
      <c r="D686" s="105"/>
      <c r="E686" s="106"/>
      <c r="F686" s="105"/>
      <c r="G686" s="106"/>
      <c r="H686" s="105"/>
      <c r="I686" s="106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spans="1:26" ht="12.75" customHeight="1">
      <c r="A687" s="104"/>
      <c r="B687" s="104"/>
      <c r="C687" s="104"/>
      <c r="D687" s="105"/>
      <c r="E687" s="106"/>
      <c r="F687" s="105"/>
      <c r="G687" s="106"/>
      <c r="H687" s="105"/>
      <c r="I687" s="106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 spans="1:26" ht="12.75" customHeight="1">
      <c r="A688" s="104"/>
      <c r="B688" s="104"/>
      <c r="C688" s="104"/>
      <c r="D688" s="105"/>
      <c r="E688" s="106"/>
      <c r="F688" s="105"/>
      <c r="G688" s="106"/>
      <c r="H688" s="105"/>
      <c r="I688" s="106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 spans="1:26" ht="12.75" customHeight="1">
      <c r="A689" s="104"/>
      <c r="B689" s="104"/>
      <c r="C689" s="104"/>
      <c r="D689" s="105"/>
      <c r="E689" s="106"/>
      <c r="F689" s="105"/>
      <c r="G689" s="106"/>
      <c r="H689" s="105"/>
      <c r="I689" s="106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 spans="1:26" ht="12.75" customHeight="1">
      <c r="A690" s="104"/>
      <c r="B690" s="104"/>
      <c r="C690" s="104"/>
      <c r="D690" s="105"/>
      <c r="E690" s="106"/>
      <c r="F690" s="105"/>
      <c r="G690" s="106"/>
      <c r="H690" s="105"/>
      <c r="I690" s="106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spans="1:26" ht="12.75" customHeight="1">
      <c r="A691" s="104"/>
      <c r="B691" s="104"/>
      <c r="C691" s="104"/>
      <c r="D691" s="105"/>
      <c r="E691" s="106"/>
      <c r="F691" s="105"/>
      <c r="G691" s="106"/>
      <c r="H691" s="105"/>
      <c r="I691" s="106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spans="1:26" ht="12.75" customHeight="1">
      <c r="A692" s="104"/>
      <c r="B692" s="104"/>
      <c r="C692" s="104"/>
      <c r="D692" s="105"/>
      <c r="E692" s="106"/>
      <c r="F692" s="105"/>
      <c r="G692" s="106"/>
      <c r="H692" s="105"/>
      <c r="I692" s="106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spans="1:26" ht="12.75" customHeight="1">
      <c r="A693" s="104"/>
      <c r="B693" s="104"/>
      <c r="C693" s="104"/>
      <c r="D693" s="105"/>
      <c r="E693" s="106"/>
      <c r="F693" s="105"/>
      <c r="G693" s="106"/>
      <c r="H693" s="105"/>
      <c r="I693" s="106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 spans="1:26" ht="12.75" customHeight="1">
      <c r="A694" s="104"/>
      <c r="B694" s="104"/>
      <c r="C694" s="104"/>
      <c r="D694" s="105"/>
      <c r="E694" s="106"/>
      <c r="F694" s="105"/>
      <c r="G694" s="106"/>
      <c r="H694" s="105"/>
      <c r="I694" s="106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 spans="1:26" ht="12.75" customHeight="1">
      <c r="A695" s="104"/>
      <c r="B695" s="104"/>
      <c r="C695" s="104"/>
      <c r="D695" s="105"/>
      <c r="E695" s="106"/>
      <c r="F695" s="105"/>
      <c r="G695" s="106"/>
      <c r="H695" s="105"/>
      <c r="I695" s="106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 spans="1:26" ht="12.75" customHeight="1">
      <c r="A696" s="104"/>
      <c r="B696" s="104"/>
      <c r="C696" s="104"/>
      <c r="D696" s="105"/>
      <c r="E696" s="106"/>
      <c r="F696" s="105"/>
      <c r="G696" s="106"/>
      <c r="H696" s="105"/>
      <c r="I696" s="106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 spans="1:26" ht="12.75" customHeight="1">
      <c r="A697" s="104"/>
      <c r="B697" s="104"/>
      <c r="C697" s="104"/>
      <c r="D697" s="105"/>
      <c r="E697" s="106"/>
      <c r="F697" s="105"/>
      <c r="G697" s="106"/>
      <c r="H697" s="105"/>
      <c r="I697" s="106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 spans="1:26" ht="12.75" customHeight="1">
      <c r="A698" s="104"/>
      <c r="B698" s="104"/>
      <c r="C698" s="104"/>
      <c r="D698" s="105"/>
      <c r="E698" s="106"/>
      <c r="F698" s="105"/>
      <c r="G698" s="106"/>
      <c r="H698" s="105"/>
      <c r="I698" s="106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 spans="1:26" ht="12.75" customHeight="1">
      <c r="A699" s="104"/>
      <c r="B699" s="104"/>
      <c r="C699" s="104"/>
      <c r="D699" s="105"/>
      <c r="E699" s="106"/>
      <c r="F699" s="105"/>
      <c r="G699" s="106"/>
      <c r="H699" s="105"/>
      <c r="I699" s="106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 spans="1:26" ht="12.75" customHeight="1">
      <c r="A700" s="104"/>
      <c r="B700" s="104"/>
      <c r="C700" s="104"/>
      <c r="D700" s="105"/>
      <c r="E700" s="106"/>
      <c r="F700" s="105"/>
      <c r="G700" s="106"/>
      <c r="H700" s="105"/>
      <c r="I700" s="106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 spans="1:26" ht="12.75" customHeight="1">
      <c r="A701" s="104"/>
      <c r="B701" s="104"/>
      <c r="C701" s="104"/>
      <c r="D701" s="105"/>
      <c r="E701" s="106"/>
      <c r="F701" s="105"/>
      <c r="G701" s="106"/>
      <c r="H701" s="105"/>
      <c r="I701" s="106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 spans="1:26" ht="12.75" customHeight="1">
      <c r="A702" s="104"/>
      <c r="B702" s="104"/>
      <c r="C702" s="104"/>
      <c r="D702" s="105"/>
      <c r="E702" s="106"/>
      <c r="F702" s="105"/>
      <c r="G702" s="106"/>
      <c r="H702" s="105"/>
      <c r="I702" s="106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 spans="1:26" ht="12.75" customHeight="1">
      <c r="A703" s="104"/>
      <c r="B703" s="104"/>
      <c r="C703" s="104"/>
      <c r="D703" s="105"/>
      <c r="E703" s="106"/>
      <c r="F703" s="105"/>
      <c r="G703" s="106"/>
      <c r="H703" s="105"/>
      <c r="I703" s="106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 spans="1:26" ht="12.75" customHeight="1">
      <c r="A704" s="104"/>
      <c r="B704" s="104"/>
      <c r="C704" s="104"/>
      <c r="D704" s="105"/>
      <c r="E704" s="106"/>
      <c r="F704" s="105"/>
      <c r="G704" s="106"/>
      <c r="H704" s="105"/>
      <c r="I704" s="106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 spans="1:26" ht="12.75" customHeight="1">
      <c r="A705" s="104"/>
      <c r="B705" s="104"/>
      <c r="C705" s="104"/>
      <c r="D705" s="105"/>
      <c r="E705" s="106"/>
      <c r="F705" s="105"/>
      <c r="G705" s="106"/>
      <c r="H705" s="105"/>
      <c r="I705" s="106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 spans="1:26" ht="12.75" customHeight="1">
      <c r="A706" s="104"/>
      <c r="B706" s="104"/>
      <c r="C706" s="104"/>
      <c r="D706" s="105"/>
      <c r="E706" s="106"/>
      <c r="F706" s="105"/>
      <c r="G706" s="106"/>
      <c r="H706" s="105"/>
      <c r="I706" s="106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 spans="1:26" ht="12.75" customHeight="1">
      <c r="A707" s="104"/>
      <c r="B707" s="104"/>
      <c r="C707" s="104"/>
      <c r="D707" s="105"/>
      <c r="E707" s="106"/>
      <c r="F707" s="105"/>
      <c r="G707" s="106"/>
      <c r="H707" s="105"/>
      <c r="I707" s="106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 spans="1:26" ht="12.75" customHeight="1">
      <c r="A708" s="104"/>
      <c r="B708" s="104"/>
      <c r="C708" s="104"/>
      <c r="D708" s="105"/>
      <c r="E708" s="106"/>
      <c r="F708" s="105"/>
      <c r="G708" s="106"/>
      <c r="H708" s="105"/>
      <c r="I708" s="106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 spans="1:26" ht="12.75" customHeight="1">
      <c r="A709" s="104"/>
      <c r="B709" s="104"/>
      <c r="C709" s="104"/>
      <c r="D709" s="105"/>
      <c r="E709" s="106"/>
      <c r="F709" s="105"/>
      <c r="G709" s="106"/>
      <c r="H709" s="105"/>
      <c r="I709" s="106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 spans="1:26" ht="12.75" customHeight="1">
      <c r="A710" s="104"/>
      <c r="B710" s="104"/>
      <c r="C710" s="104"/>
      <c r="D710" s="105"/>
      <c r="E710" s="106"/>
      <c r="F710" s="105"/>
      <c r="G710" s="106"/>
      <c r="H710" s="105"/>
      <c r="I710" s="106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 spans="1:26" ht="12.75" customHeight="1">
      <c r="A711" s="104"/>
      <c r="B711" s="104"/>
      <c r="C711" s="104"/>
      <c r="D711" s="105"/>
      <c r="E711" s="106"/>
      <c r="F711" s="105"/>
      <c r="G711" s="106"/>
      <c r="H711" s="105"/>
      <c r="I711" s="106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 spans="1:26" ht="12.75" customHeight="1">
      <c r="A712" s="104"/>
      <c r="B712" s="104"/>
      <c r="C712" s="104"/>
      <c r="D712" s="105"/>
      <c r="E712" s="106"/>
      <c r="F712" s="105"/>
      <c r="G712" s="106"/>
      <c r="H712" s="105"/>
      <c r="I712" s="106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 spans="1:26" ht="12.75" customHeight="1">
      <c r="A713" s="104"/>
      <c r="B713" s="104"/>
      <c r="C713" s="104"/>
      <c r="D713" s="105"/>
      <c r="E713" s="106"/>
      <c r="F713" s="105"/>
      <c r="G713" s="106"/>
      <c r="H713" s="105"/>
      <c r="I713" s="106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 spans="1:26" ht="12.75" customHeight="1">
      <c r="A714" s="104"/>
      <c r="B714" s="104"/>
      <c r="C714" s="104"/>
      <c r="D714" s="105"/>
      <c r="E714" s="106"/>
      <c r="F714" s="105"/>
      <c r="G714" s="106"/>
      <c r="H714" s="105"/>
      <c r="I714" s="106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 spans="1:26" ht="12.75" customHeight="1">
      <c r="A715" s="104"/>
      <c r="B715" s="104"/>
      <c r="C715" s="104"/>
      <c r="D715" s="105"/>
      <c r="E715" s="106"/>
      <c r="F715" s="105"/>
      <c r="G715" s="106"/>
      <c r="H715" s="105"/>
      <c r="I715" s="106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 spans="1:26" ht="12.75" customHeight="1">
      <c r="A716" s="104"/>
      <c r="B716" s="104"/>
      <c r="C716" s="104"/>
      <c r="D716" s="105"/>
      <c r="E716" s="106"/>
      <c r="F716" s="105"/>
      <c r="G716" s="106"/>
      <c r="H716" s="105"/>
      <c r="I716" s="106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 spans="1:26" ht="12.75" customHeight="1">
      <c r="A717" s="104"/>
      <c r="B717" s="104"/>
      <c r="C717" s="104"/>
      <c r="D717" s="105"/>
      <c r="E717" s="106"/>
      <c r="F717" s="105"/>
      <c r="G717" s="106"/>
      <c r="H717" s="105"/>
      <c r="I717" s="106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 spans="1:26" ht="12.75" customHeight="1">
      <c r="A718" s="104"/>
      <c r="B718" s="104"/>
      <c r="C718" s="104"/>
      <c r="D718" s="105"/>
      <c r="E718" s="106"/>
      <c r="F718" s="105"/>
      <c r="G718" s="106"/>
      <c r="H718" s="105"/>
      <c r="I718" s="106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 spans="1:26" ht="12.75" customHeight="1">
      <c r="A719" s="104"/>
      <c r="B719" s="104"/>
      <c r="C719" s="104"/>
      <c r="D719" s="105"/>
      <c r="E719" s="106"/>
      <c r="F719" s="105"/>
      <c r="G719" s="106"/>
      <c r="H719" s="105"/>
      <c r="I719" s="106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 spans="1:26" ht="12.75" customHeight="1">
      <c r="A720" s="104"/>
      <c r="B720" s="104"/>
      <c r="C720" s="104"/>
      <c r="D720" s="105"/>
      <c r="E720" s="106"/>
      <c r="F720" s="105"/>
      <c r="G720" s="106"/>
      <c r="H720" s="105"/>
      <c r="I720" s="106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 spans="1:26" ht="12.75" customHeight="1">
      <c r="A721" s="104"/>
      <c r="B721" s="104"/>
      <c r="C721" s="104"/>
      <c r="D721" s="105"/>
      <c r="E721" s="106"/>
      <c r="F721" s="105"/>
      <c r="G721" s="106"/>
      <c r="H721" s="105"/>
      <c r="I721" s="106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 spans="1:26" ht="12.75" customHeight="1">
      <c r="A722" s="104"/>
      <c r="B722" s="104"/>
      <c r="C722" s="104"/>
      <c r="D722" s="105"/>
      <c r="E722" s="106"/>
      <c r="F722" s="105"/>
      <c r="G722" s="106"/>
      <c r="H722" s="105"/>
      <c r="I722" s="106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 spans="1:26" ht="12.75" customHeight="1">
      <c r="A723" s="104"/>
      <c r="B723" s="104"/>
      <c r="C723" s="104"/>
      <c r="D723" s="105"/>
      <c r="E723" s="106"/>
      <c r="F723" s="105"/>
      <c r="G723" s="106"/>
      <c r="H723" s="105"/>
      <c r="I723" s="106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 spans="1:26" ht="12.75" customHeight="1">
      <c r="A724" s="104"/>
      <c r="B724" s="104"/>
      <c r="C724" s="104"/>
      <c r="D724" s="105"/>
      <c r="E724" s="106"/>
      <c r="F724" s="105"/>
      <c r="G724" s="106"/>
      <c r="H724" s="105"/>
      <c r="I724" s="106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 spans="1:26" ht="12.75" customHeight="1">
      <c r="A725" s="104"/>
      <c r="B725" s="104"/>
      <c r="C725" s="104"/>
      <c r="D725" s="105"/>
      <c r="E725" s="106"/>
      <c r="F725" s="105"/>
      <c r="G725" s="106"/>
      <c r="H725" s="105"/>
      <c r="I725" s="106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 spans="1:26" ht="12.75" customHeight="1">
      <c r="A726" s="104"/>
      <c r="B726" s="104"/>
      <c r="C726" s="104"/>
      <c r="D726" s="105"/>
      <c r="E726" s="106"/>
      <c r="F726" s="105"/>
      <c r="G726" s="106"/>
      <c r="H726" s="105"/>
      <c r="I726" s="106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 spans="1:26" ht="12.75" customHeight="1">
      <c r="A727" s="104"/>
      <c r="B727" s="104"/>
      <c r="C727" s="104"/>
      <c r="D727" s="105"/>
      <c r="E727" s="106"/>
      <c r="F727" s="105"/>
      <c r="G727" s="106"/>
      <c r="H727" s="105"/>
      <c r="I727" s="106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 spans="1:26" ht="12.75" customHeight="1">
      <c r="A728" s="104"/>
      <c r="B728" s="104"/>
      <c r="C728" s="104"/>
      <c r="D728" s="105"/>
      <c r="E728" s="106"/>
      <c r="F728" s="105"/>
      <c r="G728" s="106"/>
      <c r="H728" s="105"/>
      <c r="I728" s="106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 spans="1:26" ht="12.75" customHeight="1">
      <c r="A729" s="104"/>
      <c r="B729" s="104"/>
      <c r="C729" s="104"/>
      <c r="D729" s="105"/>
      <c r="E729" s="106"/>
      <c r="F729" s="105"/>
      <c r="G729" s="106"/>
      <c r="H729" s="105"/>
      <c r="I729" s="106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 spans="1:26" ht="12.75" customHeight="1">
      <c r="A730" s="104"/>
      <c r="B730" s="104"/>
      <c r="C730" s="104"/>
      <c r="D730" s="105"/>
      <c r="E730" s="106"/>
      <c r="F730" s="105"/>
      <c r="G730" s="106"/>
      <c r="H730" s="105"/>
      <c r="I730" s="106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 spans="1:26" ht="12.75" customHeight="1">
      <c r="A731" s="104"/>
      <c r="B731" s="104"/>
      <c r="C731" s="104"/>
      <c r="D731" s="105"/>
      <c r="E731" s="106"/>
      <c r="F731" s="105"/>
      <c r="G731" s="106"/>
      <c r="H731" s="105"/>
      <c r="I731" s="106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 spans="1:26" ht="12.75" customHeight="1">
      <c r="A732" s="104"/>
      <c r="B732" s="104"/>
      <c r="C732" s="104"/>
      <c r="D732" s="105"/>
      <c r="E732" s="106"/>
      <c r="F732" s="105"/>
      <c r="G732" s="106"/>
      <c r="H732" s="105"/>
      <c r="I732" s="106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 spans="1:26" ht="12.75" customHeight="1">
      <c r="A733" s="104"/>
      <c r="B733" s="104"/>
      <c r="C733" s="104"/>
      <c r="D733" s="105"/>
      <c r="E733" s="106"/>
      <c r="F733" s="105"/>
      <c r="G733" s="106"/>
      <c r="H733" s="105"/>
      <c r="I733" s="106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 spans="1:26" ht="12.75" customHeight="1">
      <c r="A734" s="104"/>
      <c r="B734" s="104"/>
      <c r="C734" s="104"/>
      <c r="D734" s="105"/>
      <c r="E734" s="106"/>
      <c r="F734" s="105"/>
      <c r="G734" s="106"/>
      <c r="H734" s="105"/>
      <c r="I734" s="106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 spans="1:26" ht="12.75" customHeight="1">
      <c r="A735" s="104"/>
      <c r="B735" s="104"/>
      <c r="C735" s="104"/>
      <c r="D735" s="105"/>
      <c r="E735" s="106"/>
      <c r="F735" s="105"/>
      <c r="G735" s="106"/>
      <c r="H735" s="105"/>
      <c r="I735" s="106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 spans="1:26" ht="12.75" customHeight="1">
      <c r="A736" s="104"/>
      <c r="B736" s="104"/>
      <c r="C736" s="104"/>
      <c r="D736" s="105"/>
      <c r="E736" s="106"/>
      <c r="F736" s="105"/>
      <c r="G736" s="106"/>
      <c r="H736" s="105"/>
      <c r="I736" s="106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 spans="1:26" ht="12.75" customHeight="1">
      <c r="A737" s="104"/>
      <c r="B737" s="104"/>
      <c r="C737" s="104"/>
      <c r="D737" s="105"/>
      <c r="E737" s="106"/>
      <c r="F737" s="105"/>
      <c r="G737" s="106"/>
      <c r="H737" s="105"/>
      <c r="I737" s="106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 spans="1:26" ht="12.75" customHeight="1">
      <c r="A738" s="104"/>
      <c r="B738" s="104"/>
      <c r="C738" s="104"/>
      <c r="D738" s="105"/>
      <c r="E738" s="106"/>
      <c r="F738" s="105"/>
      <c r="G738" s="106"/>
      <c r="H738" s="105"/>
      <c r="I738" s="106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 spans="1:26" ht="12.75" customHeight="1">
      <c r="A739" s="104"/>
      <c r="B739" s="104"/>
      <c r="C739" s="104"/>
      <c r="D739" s="105"/>
      <c r="E739" s="106"/>
      <c r="F739" s="105"/>
      <c r="G739" s="106"/>
      <c r="H739" s="105"/>
      <c r="I739" s="106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 spans="1:26" ht="12.75" customHeight="1">
      <c r="A740" s="104"/>
      <c r="B740" s="104"/>
      <c r="C740" s="104"/>
      <c r="D740" s="105"/>
      <c r="E740" s="106"/>
      <c r="F740" s="105"/>
      <c r="G740" s="106"/>
      <c r="H740" s="105"/>
      <c r="I740" s="106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 spans="1:26" ht="12.75" customHeight="1">
      <c r="A741" s="104"/>
      <c r="B741" s="104"/>
      <c r="C741" s="104"/>
      <c r="D741" s="105"/>
      <c r="E741" s="106"/>
      <c r="F741" s="105"/>
      <c r="G741" s="106"/>
      <c r="H741" s="105"/>
      <c r="I741" s="106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 spans="1:26" ht="12.75" customHeight="1">
      <c r="A742" s="104"/>
      <c r="B742" s="104"/>
      <c r="C742" s="104"/>
      <c r="D742" s="105"/>
      <c r="E742" s="106"/>
      <c r="F742" s="105"/>
      <c r="G742" s="106"/>
      <c r="H742" s="105"/>
      <c r="I742" s="106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 spans="1:26" ht="12.75" customHeight="1">
      <c r="A743" s="104"/>
      <c r="B743" s="104"/>
      <c r="C743" s="104"/>
      <c r="D743" s="105"/>
      <c r="E743" s="106"/>
      <c r="F743" s="105"/>
      <c r="G743" s="106"/>
      <c r="H743" s="105"/>
      <c r="I743" s="106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 spans="1:26" ht="12.75" customHeight="1">
      <c r="A744" s="104"/>
      <c r="B744" s="104"/>
      <c r="C744" s="104"/>
      <c r="D744" s="105"/>
      <c r="E744" s="106"/>
      <c r="F744" s="105"/>
      <c r="G744" s="106"/>
      <c r="H744" s="105"/>
      <c r="I744" s="106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 spans="1:26" ht="12.75" customHeight="1">
      <c r="A745" s="104"/>
      <c r="B745" s="104"/>
      <c r="C745" s="104"/>
      <c r="D745" s="105"/>
      <c r="E745" s="106"/>
      <c r="F745" s="105"/>
      <c r="G745" s="106"/>
      <c r="H745" s="105"/>
      <c r="I745" s="106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 spans="1:26" ht="12.75" customHeight="1">
      <c r="A746" s="104"/>
      <c r="B746" s="104"/>
      <c r="C746" s="104"/>
      <c r="D746" s="105"/>
      <c r="E746" s="106"/>
      <c r="F746" s="105"/>
      <c r="G746" s="106"/>
      <c r="H746" s="105"/>
      <c r="I746" s="106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 spans="1:26" ht="12.75" customHeight="1">
      <c r="A747" s="104"/>
      <c r="B747" s="104"/>
      <c r="C747" s="104"/>
      <c r="D747" s="105"/>
      <c r="E747" s="106"/>
      <c r="F747" s="105"/>
      <c r="G747" s="106"/>
      <c r="H747" s="105"/>
      <c r="I747" s="106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 spans="1:26" ht="12.75" customHeight="1">
      <c r="A748" s="104"/>
      <c r="B748" s="104"/>
      <c r="C748" s="104"/>
      <c r="D748" s="105"/>
      <c r="E748" s="106"/>
      <c r="F748" s="105"/>
      <c r="G748" s="106"/>
      <c r="H748" s="105"/>
      <c r="I748" s="106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 spans="1:26" ht="12.75" customHeight="1">
      <c r="A749" s="104"/>
      <c r="B749" s="104"/>
      <c r="C749" s="104"/>
      <c r="D749" s="105"/>
      <c r="E749" s="106"/>
      <c r="F749" s="105"/>
      <c r="G749" s="106"/>
      <c r="H749" s="105"/>
      <c r="I749" s="106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 spans="1:26" ht="12.75" customHeight="1">
      <c r="A750" s="104"/>
      <c r="B750" s="104"/>
      <c r="C750" s="104"/>
      <c r="D750" s="105"/>
      <c r="E750" s="106"/>
      <c r="F750" s="105"/>
      <c r="G750" s="106"/>
      <c r="H750" s="105"/>
      <c r="I750" s="106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 spans="1:26" ht="12.75" customHeight="1">
      <c r="A751" s="104"/>
      <c r="B751" s="104"/>
      <c r="C751" s="104"/>
      <c r="D751" s="105"/>
      <c r="E751" s="106"/>
      <c r="F751" s="105"/>
      <c r="G751" s="106"/>
      <c r="H751" s="105"/>
      <c r="I751" s="106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 spans="1:26" ht="12.75" customHeight="1">
      <c r="A752" s="104"/>
      <c r="B752" s="104"/>
      <c r="C752" s="104"/>
      <c r="D752" s="105"/>
      <c r="E752" s="106"/>
      <c r="F752" s="105"/>
      <c r="G752" s="106"/>
      <c r="H752" s="105"/>
      <c r="I752" s="106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 spans="1:26" ht="12.75" customHeight="1">
      <c r="A753" s="104"/>
      <c r="B753" s="104"/>
      <c r="C753" s="104"/>
      <c r="D753" s="105"/>
      <c r="E753" s="106"/>
      <c r="F753" s="105"/>
      <c r="G753" s="106"/>
      <c r="H753" s="105"/>
      <c r="I753" s="106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 spans="1:26" ht="12.75" customHeight="1">
      <c r="A754" s="104"/>
      <c r="B754" s="104"/>
      <c r="C754" s="104"/>
      <c r="D754" s="105"/>
      <c r="E754" s="106"/>
      <c r="F754" s="105"/>
      <c r="G754" s="106"/>
      <c r="H754" s="105"/>
      <c r="I754" s="106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 spans="1:26" ht="12.75" customHeight="1">
      <c r="A755" s="104"/>
      <c r="B755" s="104"/>
      <c r="C755" s="104"/>
      <c r="D755" s="105"/>
      <c r="E755" s="106"/>
      <c r="F755" s="105"/>
      <c r="G755" s="106"/>
      <c r="H755" s="105"/>
      <c r="I755" s="106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 spans="1:26" ht="12.75" customHeight="1">
      <c r="A756" s="104"/>
      <c r="B756" s="104"/>
      <c r="C756" s="104"/>
      <c r="D756" s="105"/>
      <c r="E756" s="106"/>
      <c r="F756" s="105"/>
      <c r="G756" s="106"/>
      <c r="H756" s="105"/>
      <c r="I756" s="106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 spans="1:26" ht="12.75" customHeight="1">
      <c r="A757" s="104"/>
      <c r="B757" s="104"/>
      <c r="C757" s="104"/>
      <c r="D757" s="105"/>
      <c r="E757" s="106"/>
      <c r="F757" s="105"/>
      <c r="G757" s="106"/>
      <c r="H757" s="105"/>
      <c r="I757" s="106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 spans="1:26" ht="12.75" customHeight="1">
      <c r="A758" s="104"/>
      <c r="B758" s="104"/>
      <c r="C758" s="104"/>
      <c r="D758" s="105"/>
      <c r="E758" s="106"/>
      <c r="F758" s="105"/>
      <c r="G758" s="106"/>
      <c r="H758" s="105"/>
      <c r="I758" s="106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 spans="1:26" ht="12.75" customHeight="1">
      <c r="A759" s="104"/>
      <c r="B759" s="104"/>
      <c r="C759" s="104"/>
      <c r="D759" s="105"/>
      <c r="E759" s="106"/>
      <c r="F759" s="105"/>
      <c r="G759" s="106"/>
      <c r="H759" s="105"/>
      <c r="I759" s="106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 spans="1:26" ht="12.75" customHeight="1">
      <c r="A760" s="104"/>
      <c r="B760" s="104"/>
      <c r="C760" s="104"/>
      <c r="D760" s="105"/>
      <c r="E760" s="106"/>
      <c r="F760" s="105"/>
      <c r="G760" s="106"/>
      <c r="H760" s="105"/>
      <c r="I760" s="106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 spans="1:26" ht="12.75" customHeight="1">
      <c r="A761" s="104"/>
      <c r="B761" s="104"/>
      <c r="C761" s="104"/>
      <c r="D761" s="105"/>
      <c r="E761" s="106"/>
      <c r="F761" s="105"/>
      <c r="G761" s="106"/>
      <c r="H761" s="105"/>
      <c r="I761" s="106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 spans="1:26" ht="12.75" customHeight="1">
      <c r="A762" s="104"/>
      <c r="B762" s="104"/>
      <c r="C762" s="104"/>
      <c r="D762" s="105"/>
      <c r="E762" s="106"/>
      <c r="F762" s="105"/>
      <c r="G762" s="106"/>
      <c r="H762" s="105"/>
      <c r="I762" s="106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 spans="1:26" ht="12.75" customHeight="1">
      <c r="A763" s="104"/>
      <c r="B763" s="104"/>
      <c r="C763" s="104"/>
      <c r="D763" s="105"/>
      <c r="E763" s="106"/>
      <c r="F763" s="105"/>
      <c r="G763" s="106"/>
      <c r="H763" s="105"/>
      <c r="I763" s="106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 spans="1:26" ht="12.75" customHeight="1">
      <c r="A764" s="104"/>
      <c r="B764" s="104"/>
      <c r="C764" s="104"/>
      <c r="D764" s="105"/>
      <c r="E764" s="106"/>
      <c r="F764" s="105"/>
      <c r="G764" s="106"/>
      <c r="H764" s="105"/>
      <c r="I764" s="106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 spans="1:26" ht="12.75" customHeight="1">
      <c r="A765" s="104"/>
      <c r="B765" s="104"/>
      <c r="C765" s="104"/>
      <c r="D765" s="105"/>
      <c r="E765" s="106"/>
      <c r="F765" s="105"/>
      <c r="G765" s="106"/>
      <c r="H765" s="105"/>
      <c r="I765" s="106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 spans="1:26" ht="12.75" customHeight="1">
      <c r="A766" s="104"/>
      <c r="B766" s="104"/>
      <c r="C766" s="104"/>
      <c r="D766" s="105"/>
      <c r="E766" s="106"/>
      <c r="F766" s="105"/>
      <c r="G766" s="106"/>
      <c r="H766" s="105"/>
      <c r="I766" s="106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 spans="1:26" ht="12.75" customHeight="1">
      <c r="A767" s="104"/>
      <c r="B767" s="104"/>
      <c r="C767" s="104"/>
      <c r="D767" s="105"/>
      <c r="E767" s="106"/>
      <c r="F767" s="105"/>
      <c r="G767" s="106"/>
      <c r="H767" s="105"/>
      <c r="I767" s="106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 spans="1:26" ht="12.75" customHeight="1">
      <c r="A768" s="104"/>
      <c r="B768" s="104"/>
      <c r="C768" s="104"/>
      <c r="D768" s="105"/>
      <c r="E768" s="106"/>
      <c r="F768" s="105"/>
      <c r="G768" s="106"/>
      <c r="H768" s="105"/>
      <c r="I768" s="106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 spans="1:26" ht="12.75" customHeight="1">
      <c r="A769" s="104"/>
      <c r="B769" s="104"/>
      <c r="C769" s="104"/>
      <c r="D769" s="105"/>
      <c r="E769" s="106"/>
      <c r="F769" s="105"/>
      <c r="G769" s="106"/>
      <c r="H769" s="105"/>
      <c r="I769" s="106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 spans="1:26" ht="12.75" customHeight="1">
      <c r="A770" s="104"/>
      <c r="B770" s="104"/>
      <c r="C770" s="104"/>
      <c r="D770" s="105"/>
      <c r="E770" s="106"/>
      <c r="F770" s="105"/>
      <c r="G770" s="106"/>
      <c r="H770" s="105"/>
      <c r="I770" s="106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 spans="1:26" ht="12.75" customHeight="1">
      <c r="A771" s="104"/>
      <c r="B771" s="104"/>
      <c r="C771" s="104"/>
      <c r="D771" s="105"/>
      <c r="E771" s="106"/>
      <c r="F771" s="105"/>
      <c r="G771" s="106"/>
      <c r="H771" s="105"/>
      <c r="I771" s="106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 spans="1:26" ht="12.75" customHeight="1">
      <c r="A772" s="104"/>
      <c r="B772" s="104"/>
      <c r="C772" s="104"/>
      <c r="D772" s="105"/>
      <c r="E772" s="106"/>
      <c r="F772" s="105"/>
      <c r="G772" s="106"/>
      <c r="H772" s="105"/>
      <c r="I772" s="106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 spans="1:26" ht="12.75" customHeight="1">
      <c r="A773" s="104"/>
      <c r="B773" s="104"/>
      <c r="C773" s="104"/>
      <c r="D773" s="105"/>
      <c r="E773" s="106"/>
      <c r="F773" s="105"/>
      <c r="G773" s="106"/>
      <c r="H773" s="105"/>
      <c r="I773" s="106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 spans="1:26" ht="12.75" customHeight="1">
      <c r="A774" s="104"/>
      <c r="B774" s="104"/>
      <c r="C774" s="104"/>
      <c r="D774" s="105"/>
      <c r="E774" s="106"/>
      <c r="F774" s="105"/>
      <c r="G774" s="106"/>
      <c r="H774" s="105"/>
      <c r="I774" s="106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 spans="1:26" ht="12.75" customHeight="1">
      <c r="A775" s="104"/>
      <c r="B775" s="104"/>
      <c r="C775" s="104"/>
      <c r="D775" s="105"/>
      <c r="E775" s="106"/>
      <c r="F775" s="105"/>
      <c r="G775" s="106"/>
      <c r="H775" s="105"/>
      <c r="I775" s="106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 spans="1:26" ht="12.75" customHeight="1">
      <c r="A776" s="104"/>
      <c r="B776" s="104"/>
      <c r="C776" s="104"/>
      <c r="D776" s="105"/>
      <c r="E776" s="106"/>
      <c r="F776" s="105"/>
      <c r="G776" s="106"/>
      <c r="H776" s="105"/>
      <c r="I776" s="106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 spans="1:26" ht="12.75" customHeight="1">
      <c r="A777" s="104"/>
      <c r="B777" s="104"/>
      <c r="C777" s="104"/>
      <c r="D777" s="105"/>
      <c r="E777" s="106"/>
      <c r="F777" s="105"/>
      <c r="G777" s="106"/>
      <c r="H777" s="105"/>
      <c r="I777" s="106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 spans="1:26" ht="12.75" customHeight="1">
      <c r="A778" s="104"/>
      <c r="B778" s="104"/>
      <c r="C778" s="104"/>
      <c r="D778" s="105"/>
      <c r="E778" s="106"/>
      <c r="F778" s="105"/>
      <c r="G778" s="106"/>
      <c r="H778" s="105"/>
      <c r="I778" s="106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 spans="1:26" ht="12.75" customHeight="1">
      <c r="A779" s="104"/>
      <c r="B779" s="104"/>
      <c r="C779" s="104"/>
      <c r="D779" s="105"/>
      <c r="E779" s="106"/>
      <c r="F779" s="105"/>
      <c r="G779" s="106"/>
      <c r="H779" s="105"/>
      <c r="I779" s="106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 spans="1:26" ht="12.75" customHeight="1">
      <c r="A780" s="104"/>
      <c r="B780" s="104"/>
      <c r="C780" s="104"/>
      <c r="D780" s="105"/>
      <c r="E780" s="106"/>
      <c r="F780" s="105"/>
      <c r="G780" s="106"/>
      <c r="H780" s="105"/>
      <c r="I780" s="106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 spans="1:26" ht="12.75" customHeight="1">
      <c r="A781" s="104"/>
      <c r="B781" s="104"/>
      <c r="C781" s="104"/>
      <c r="D781" s="105"/>
      <c r="E781" s="106"/>
      <c r="F781" s="105"/>
      <c r="G781" s="106"/>
      <c r="H781" s="105"/>
      <c r="I781" s="106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 spans="1:26" ht="12.75" customHeight="1">
      <c r="A782" s="104"/>
      <c r="B782" s="104"/>
      <c r="C782" s="104"/>
      <c r="D782" s="105"/>
      <c r="E782" s="106"/>
      <c r="F782" s="105"/>
      <c r="G782" s="106"/>
      <c r="H782" s="105"/>
      <c r="I782" s="106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 spans="1:26" ht="12.75" customHeight="1">
      <c r="A783" s="104"/>
      <c r="B783" s="104"/>
      <c r="C783" s="104"/>
      <c r="D783" s="105"/>
      <c r="E783" s="106"/>
      <c r="F783" s="105"/>
      <c r="G783" s="106"/>
      <c r="H783" s="105"/>
      <c r="I783" s="106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 spans="1:26" ht="12.75" customHeight="1">
      <c r="A784" s="104"/>
      <c r="B784" s="104"/>
      <c r="C784" s="104"/>
      <c r="D784" s="105"/>
      <c r="E784" s="106"/>
      <c r="F784" s="105"/>
      <c r="G784" s="106"/>
      <c r="H784" s="105"/>
      <c r="I784" s="106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 spans="1:26" ht="12.75" customHeight="1">
      <c r="A785" s="104"/>
      <c r="B785" s="104"/>
      <c r="C785" s="104"/>
      <c r="D785" s="105"/>
      <c r="E785" s="106"/>
      <c r="F785" s="105"/>
      <c r="G785" s="106"/>
      <c r="H785" s="105"/>
      <c r="I785" s="106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 spans="1:26" ht="12.75" customHeight="1">
      <c r="A786" s="104"/>
      <c r="B786" s="104"/>
      <c r="C786" s="104"/>
      <c r="D786" s="105"/>
      <c r="E786" s="106"/>
      <c r="F786" s="105"/>
      <c r="G786" s="106"/>
      <c r="H786" s="105"/>
      <c r="I786" s="106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 spans="1:26" ht="12.75" customHeight="1">
      <c r="A787" s="104"/>
      <c r="B787" s="104"/>
      <c r="C787" s="104"/>
      <c r="D787" s="105"/>
      <c r="E787" s="106"/>
      <c r="F787" s="105"/>
      <c r="G787" s="106"/>
      <c r="H787" s="105"/>
      <c r="I787" s="106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 spans="1:26" ht="12.75" customHeight="1">
      <c r="A788" s="104"/>
      <c r="B788" s="104"/>
      <c r="C788" s="104"/>
      <c r="D788" s="105"/>
      <c r="E788" s="106"/>
      <c r="F788" s="105"/>
      <c r="G788" s="106"/>
      <c r="H788" s="105"/>
      <c r="I788" s="106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 spans="1:26" ht="12.75" customHeight="1">
      <c r="A789" s="104"/>
      <c r="B789" s="104"/>
      <c r="C789" s="104"/>
      <c r="D789" s="105"/>
      <c r="E789" s="106"/>
      <c r="F789" s="105"/>
      <c r="G789" s="106"/>
      <c r="H789" s="105"/>
      <c r="I789" s="106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 spans="1:26" ht="12.75" customHeight="1">
      <c r="A790" s="104"/>
      <c r="B790" s="104"/>
      <c r="C790" s="104"/>
      <c r="D790" s="105"/>
      <c r="E790" s="106"/>
      <c r="F790" s="105"/>
      <c r="G790" s="106"/>
      <c r="H790" s="105"/>
      <c r="I790" s="106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 spans="1:26" ht="12.75" customHeight="1">
      <c r="A791" s="104"/>
      <c r="B791" s="104"/>
      <c r="C791" s="104"/>
      <c r="D791" s="105"/>
      <c r="E791" s="106"/>
      <c r="F791" s="105"/>
      <c r="G791" s="106"/>
      <c r="H791" s="105"/>
      <c r="I791" s="106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spans="1:26" ht="12.75" customHeight="1">
      <c r="A792" s="104"/>
      <c r="B792" s="104"/>
      <c r="C792" s="104"/>
      <c r="D792" s="105"/>
      <c r="E792" s="106"/>
      <c r="F792" s="105"/>
      <c r="G792" s="106"/>
      <c r="H792" s="105"/>
      <c r="I792" s="106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 spans="1:26" ht="12.75" customHeight="1">
      <c r="A793" s="104"/>
      <c r="B793" s="104"/>
      <c r="C793" s="104"/>
      <c r="D793" s="105"/>
      <c r="E793" s="106"/>
      <c r="F793" s="105"/>
      <c r="G793" s="106"/>
      <c r="H793" s="105"/>
      <c r="I793" s="106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 spans="1:26" ht="12.75" customHeight="1">
      <c r="A794" s="104"/>
      <c r="B794" s="104"/>
      <c r="C794" s="104"/>
      <c r="D794" s="105"/>
      <c r="E794" s="106"/>
      <c r="F794" s="105"/>
      <c r="G794" s="106"/>
      <c r="H794" s="105"/>
      <c r="I794" s="106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 spans="1:26" ht="12.75" customHeight="1">
      <c r="A795" s="104"/>
      <c r="B795" s="104"/>
      <c r="C795" s="104"/>
      <c r="D795" s="105"/>
      <c r="E795" s="106"/>
      <c r="F795" s="105"/>
      <c r="G795" s="106"/>
      <c r="H795" s="105"/>
      <c r="I795" s="106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 spans="1:26" ht="12.75" customHeight="1">
      <c r="A796" s="104"/>
      <c r="B796" s="104"/>
      <c r="C796" s="104"/>
      <c r="D796" s="105"/>
      <c r="E796" s="106"/>
      <c r="F796" s="105"/>
      <c r="G796" s="106"/>
      <c r="H796" s="105"/>
      <c r="I796" s="106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 spans="1:26" ht="12.75" customHeight="1">
      <c r="A797" s="104"/>
      <c r="B797" s="104"/>
      <c r="C797" s="104"/>
      <c r="D797" s="105"/>
      <c r="E797" s="106"/>
      <c r="F797" s="105"/>
      <c r="G797" s="106"/>
      <c r="H797" s="105"/>
      <c r="I797" s="106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 spans="1:26" ht="12.75" customHeight="1">
      <c r="A798" s="104"/>
      <c r="B798" s="104"/>
      <c r="C798" s="104"/>
      <c r="D798" s="105"/>
      <c r="E798" s="106"/>
      <c r="F798" s="105"/>
      <c r="G798" s="106"/>
      <c r="H798" s="105"/>
      <c r="I798" s="106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 spans="1:26" ht="12.75" customHeight="1">
      <c r="A799" s="104"/>
      <c r="B799" s="104"/>
      <c r="C799" s="104"/>
      <c r="D799" s="105"/>
      <c r="E799" s="106"/>
      <c r="F799" s="105"/>
      <c r="G799" s="106"/>
      <c r="H799" s="105"/>
      <c r="I799" s="106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 spans="1:26" ht="12.75" customHeight="1">
      <c r="A800" s="104"/>
      <c r="B800" s="104"/>
      <c r="C800" s="104"/>
      <c r="D800" s="105"/>
      <c r="E800" s="106"/>
      <c r="F800" s="105"/>
      <c r="G800" s="106"/>
      <c r="H800" s="105"/>
      <c r="I800" s="106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 spans="1:26" ht="12.75" customHeight="1">
      <c r="A801" s="104"/>
      <c r="B801" s="104"/>
      <c r="C801" s="104"/>
      <c r="D801" s="105"/>
      <c r="E801" s="106"/>
      <c r="F801" s="105"/>
      <c r="G801" s="106"/>
      <c r="H801" s="105"/>
      <c r="I801" s="106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 spans="1:26" ht="12.75" customHeight="1">
      <c r="A802" s="104"/>
      <c r="B802" s="104"/>
      <c r="C802" s="104"/>
      <c r="D802" s="105"/>
      <c r="E802" s="106"/>
      <c r="F802" s="105"/>
      <c r="G802" s="106"/>
      <c r="H802" s="105"/>
      <c r="I802" s="106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 spans="1:26" ht="12.75" customHeight="1">
      <c r="A803" s="104"/>
      <c r="B803" s="104"/>
      <c r="C803" s="104"/>
      <c r="D803" s="105"/>
      <c r="E803" s="106"/>
      <c r="F803" s="105"/>
      <c r="G803" s="106"/>
      <c r="H803" s="105"/>
      <c r="I803" s="106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 spans="1:26" ht="12.75" customHeight="1">
      <c r="A804" s="104"/>
      <c r="B804" s="104"/>
      <c r="C804" s="104"/>
      <c r="D804" s="105"/>
      <c r="E804" s="106"/>
      <c r="F804" s="105"/>
      <c r="G804" s="106"/>
      <c r="H804" s="105"/>
      <c r="I804" s="106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 spans="1:26" ht="12.75" customHeight="1">
      <c r="A805" s="104"/>
      <c r="B805" s="104"/>
      <c r="C805" s="104"/>
      <c r="D805" s="105"/>
      <c r="E805" s="106"/>
      <c r="F805" s="105"/>
      <c r="G805" s="106"/>
      <c r="H805" s="105"/>
      <c r="I805" s="106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 spans="1:26" ht="12.75" customHeight="1">
      <c r="A806" s="104"/>
      <c r="B806" s="104"/>
      <c r="C806" s="104"/>
      <c r="D806" s="105"/>
      <c r="E806" s="106"/>
      <c r="F806" s="105"/>
      <c r="G806" s="106"/>
      <c r="H806" s="105"/>
      <c r="I806" s="106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 spans="1:26" ht="12.75" customHeight="1">
      <c r="A807" s="104"/>
      <c r="B807" s="104"/>
      <c r="C807" s="104"/>
      <c r="D807" s="105"/>
      <c r="E807" s="106"/>
      <c r="F807" s="105"/>
      <c r="G807" s="106"/>
      <c r="H807" s="105"/>
      <c r="I807" s="106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spans="1:26" ht="12.75" customHeight="1">
      <c r="A808" s="104"/>
      <c r="B808" s="104"/>
      <c r="C808" s="104"/>
      <c r="D808" s="105"/>
      <c r="E808" s="106"/>
      <c r="F808" s="105"/>
      <c r="G808" s="106"/>
      <c r="H808" s="105"/>
      <c r="I808" s="106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 spans="1:26" ht="12.75" customHeight="1">
      <c r="A809" s="104"/>
      <c r="B809" s="104"/>
      <c r="C809" s="104"/>
      <c r="D809" s="105"/>
      <c r="E809" s="106"/>
      <c r="F809" s="105"/>
      <c r="G809" s="106"/>
      <c r="H809" s="105"/>
      <c r="I809" s="106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 spans="1:26" ht="12.75" customHeight="1">
      <c r="A810" s="104"/>
      <c r="B810" s="104"/>
      <c r="C810" s="104"/>
      <c r="D810" s="105"/>
      <c r="E810" s="106"/>
      <c r="F810" s="105"/>
      <c r="G810" s="106"/>
      <c r="H810" s="105"/>
      <c r="I810" s="106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 spans="1:26" ht="12.75" customHeight="1">
      <c r="A811" s="104"/>
      <c r="B811" s="104"/>
      <c r="C811" s="104"/>
      <c r="D811" s="105"/>
      <c r="E811" s="106"/>
      <c r="F811" s="105"/>
      <c r="G811" s="106"/>
      <c r="H811" s="105"/>
      <c r="I811" s="106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 spans="1:26" ht="12.75" customHeight="1">
      <c r="A812" s="104"/>
      <c r="B812" s="104"/>
      <c r="C812" s="104"/>
      <c r="D812" s="105"/>
      <c r="E812" s="106"/>
      <c r="F812" s="105"/>
      <c r="G812" s="106"/>
      <c r="H812" s="105"/>
      <c r="I812" s="106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 spans="1:26" ht="12.75" customHeight="1">
      <c r="A813" s="104"/>
      <c r="B813" s="104"/>
      <c r="C813" s="104"/>
      <c r="D813" s="105"/>
      <c r="E813" s="106"/>
      <c r="F813" s="105"/>
      <c r="G813" s="106"/>
      <c r="H813" s="105"/>
      <c r="I813" s="106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 spans="1:26" ht="12.75" customHeight="1">
      <c r="A814" s="104"/>
      <c r="B814" s="104"/>
      <c r="C814" s="104"/>
      <c r="D814" s="105"/>
      <c r="E814" s="106"/>
      <c r="F814" s="105"/>
      <c r="G814" s="106"/>
      <c r="H814" s="105"/>
      <c r="I814" s="106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 spans="1:26" ht="12.75" customHeight="1">
      <c r="A815" s="104"/>
      <c r="B815" s="104"/>
      <c r="C815" s="104"/>
      <c r="D815" s="105"/>
      <c r="E815" s="106"/>
      <c r="F815" s="105"/>
      <c r="G815" s="106"/>
      <c r="H815" s="105"/>
      <c r="I815" s="106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 spans="1:26" ht="12.75" customHeight="1">
      <c r="A816" s="104"/>
      <c r="B816" s="104"/>
      <c r="C816" s="104"/>
      <c r="D816" s="105"/>
      <c r="E816" s="106"/>
      <c r="F816" s="105"/>
      <c r="G816" s="106"/>
      <c r="H816" s="105"/>
      <c r="I816" s="106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 spans="1:26" ht="12.75" customHeight="1">
      <c r="A817" s="104"/>
      <c r="B817" s="104"/>
      <c r="C817" s="104"/>
      <c r="D817" s="105"/>
      <c r="E817" s="106"/>
      <c r="F817" s="105"/>
      <c r="G817" s="106"/>
      <c r="H817" s="105"/>
      <c r="I817" s="106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spans="1:26" ht="12.75" customHeight="1">
      <c r="A818" s="104"/>
      <c r="B818" s="104"/>
      <c r="C818" s="104"/>
      <c r="D818" s="105"/>
      <c r="E818" s="106"/>
      <c r="F818" s="105"/>
      <c r="G818" s="106"/>
      <c r="H818" s="105"/>
      <c r="I818" s="106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 spans="1:26" ht="12.75" customHeight="1">
      <c r="A819" s="104"/>
      <c r="B819" s="104"/>
      <c r="C819" s="104"/>
      <c r="D819" s="105"/>
      <c r="E819" s="106"/>
      <c r="F819" s="105"/>
      <c r="G819" s="106"/>
      <c r="H819" s="105"/>
      <c r="I819" s="106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 spans="1:26" ht="12.75" customHeight="1">
      <c r="A820" s="104"/>
      <c r="B820" s="104"/>
      <c r="C820" s="104"/>
      <c r="D820" s="105"/>
      <c r="E820" s="106"/>
      <c r="F820" s="105"/>
      <c r="G820" s="106"/>
      <c r="H820" s="105"/>
      <c r="I820" s="106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 spans="1:26" ht="12.75" customHeight="1">
      <c r="A821" s="104"/>
      <c r="B821" s="104"/>
      <c r="C821" s="104"/>
      <c r="D821" s="105"/>
      <c r="E821" s="106"/>
      <c r="F821" s="105"/>
      <c r="G821" s="106"/>
      <c r="H821" s="105"/>
      <c r="I821" s="106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 spans="1:26" ht="12.75" customHeight="1">
      <c r="A822" s="104"/>
      <c r="B822" s="104"/>
      <c r="C822" s="104"/>
      <c r="D822" s="105"/>
      <c r="E822" s="106"/>
      <c r="F822" s="105"/>
      <c r="G822" s="106"/>
      <c r="H822" s="105"/>
      <c r="I822" s="106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spans="1:26" ht="12.75" customHeight="1">
      <c r="A823" s="104"/>
      <c r="B823" s="104"/>
      <c r="C823" s="104"/>
      <c r="D823" s="105"/>
      <c r="E823" s="106"/>
      <c r="F823" s="105"/>
      <c r="G823" s="106"/>
      <c r="H823" s="105"/>
      <c r="I823" s="106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 spans="1:26" ht="12.75" customHeight="1">
      <c r="A824" s="104"/>
      <c r="B824" s="104"/>
      <c r="C824" s="104"/>
      <c r="D824" s="105"/>
      <c r="E824" s="106"/>
      <c r="F824" s="105"/>
      <c r="G824" s="106"/>
      <c r="H824" s="105"/>
      <c r="I824" s="106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 spans="1:26" ht="12.75" customHeight="1">
      <c r="A825" s="104"/>
      <c r="B825" s="104"/>
      <c r="C825" s="104"/>
      <c r="D825" s="105"/>
      <c r="E825" s="106"/>
      <c r="F825" s="105"/>
      <c r="G825" s="106"/>
      <c r="H825" s="105"/>
      <c r="I825" s="106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 spans="1:26" ht="12.75" customHeight="1">
      <c r="A826" s="104"/>
      <c r="B826" s="104"/>
      <c r="C826" s="104"/>
      <c r="D826" s="105"/>
      <c r="E826" s="106"/>
      <c r="F826" s="105"/>
      <c r="G826" s="106"/>
      <c r="H826" s="105"/>
      <c r="I826" s="106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 spans="1:26" ht="12.75" customHeight="1">
      <c r="A827" s="104"/>
      <c r="B827" s="104"/>
      <c r="C827" s="104"/>
      <c r="D827" s="105"/>
      <c r="E827" s="106"/>
      <c r="F827" s="105"/>
      <c r="G827" s="106"/>
      <c r="H827" s="105"/>
      <c r="I827" s="106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 spans="1:26" ht="12.75" customHeight="1">
      <c r="A828" s="104"/>
      <c r="B828" s="104"/>
      <c r="C828" s="104"/>
      <c r="D828" s="105"/>
      <c r="E828" s="106"/>
      <c r="F828" s="105"/>
      <c r="G828" s="106"/>
      <c r="H828" s="105"/>
      <c r="I828" s="106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 spans="1:26" ht="12.75" customHeight="1">
      <c r="A829" s="104"/>
      <c r="B829" s="104"/>
      <c r="C829" s="104"/>
      <c r="D829" s="105"/>
      <c r="E829" s="106"/>
      <c r="F829" s="105"/>
      <c r="G829" s="106"/>
      <c r="H829" s="105"/>
      <c r="I829" s="106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 spans="1:26" ht="12.75" customHeight="1">
      <c r="A830" s="104"/>
      <c r="B830" s="104"/>
      <c r="C830" s="104"/>
      <c r="D830" s="105"/>
      <c r="E830" s="106"/>
      <c r="F830" s="105"/>
      <c r="G830" s="106"/>
      <c r="H830" s="105"/>
      <c r="I830" s="106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 spans="1:26" ht="12.75" customHeight="1">
      <c r="A831" s="104"/>
      <c r="B831" s="104"/>
      <c r="C831" s="104"/>
      <c r="D831" s="105"/>
      <c r="E831" s="106"/>
      <c r="F831" s="105"/>
      <c r="G831" s="106"/>
      <c r="H831" s="105"/>
      <c r="I831" s="106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 spans="1:26" ht="12.75" customHeight="1">
      <c r="A832" s="104"/>
      <c r="B832" s="104"/>
      <c r="C832" s="104"/>
      <c r="D832" s="105"/>
      <c r="E832" s="106"/>
      <c r="F832" s="105"/>
      <c r="G832" s="106"/>
      <c r="H832" s="105"/>
      <c r="I832" s="106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 spans="1:26" ht="12.75" customHeight="1">
      <c r="A833" s="104"/>
      <c r="B833" s="104"/>
      <c r="C833" s="104"/>
      <c r="D833" s="105"/>
      <c r="E833" s="106"/>
      <c r="F833" s="105"/>
      <c r="G833" s="106"/>
      <c r="H833" s="105"/>
      <c r="I833" s="106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 spans="1:26" ht="12.75" customHeight="1">
      <c r="A834" s="104"/>
      <c r="B834" s="104"/>
      <c r="C834" s="104"/>
      <c r="D834" s="105"/>
      <c r="E834" s="106"/>
      <c r="F834" s="105"/>
      <c r="G834" s="106"/>
      <c r="H834" s="105"/>
      <c r="I834" s="106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 spans="1:26" ht="12.75" customHeight="1">
      <c r="A835" s="104"/>
      <c r="B835" s="104"/>
      <c r="C835" s="104"/>
      <c r="D835" s="105"/>
      <c r="E835" s="106"/>
      <c r="F835" s="105"/>
      <c r="G835" s="106"/>
      <c r="H835" s="105"/>
      <c r="I835" s="106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 spans="1:26" ht="12.75" customHeight="1">
      <c r="A836" s="104"/>
      <c r="B836" s="104"/>
      <c r="C836" s="104"/>
      <c r="D836" s="105"/>
      <c r="E836" s="106"/>
      <c r="F836" s="105"/>
      <c r="G836" s="106"/>
      <c r="H836" s="105"/>
      <c r="I836" s="106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 spans="1:26" ht="12.75" customHeight="1">
      <c r="A837" s="104"/>
      <c r="B837" s="104"/>
      <c r="C837" s="104"/>
      <c r="D837" s="105"/>
      <c r="E837" s="106"/>
      <c r="F837" s="105"/>
      <c r="G837" s="106"/>
      <c r="H837" s="105"/>
      <c r="I837" s="106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 spans="1:26" ht="12.75" customHeight="1">
      <c r="A838" s="104"/>
      <c r="B838" s="104"/>
      <c r="C838" s="104"/>
      <c r="D838" s="105"/>
      <c r="E838" s="106"/>
      <c r="F838" s="105"/>
      <c r="G838" s="106"/>
      <c r="H838" s="105"/>
      <c r="I838" s="106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 spans="1:26" ht="12.75" customHeight="1">
      <c r="A839" s="104"/>
      <c r="B839" s="104"/>
      <c r="C839" s="104"/>
      <c r="D839" s="105"/>
      <c r="E839" s="106"/>
      <c r="F839" s="105"/>
      <c r="G839" s="106"/>
      <c r="H839" s="105"/>
      <c r="I839" s="106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 spans="1:26" ht="12.75" customHeight="1">
      <c r="A840" s="104"/>
      <c r="B840" s="104"/>
      <c r="C840" s="104"/>
      <c r="D840" s="105"/>
      <c r="E840" s="106"/>
      <c r="F840" s="105"/>
      <c r="G840" s="106"/>
      <c r="H840" s="105"/>
      <c r="I840" s="106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 spans="1:26" ht="12.75" customHeight="1">
      <c r="A841" s="104"/>
      <c r="B841" s="104"/>
      <c r="C841" s="104"/>
      <c r="D841" s="105"/>
      <c r="E841" s="106"/>
      <c r="F841" s="105"/>
      <c r="G841" s="106"/>
      <c r="H841" s="105"/>
      <c r="I841" s="106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 spans="1:26" ht="12.75" customHeight="1">
      <c r="A842" s="104"/>
      <c r="B842" s="104"/>
      <c r="C842" s="104"/>
      <c r="D842" s="105"/>
      <c r="E842" s="106"/>
      <c r="F842" s="105"/>
      <c r="G842" s="106"/>
      <c r="H842" s="105"/>
      <c r="I842" s="106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 spans="1:26" ht="12.75" customHeight="1">
      <c r="A843" s="104"/>
      <c r="B843" s="104"/>
      <c r="C843" s="104"/>
      <c r="D843" s="105"/>
      <c r="E843" s="106"/>
      <c r="F843" s="105"/>
      <c r="G843" s="106"/>
      <c r="H843" s="105"/>
      <c r="I843" s="106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 spans="1:26" ht="12.75" customHeight="1">
      <c r="A844" s="104"/>
      <c r="B844" s="104"/>
      <c r="C844" s="104"/>
      <c r="D844" s="105"/>
      <c r="E844" s="106"/>
      <c r="F844" s="105"/>
      <c r="G844" s="106"/>
      <c r="H844" s="105"/>
      <c r="I844" s="106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 spans="1:26" ht="12.75" customHeight="1">
      <c r="A845" s="104"/>
      <c r="B845" s="104"/>
      <c r="C845" s="104"/>
      <c r="D845" s="105"/>
      <c r="E845" s="106"/>
      <c r="F845" s="105"/>
      <c r="G845" s="106"/>
      <c r="H845" s="105"/>
      <c r="I845" s="106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 spans="1:26" ht="12.75" customHeight="1">
      <c r="A846" s="104"/>
      <c r="B846" s="104"/>
      <c r="C846" s="104"/>
      <c r="D846" s="105"/>
      <c r="E846" s="106"/>
      <c r="F846" s="105"/>
      <c r="G846" s="106"/>
      <c r="H846" s="105"/>
      <c r="I846" s="106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 spans="1:26" ht="12.75" customHeight="1">
      <c r="A847" s="104"/>
      <c r="B847" s="104"/>
      <c r="C847" s="104"/>
      <c r="D847" s="105"/>
      <c r="E847" s="106"/>
      <c r="F847" s="105"/>
      <c r="G847" s="106"/>
      <c r="H847" s="105"/>
      <c r="I847" s="106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 spans="1:26" ht="12.75" customHeight="1">
      <c r="A848" s="104"/>
      <c r="B848" s="104"/>
      <c r="C848" s="104"/>
      <c r="D848" s="105"/>
      <c r="E848" s="106"/>
      <c r="F848" s="105"/>
      <c r="G848" s="106"/>
      <c r="H848" s="105"/>
      <c r="I848" s="106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 spans="1:26" ht="12.75" customHeight="1">
      <c r="A849" s="104"/>
      <c r="B849" s="104"/>
      <c r="C849" s="104"/>
      <c r="D849" s="105"/>
      <c r="E849" s="106"/>
      <c r="F849" s="105"/>
      <c r="G849" s="106"/>
      <c r="H849" s="105"/>
      <c r="I849" s="106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 spans="1:26" ht="12.75" customHeight="1">
      <c r="A850" s="104"/>
      <c r="B850" s="104"/>
      <c r="C850" s="104"/>
      <c r="D850" s="105"/>
      <c r="E850" s="106"/>
      <c r="F850" s="105"/>
      <c r="G850" s="106"/>
      <c r="H850" s="105"/>
      <c r="I850" s="106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 spans="1:26" ht="12.75" customHeight="1">
      <c r="A851" s="104"/>
      <c r="B851" s="104"/>
      <c r="C851" s="104"/>
      <c r="D851" s="105"/>
      <c r="E851" s="106"/>
      <c r="F851" s="105"/>
      <c r="G851" s="106"/>
      <c r="H851" s="105"/>
      <c r="I851" s="106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 spans="1:26" ht="12.75" customHeight="1">
      <c r="A852" s="104"/>
      <c r="B852" s="104"/>
      <c r="C852" s="104"/>
      <c r="D852" s="105"/>
      <c r="E852" s="106"/>
      <c r="F852" s="105"/>
      <c r="G852" s="106"/>
      <c r="H852" s="105"/>
      <c r="I852" s="106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 spans="1:26" ht="12.75" customHeight="1">
      <c r="A853" s="104"/>
      <c r="B853" s="104"/>
      <c r="C853" s="104"/>
      <c r="D853" s="105"/>
      <c r="E853" s="106"/>
      <c r="F853" s="105"/>
      <c r="G853" s="106"/>
      <c r="H853" s="105"/>
      <c r="I853" s="106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 spans="1:26" ht="12.75" customHeight="1">
      <c r="A854" s="104"/>
      <c r="B854" s="104"/>
      <c r="C854" s="104"/>
      <c r="D854" s="105"/>
      <c r="E854" s="106"/>
      <c r="F854" s="105"/>
      <c r="G854" s="106"/>
      <c r="H854" s="105"/>
      <c r="I854" s="106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 spans="1:26" ht="12.75" customHeight="1">
      <c r="A855" s="104"/>
      <c r="B855" s="104"/>
      <c r="C855" s="104"/>
      <c r="D855" s="105"/>
      <c r="E855" s="106"/>
      <c r="F855" s="105"/>
      <c r="G855" s="106"/>
      <c r="H855" s="105"/>
      <c r="I855" s="106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 spans="1:26" ht="12.75" customHeight="1">
      <c r="A856" s="104"/>
      <c r="B856" s="104"/>
      <c r="C856" s="104"/>
      <c r="D856" s="105"/>
      <c r="E856" s="106"/>
      <c r="F856" s="105"/>
      <c r="G856" s="106"/>
      <c r="H856" s="105"/>
      <c r="I856" s="106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 spans="1:26" ht="12.75" customHeight="1">
      <c r="A857" s="104"/>
      <c r="B857" s="104"/>
      <c r="C857" s="104"/>
      <c r="D857" s="105"/>
      <c r="E857" s="106"/>
      <c r="F857" s="105"/>
      <c r="G857" s="106"/>
      <c r="H857" s="105"/>
      <c r="I857" s="106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 spans="1:26" ht="12.75" customHeight="1">
      <c r="A858" s="104"/>
      <c r="B858" s="104"/>
      <c r="C858" s="104"/>
      <c r="D858" s="105"/>
      <c r="E858" s="106"/>
      <c r="F858" s="105"/>
      <c r="G858" s="106"/>
      <c r="H858" s="105"/>
      <c r="I858" s="106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 spans="1:26" ht="12.75" customHeight="1">
      <c r="A859" s="104"/>
      <c r="B859" s="104"/>
      <c r="C859" s="104"/>
      <c r="D859" s="105"/>
      <c r="E859" s="106"/>
      <c r="F859" s="105"/>
      <c r="G859" s="106"/>
      <c r="H859" s="105"/>
      <c r="I859" s="106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 spans="1:26" ht="12.75" customHeight="1">
      <c r="A860" s="104"/>
      <c r="B860" s="104"/>
      <c r="C860" s="104"/>
      <c r="D860" s="105"/>
      <c r="E860" s="106"/>
      <c r="F860" s="105"/>
      <c r="G860" s="106"/>
      <c r="H860" s="105"/>
      <c r="I860" s="106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 spans="1:26" ht="12.75" customHeight="1">
      <c r="A861" s="104"/>
      <c r="B861" s="104"/>
      <c r="C861" s="104"/>
      <c r="D861" s="105"/>
      <c r="E861" s="106"/>
      <c r="F861" s="105"/>
      <c r="G861" s="106"/>
      <c r="H861" s="105"/>
      <c r="I861" s="106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 spans="1:26" ht="12.75" customHeight="1">
      <c r="A862" s="104"/>
      <c r="B862" s="104"/>
      <c r="C862" s="104"/>
      <c r="D862" s="105"/>
      <c r="E862" s="106"/>
      <c r="F862" s="105"/>
      <c r="G862" s="106"/>
      <c r="H862" s="105"/>
      <c r="I862" s="106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 spans="1:26" ht="12.75" customHeight="1">
      <c r="A863" s="104"/>
      <c r="B863" s="104"/>
      <c r="C863" s="104"/>
      <c r="D863" s="105"/>
      <c r="E863" s="106"/>
      <c r="F863" s="105"/>
      <c r="G863" s="106"/>
      <c r="H863" s="105"/>
      <c r="I863" s="106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 spans="1:26" ht="12.75" customHeight="1">
      <c r="A864" s="104"/>
      <c r="B864" s="104"/>
      <c r="C864" s="104"/>
      <c r="D864" s="105"/>
      <c r="E864" s="106"/>
      <c r="F864" s="105"/>
      <c r="G864" s="106"/>
      <c r="H864" s="105"/>
      <c r="I864" s="106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 spans="1:26" ht="12.75" customHeight="1">
      <c r="A865" s="104"/>
      <c r="B865" s="104"/>
      <c r="C865" s="104"/>
      <c r="D865" s="105"/>
      <c r="E865" s="106"/>
      <c r="F865" s="105"/>
      <c r="G865" s="106"/>
      <c r="H865" s="105"/>
      <c r="I865" s="106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 spans="1:26" ht="12.75" customHeight="1">
      <c r="A866" s="104"/>
      <c r="B866" s="104"/>
      <c r="C866" s="104"/>
      <c r="D866" s="105"/>
      <c r="E866" s="106"/>
      <c r="F866" s="105"/>
      <c r="G866" s="106"/>
      <c r="H866" s="105"/>
      <c r="I866" s="106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 spans="1:26" ht="12.75" customHeight="1">
      <c r="A867" s="104"/>
      <c r="B867" s="104"/>
      <c r="C867" s="104"/>
      <c r="D867" s="105"/>
      <c r="E867" s="106"/>
      <c r="F867" s="105"/>
      <c r="G867" s="106"/>
      <c r="H867" s="105"/>
      <c r="I867" s="106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 spans="1:26" ht="12.75" customHeight="1">
      <c r="A868" s="104"/>
      <c r="B868" s="104"/>
      <c r="C868" s="104"/>
      <c r="D868" s="105"/>
      <c r="E868" s="106"/>
      <c r="F868" s="105"/>
      <c r="G868" s="106"/>
      <c r="H868" s="105"/>
      <c r="I868" s="106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 spans="1:26" ht="12.75" customHeight="1">
      <c r="A869" s="104"/>
      <c r="B869" s="104"/>
      <c r="C869" s="104"/>
      <c r="D869" s="105"/>
      <c r="E869" s="106"/>
      <c r="F869" s="105"/>
      <c r="G869" s="106"/>
      <c r="H869" s="105"/>
      <c r="I869" s="106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 spans="1:26" ht="12.75" customHeight="1">
      <c r="A870" s="104"/>
      <c r="B870" s="104"/>
      <c r="C870" s="104"/>
      <c r="D870" s="105"/>
      <c r="E870" s="106"/>
      <c r="F870" s="105"/>
      <c r="G870" s="106"/>
      <c r="H870" s="105"/>
      <c r="I870" s="106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 spans="1:26" ht="12.75" customHeight="1">
      <c r="A871" s="104"/>
      <c r="B871" s="104"/>
      <c r="C871" s="104"/>
      <c r="D871" s="105"/>
      <c r="E871" s="106"/>
      <c r="F871" s="105"/>
      <c r="G871" s="106"/>
      <c r="H871" s="105"/>
      <c r="I871" s="106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 spans="1:26" ht="12.75" customHeight="1">
      <c r="A872" s="104"/>
      <c r="B872" s="104"/>
      <c r="C872" s="104"/>
      <c r="D872" s="105"/>
      <c r="E872" s="106"/>
      <c r="F872" s="105"/>
      <c r="G872" s="106"/>
      <c r="H872" s="105"/>
      <c r="I872" s="106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 spans="1:26" ht="12.75" customHeight="1">
      <c r="A873" s="104"/>
      <c r="B873" s="104"/>
      <c r="C873" s="104"/>
      <c r="D873" s="105"/>
      <c r="E873" s="106"/>
      <c r="F873" s="105"/>
      <c r="G873" s="106"/>
      <c r="H873" s="105"/>
      <c r="I873" s="106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 spans="1:26" ht="12.75" customHeight="1">
      <c r="A874" s="104"/>
      <c r="B874" s="104"/>
      <c r="C874" s="104"/>
      <c r="D874" s="105"/>
      <c r="E874" s="106"/>
      <c r="F874" s="105"/>
      <c r="G874" s="106"/>
      <c r="H874" s="105"/>
      <c r="I874" s="106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 spans="1:26" ht="12.75" customHeight="1">
      <c r="A875" s="104"/>
      <c r="B875" s="104"/>
      <c r="C875" s="104"/>
      <c r="D875" s="105"/>
      <c r="E875" s="106"/>
      <c r="F875" s="105"/>
      <c r="G875" s="106"/>
      <c r="H875" s="105"/>
      <c r="I875" s="106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 spans="1:26" ht="12.75" customHeight="1">
      <c r="A876" s="104"/>
      <c r="B876" s="104"/>
      <c r="C876" s="104"/>
      <c r="D876" s="105"/>
      <c r="E876" s="106"/>
      <c r="F876" s="105"/>
      <c r="G876" s="106"/>
      <c r="H876" s="105"/>
      <c r="I876" s="106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 spans="1:26" ht="12.75" customHeight="1">
      <c r="A877" s="104"/>
      <c r="B877" s="104"/>
      <c r="C877" s="104"/>
      <c r="D877" s="105"/>
      <c r="E877" s="106"/>
      <c r="F877" s="105"/>
      <c r="G877" s="106"/>
      <c r="H877" s="105"/>
      <c r="I877" s="106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 spans="1:26" ht="12.75" customHeight="1">
      <c r="A878" s="104"/>
      <c r="B878" s="104"/>
      <c r="C878" s="104"/>
      <c r="D878" s="105"/>
      <c r="E878" s="106"/>
      <c r="F878" s="105"/>
      <c r="G878" s="106"/>
      <c r="H878" s="105"/>
      <c r="I878" s="106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 spans="1:26" ht="12.75" customHeight="1">
      <c r="A879" s="104"/>
      <c r="B879" s="104"/>
      <c r="C879" s="104"/>
      <c r="D879" s="105"/>
      <c r="E879" s="106"/>
      <c r="F879" s="105"/>
      <c r="G879" s="106"/>
      <c r="H879" s="105"/>
      <c r="I879" s="106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 spans="1:26" ht="12.75" customHeight="1">
      <c r="A880" s="104"/>
      <c r="B880" s="104"/>
      <c r="C880" s="104"/>
      <c r="D880" s="105"/>
      <c r="E880" s="106"/>
      <c r="F880" s="105"/>
      <c r="G880" s="106"/>
      <c r="H880" s="105"/>
      <c r="I880" s="106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 spans="1:26" ht="12.75" customHeight="1">
      <c r="A881" s="104"/>
      <c r="B881" s="104"/>
      <c r="C881" s="104"/>
      <c r="D881" s="105"/>
      <c r="E881" s="106"/>
      <c r="F881" s="105"/>
      <c r="G881" s="106"/>
      <c r="H881" s="105"/>
      <c r="I881" s="106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 spans="1:26" ht="12.75" customHeight="1">
      <c r="A882" s="104"/>
      <c r="B882" s="104"/>
      <c r="C882" s="104"/>
      <c r="D882" s="105"/>
      <c r="E882" s="106"/>
      <c r="F882" s="105"/>
      <c r="G882" s="106"/>
      <c r="H882" s="105"/>
      <c r="I882" s="106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 spans="1:26" ht="12.75" customHeight="1">
      <c r="A883" s="104"/>
      <c r="B883" s="104"/>
      <c r="C883" s="104"/>
      <c r="D883" s="105"/>
      <c r="E883" s="106"/>
      <c r="F883" s="105"/>
      <c r="G883" s="106"/>
      <c r="H883" s="105"/>
      <c r="I883" s="106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 spans="1:26" ht="12.75" customHeight="1">
      <c r="A884" s="104"/>
      <c r="B884" s="104"/>
      <c r="C884" s="104"/>
      <c r="D884" s="105"/>
      <c r="E884" s="106"/>
      <c r="F884" s="105"/>
      <c r="G884" s="106"/>
      <c r="H884" s="105"/>
      <c r="I884" s="106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 spans="1:26" ht="12.75" customHeight="1">
      <c r="A885" s="104"/>
      <c r="B885" s="104"/>
      <c r="C885" s="104"/>
      <c r="D885" s="105"/>
      <c r="E885" s="106"/>
      <c r="F885" s="105"/>
      <c r="G885" s="106"/>
      <c r="H885" s="105"/>
      <c r="I885" s="106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 spans="1:26" ht="12.75" customHeight="1">
      <c r="A886" s="104"/>
      <c r="B886" s="104"/>
      <c r="C886" s="104"/>
      <c r="D886" s="105"/>
      <c r="E886" s="106"/>
      <c r="F886" s="105"/>
      <c r="G886" s="106"/>
      <c r="H886" s="105"/>
      <c r="I886" s="106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 spans="1:26" ht="12.75" customHeight="1">
      <c r="A887" s="104"/>
      <c r="B887" s="104"/>
      <c r="C887" s="104"/>
      <c r="D887" s="105"/>
      <c r="E887" s="106"/>
      <c r="F887" s="105"/>
      <c r="G887" s="106"/>
      <c r="H887" s="105"/>
      <c r="I887" s="106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 spans="1:26" ht="12.75" customHeight="1">
      <c r="A888" s="104"/>
      <c r="B888" s="104"/>
      <c r="C888" s="104"/>
      <c r="D888" s="105"/>
      <c r="E888" s="106"/>
      <c r="F888" s="105"/>
      <c r="G888" s="106"/>
      <c r="H888" s="105"/>
      <c r="I888" s="106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 spans="1:26" ht="12.75" customHeight="1">
      <c r="A889" s="104"/>
      <c r="B889" s="104"/>
      <c r="C889" s="104"/>
      <c r="D889" s="105"/>
      <c r="E889" s="106"/>
      <c r="F889" s="105"/>
      <c r="G889" s="106"/>
      <c r="H889" s="105"/>
      <c r="I889" s="106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 spans="1:26" ht="12.75" customHeight="1">
      <c r="A890" s="104"/>
      <c r="B890" s="104"/>
      <c r="C890" s="104"/>
      <c r="D890" s="105"/>
      <c r="E890" s="106"/>
      <c r="F890" s="105"/>
      <c r="G890" s="106"/>
      <c r="H890" s="105"/>
      <c r="I890" s="106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 spans="1:26" ht="12.75" customHeight="1">
      <c r="A891" s="104"/>
      <c r="B891" s="104"/>
      <c r="C891" s="104"/>
      <c r="D891" s="105"/>
      <c r="E891" s="106"/>
      <c r="F891" s="105"/>
      <c r="G891" s="106"/>
      <c r="H891" s="105"/>
      <c r="I891" s="106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 spans="1:26" ht="12.75" customHeight="1">
      <c r="A892" s="104"/>
      <c r="B892" s="104"/>
      <c r="C892" s="104"/>
      <c r="D892" s="105"/>
      <c r="E892" s="106"/>
      <c r="F892" s="105"/>
      <c r="G892" s="106"/>
      <c r="H892" s="105"/>
      <c r="I892" s="106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 spans="1:26" ht="12.75" customHeight="1">
      <c r="A893" s="104"/>
      <c r="B893" s="104"/>
      <c r="C893" s="104"/>
      <c r="D893" s="105"/>
      <c r="E893" s="106"/>
      <c r="F893" s="105"/>
      <c r="G893" s="106"/>
      <c r="H893" s="105"/>
      <c r="I893" s="106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 spans="1:26" ht="12.75" customHeight="1">
      <c r="A894" s="104"/>
      <c r="B894" s="104"/>
      <c r="C894" s="104"/>
      <c r="D894" s="105"/>
      <c r="E894" s="106"/>
      <c r="F894" s="105"/>
      <c r="G894" s="106"/>
      <c r="H894" s="105"/>
      <c r="I894" s="106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 spans="1:26" ht="12.75" customHeight="1">
      <c r="A895" s="104"/>
      <c r="B895" s="104"/>
      <c r="C895" s="104"/>
      <c r="D895" s="105"/>
      <c r="E895" s="106"/>
      <c r="F895" s="105"/>
      <c r="G895" s="106"/>
      <c r="H895" s="105"/>
      <c r="I895" s="106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 spans="1:26" ht="12.75" customHeight="1">
      <c r="A896" s="104"/>
      <c r="B896" s="104"/>
      <c r="C896" s="104"/>
      <c r="D896" s="105"/>
      <c r="E896" s="106"/>
      <c r="F896" s="105"/>
      <c r="G896" s="106"/>
      <c r="H896" s="105"/>
      <c r="I896" s="106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 spans="1:26" ht="12.75" customHeight="1">
      <c r="A897" s="104"/>
      <c r="B897" s="104"/>
      <c r="C897" s="104"/>
      <c r="D897" s="105"/>
      <c r="E897" s="106"/>
      <c r="F897" s="105"/>
      <c r="G897" s="106"/>
      <c r="H897" s="105"/>
      <c r="I897" s="106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 spans="1:26" ht="12.75" customHeight="1">
      <c r="A898" s="104"/>
      <c r="B898" s="104"/>
      <c r="C898" s="104"/>
      <c r="D898" s="105"/>
      <c r="E898" s="106"/>
      <c r="F898" s="105"/>
      <c r="G898" s="106"/>
      <c r="H898" s="105"/>
      <c r="I898" s="106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 spans="1:26" ht="12.75" customHeight="1">
      <c r="A899" s="104"/>
      <c r="B899" s="104"/>
      <c r="C899" s="104"/>
      <c r="D899" s="105"/>
      <c r="E899" s="106"/>
      <c r="F899" s="105"/>
      <c r="G899" s="106"/>
      <c r="H899" s="105"/>
      <c r="I899" s="106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 spans="1:26" ht="12.75" customHeight="1">
      <c r="A900" s="104"/>
      <c r="B900" s="104"/>
      <c r="C900" s="104"/>
      <c r="D900" s="105"/>
      <c r="E900" s="106"/>
      <c r="F900" s="105"/>
      <c r="G900" s="106"/>
      <c r="H900" s="105"/>
      <c r="I900" s="106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 spans="1:26" ht="12.75" customHeight="1">
      <c r="A901" s="104"/>
      <c r="B901" s="104"/>
      <c r="C901" s="104"/>
      <c r="D901" s="105"/>
      <c r="E901" s="106"/>
      <c r="F901" s="105"/>
      <c r="G901" s="106"/>
      <c r="H901" s="105"/>
      <c r="I901" s="106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 spans="1:26" ht="12.75" customHeight="1">
      <c r="A902" s="104"/>
      <c r="B902" s="104"/>
      <c r="C902" s="104"/>
      <c r="D902" s="105"/>
      <c r="E902" s="106"/>
      <c r="F902" s="105"/>
      <c r="G902" s="106"/>
      <c r="H902" s="105"/>
      <c r="I902" s="106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 spans="1:26" ht="12.75" customHeight="1">
      <c r="A903" s="104"/>
      <c r="B903" s="104"/>
      <c r="C903" s="104"/>
      <c r="D903" s="105"/>
      <c r="E903" s="106"/>
      <c r="F903" s="105"/>
      <c r="G903" s="106"/>
      <c r="H903" s="105"/>
      <c r="I903" s="106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 spans="1:26" ht="12.75" customHeight="1">
      <c r="A904" s="104"/>
      <c r="B904" s="104"/>
      <c r="C904" s="104"/>
      <c r="D904" s="105"/>
      <c r="E904" s="106"/>
      <c r="F904" s="105"/>
      <c r="G904" s="106"/>
      <c r="H904" s="105"/>
      <c r="I904" s="106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 spans="1:26" ht="12.75" customHeight="1">
      <c r="A905" s="104"/>
      <c r="B905" s="104"/>
      <c r="C905" s="104"/>
      <c r="D905" s="105"/>
      <c r="E905" s="106"/>
      <c r="F905" s="105"/>
      <c r="G905" s="106"/>
      <c r="H905" s="105"/>
      <c r="I905" s="106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 spans="1:26" ht="12.75" customHeight="1">
      <c r="A906" s="104"/>
      <c r="B906" s="104"/>
      <c r="C906" s="104"/>
      <c r="D906" s="105"/>
      <c r="E906" s="106"/>
      <c r="F906" s="105"/>
      <c r="G906" s="106"/>
      <c r="H906" s="105"/>
      <c r="I906" s="106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 spans="1:26" ht="12.75" customHeight="1">
      <c r="A907" s="104"/>
      <c r="B907" s="104"/>
      <c r="C907" s="104"/>
      <c r="D907" s="105"/>
      <c r="E907" s="106"/>
      <c r="F907" s="105"/>
      <c r="G907" s="106"/>
      <c r="H907" s="105"/>
      <c r="I907" s="106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 spans="1:26" ht="12.75" customHeight="1">
      <c r="A908" s="104"/>
      <c r="B908" s="104"/>
      <c r="C908" s="104"/>
      <c r="D908" s="105"/>
      <c r="E908" s="106"/>
      <c r="F908" s="105"/>
      <c r="G908" s="106"/>
      <c r="H908" s="105"/>
      <c r="I908" s="106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 spans="1:26" ht="12.75" customHeight="1">
      <c r="A909" s="104"/>
      <c r="B909" s="104"/>
      <c r="C909" s="104"/>
      <c r="D909" s="105"/>
      <c r="E909" s="106"/>
      <c r="F909" s="105"/>
      <c r="G909" s="106"/>
      <c r="H909" s="105"/>
      <c r="I909" s="106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 spans="1:26" ht="12.75" customHeight="1">
      <c r="A910" s="104"/>
      <c r="B910" s="104"/>
      <c r="C910" s="104"/>
      <c r="D910" s="105"/>
      <c r="E910" s="106"/>
      <c r="F910" s="105"/>
      <c r="G910" s="106"/>
      <c r="H910" s="105"/>
      <c r="I910" s="106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 spans="1:26" ht="12.75" customHeight="1">
      <c r="A911" s="104"/>
      <c r="B911" s="104"/>
      <c r="C911" s="104"/>
      <c r="D911" s="105"/>
      <c r="E911" s="106"/>
      <c r="F911" s="105"/>
      <c r="G911" s="106"/>
      <c r="H911" s="105"/>
      <c r="I911" s="106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 spans="1:26" ht="12.75" customHeight="1">
      <c r="A912" s="104"/>
      <c r="B912" s="104"/>
      <c r="C912" s="104"/>
      <c r="D912" s="105"/>
      <c r="E912" s="106"/>
      <c r="F912" s="105"/>
      <c r="G912" s="106"/>
      <c r="H912" s="105"/>
      <c r="I912" s="106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 spans="1:26" ht="12.75" customHeight="1">
      <c r="A913" s="104"/>
      <c r="B913" s="104"/>
      <c r="C913" s="104"/>
      <c r="D913" s="105"/>
      <c r="E913" s="106"/>
      <c r="F913" s="105"/>
      <c r="G913" s="106"/>
      <c r="H913" s="105"/>
      <c r="I913" s="106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 spans="1:26" ht="12.75" customHeight="1">
      <c r="A914" s="104"/>
      <c r="B914" s="104"/>
      <c r="C914" s="104"/>
      <c r="D914" s="105"/>
      <c r="E914" s="106"/>
      <c r="F914" s="105"/>
      <c r="G914" s="106"/>
      <c r="H914" s="105"/>
      <c r="I914" s="106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 spans="1:26" ht="12.75" customHeight="1">
      <c r="A915" s="104"/>
      <c r="B915" s="104"/>
      <c r="C915" s="104"/>
      <c r="D915" s="105"/>
      <c r="E915" s="106"/>
      <c r="F915" s="105"/>
      <c r="G915" s="106"/>
      <c r="H915" s="105"/>
      <c r="I915" s="106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 spans="1:26" ht="12.75" customHeight="1">
      <c r="A916" s="104"/>
      <c r="B916" s="104"/>
      <c r="C916" s="104"/>
      <c r="D916" s="105"/>
      <c r="E916" s="106"/>
      <c r="F916" s="105"/>
      <c r="G916" s="106"/>
      <c r="H916" s="105"/>
      <c r="I916" s="106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 spans="1:26" ht="12.75" customHeight="1">
      <c r="A917" s="104"/>
      <c r="B917" s="104"/>
      <c r="C917" s="104"/>
      <c r="D917" s="105"/>
      <c r="E917" s="106"/>
      <c r="F917" s="105"/>
      <c r="G917" s="106"/>
      <c r="H917" s="105"/>
      <c r="I917" s="106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 spans="1:26" ht="12.75" customHeight="1">
      <c r="A918" s="104"/>
      <c r="B918" s="104"/>
      <c r="C918" s="104"/>
      <c r="D918" s="105"/>
      <c r="E918" s="106"/>
      <c r="F918" s="105"/>
      <c r="G918" s="106"/>
      <c r="H918" s="105"/>
      <c r="I918" s="106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 spans="1:26" ht="12.75" customHeight="1">
      <c r="A919" s="104"/>
      <c r="B919" s="104"/>
      <c r="C919" s="104"/>
      <c r="D919" s="105"/>
      <c r="E919" s="106"/>
      <c r="F919" s="105"/>
      <c r="G919" s="106"/>
      <c r="H919" s="105"/>
      <c r="I919" s="106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 spans="1:26" ht="12.75" customHeight="1">
      <c r="A920" s="104"/>
      <c r="B920" s="104"/>
      <c r="C920" s="104"/>
      <c r="D920" s="105"/>
      <c r="E920" s="106"/>
      <c r="F920" s="105"/>
      <c r="G920" s="106"/>
      <c r="H920" s="105"/>
      <c r="I920" s="106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 spans="1:26" ht="12.75" customHeight="1">
      <c r="A921" s="104"/>
      <c r="B921" s="104"/>
      <c r="C921" s="104"/>
      <c r="D921" s="105"/>
      <c r="E921" s="106"/>
      <c r="F921" s="105"/>
      <c r="G921" s="106"/>
      <c r="H921" s="105"/>
      <c r="I921" s="106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 spans="1:26" ht="12.75" customHeight="1">
      <c r="A922" s="104"/>
      <c r="B922" s="104"/>
      <c r="C922" s="104"/>
      <c r="D922" s="105"/>
      <c r="E922" s="106"/>
      <c r="F922" s="105"/>
      <c r="G922" s="106"/>
      <c r="H922" s="105"/>
      <c r="I922" s="106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 spans="1:26" ht="12.75" customHeight="1">
      <c r="A923" s="104"/>
      <c r="B923" s="104"/>
      <c r="C923" s="104"/>
      <c r="D923" s="105"/>
      <c r="E923" s="106"/>
      <c r="F923" s="105"/>
      <c r="G923" s="106"/>
      <c r="H923" s="105"/>
      <c r="I923" s="106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 spans="1:26" ht="12.75" customHeight="1">
      <c r="A924" s="104"/>
      <c r="B924" s="104"/>
      <c r="C924" s="104"/>
      <c r="D924" s="105"/>
      <c r="E924" s="106"/>
      <c r="F924" s="105"/>
      <c r="G924" s="106"/>
      <c r="H924" s="105"/>
      <c r="I924" s="106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 spans="1:26" ht="12.75" customHeight="1">
      <c r="A925" s="104"/>
      <c r="B925" s="104"/>
      <c r="C925" s="104"/>
      <c r="D925" s="105"/>
      <c r="E925" s="106"/>
      <c r="F925" s="105"/>
      <c r="G925" s="106"/>
      <c r="H925" s="105"/>
      <c r="I925" s="106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 spans="1:26" ht="12.75" customHeight="1">
      <c r="A926" s="104"/>
      <c r="B926" s="104"/>
      <c r="C926" s="104"/>
      <c r="D926" s="105"/>
      <c r="E926" s="106"/>
      <c r="F926" s="105"/>
      <c r="G926" s="106"/>
      <c r="H926" s="105"/>
      <c r="I926" s="106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 spans="1:26" ht="12.75" customHeight="1">
      <c r="A927" s="104"/>
      <c r="B927" s="104"/>
      <c r="C927" s="104"/>
      <c r="D927" s="105"/>
      <c r="E927" s="106"/>
      <c r="F927" s="105"/>
      <c r="G927" s="106"/>
      <c r="H927" s="105"/>
      <c r="I927" s="106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 spans="1:26" ht="12.75" customHeight="1">
      <c r="A928" s="104"/>
      <c r="B928" s="104"/>
      <c r="C928" s="104"/>
      <c r="D928" s="105"/>
      <c r="E928" s="106"/>
      <c r="F928" s="105"/>
      <c r="G928" s="106"/>
      <c r="H928" s="105"/>
      <c r="I928" s="106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 spans="1:26" ht="12.75" customHeight="1">
      <c r="A929" s="104"/>
      <c r="B929" s="104"/>
      <c r="C929" s="104"/>
      <c r="D929" s="105"/>
      <c r="E929" s="106"/>
      <c r="F929" s="105"/>
      <c r="G929" s="106"/>
      <c r="H929" s="105"/>
      <c r="I929" s="106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 spans="1:26" ht="12.75" customHeight="1">
      <c r="A930" s="104"/>
      <c r="B930" s="104"/>
      <c r="C930" s="104"/>
      <c r="D930" s="105"/>
      <c r="E930" s="106"/>
      <c r="F930" s="105"/>
      <c r="G930" s="106"/>
      <c r="H930" s="105"/>
      <c r="I930" s="106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 spans="1:26" ht="12.75" customHeight="1">
      <c r="A931" s="104"/>
      <c r="B931" s="104"/>
      <c r="C931" s="104"/>
      <c r="D931" s="105"/>
      <c r="E931" s="106"/>
      <c r="F931" s="105"/>
      <c r="G931" s="106"/>
      <c r="H931" s="105"/>
      <c r="I931" s="106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 spans="1:26" ht="12.75" customHeight="1">
      <c r="A932" s="104"/>
      <c r="B932" s="104"/>
      <c r="C932" s="104"/>
      <c r="D932" s="105"/>
      <c r="E932" s="106"/>
      <c r="F932" s="105"/>
      <c r="G932" s="106"/>
      <c r="H932" s="105"/>
      <c r="I932" s="106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 spans="1:26" ht="12.75" customHeight="1">
      <c r="A933" s="104"/>
      <c r="B933" s="104"/>
      <c r="C933" s="104"/>
      <c r="D933" s="105"/>
      <c r="E933" s="106"/>
      <c r="F933" s="105"/>
      <c r="G933" s="106"/>
      <c r="H933" s="105"/>
      <c r="I933" s="106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 spans="1:26" ht="12.75" customHeight="1">
      <c r="A934" s="104"/>
      <c r="B934" s="104"/>
      <c r="C934" s="104"/>
      <c r="D934" s="105"/>
      <c r="E934" s="106"/>
      <c r="F934" s="105"/>
      <c r="G934" s="106"/>
      <c r="H934" s="105"/>
      <c r="I934" s="106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 spans="1:26" ht="12.75" customHeight="1">
      <c r="A935" s="104"/>
      <c r="B935" s="104"/>
      <c r="C935" s="104"/>
      <c r="D935" s="105"/>
      <c r="E935" s="106"/>
      <c r="F935" s="105"/>
      <c r="G935" s="106"/>
      <c r="H935" s="105"/>
      <c r="I935" s="106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 spans="1:26" ht="12.75" customHeight="1">
      <c r="A936" s="104"/>
      <c r="B936" s="104"/>
      <c r="C936" s="104"/>
      <c r="D936" s="105"/>
      <c r="E936" s="106"/>
      <c r="F936" s="105"/>
      <c r="G936" s="106"/>
      <c r="H936" s="105"/>
      <c r="I936" s="106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 spans="1:26" ht="12.75" customHeight="1">
      <c r="A937" s="104"/>
      <c r="B937" s="104"/>
      <c r="C937" s="104"/>
      <c r="D937" s="105"/>
      <c r="E937" s="106"/>
      <c r="F937" s="105"/>
      <c r="G937" s="106"/>
      <c r="H937" s="105"/>
      <c r="I937" s="106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 spans="1:26" ht="12.75" customHeight="1">
      <c r="A938" s="104"/>
      <c r="B938" s="104"/>
      <c r="C938" s="104"/>
      <c r="D938" s="105"/>
      <c r="E938" s="106"/>
      <c r="F938" s="105"/>
      <c r="G938" s="106"/>
      <c r="H938" s="105"/>
      <c r="I938" s="106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 spans="1:26" ht="12.75" customHeight="1">
      <c r="A939" s="104"/>
      <c r="B939" s="104"/>
      <c r="C939" s="104"/>
      <c r="D939" s="105"/>
      <c r="E939" s="106"/>
      <c r="F939" s="105"/>
      <c r="G939" s="106"/>
      <c r="H939" s="105"/>
      <c r="I939" s="106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 spans="1:26" ht="12.75" customHeight="1">
      <c r="A940" s="104"/>
      <c r="B940" s="104"/>
      <c r="C940" s="104"/>
      <c r="D940" s="105"/>
      <c r="E940" s="106"/>
      <c r="F940" s="105"/>
      <c r="G940" s="106"/>
      <c r="H940" s="105"/>
      <c r="I940" s="106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 spans="1:26" ht="12.75" customHeight="1">
      <c r="A941" s="104"/>
      <c r="B941" s="104"/>
      <c r="C941" s="104"/>
      <c r="D941" s="105"/>
      <c r="E941" s="106"/>
      <c r="F941" s="105"/>
      <c r="G941" s="106"/>
      <c r="H941" s="105"/>
      <c r="I941" s="106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 spans="1:26" ht="12.75" customHeight="1">
      <c r="A942" s="104"/>
      <c r="B942" s="104"/>
      <c r="C942" s="104"/>
      <c r="D942" s="105"/>
      <c r="E942" s="106"/>
      <c r="F942" s="105"/>
      <c r="G942" s="106"/>
      <c r="H942" s="105"/>
      <c r="I942" s="106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 spans="1:26" ht="12.75" customHeight="1">
      <c r="A943" s="104"/>
      <c r="B943" s="104"/>
      <c r="C943" s="104"/>
      <c r="D943" s="105"/>
      <c r="E943" s="106"/>
      <c r="F943" s="105"/>
      <c r="G943" s="106"/>
      <c r="H943" s="105"/>
      <c r="I943" s="106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 spans="1:26" ht="12.75" customHeight="1">
      <c r="A944" s="104"/>
      <c r="B944" s="104"/>
      <c r="C944" s="104"/>
      <c r="D944" s="105"/>
      <c r="E944" s="106"/>
      <c r="F944" s="105"/>
      <c r="G944" s="106"/>
      <c r="H944" s="105"/>
      <c r="I944" s="106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 spans="1:26" ht="12.75" customHeight="1">
      <c r="A945" s="104"/>
      <c r="B945" s="104"/>
      <c r="C945" s="104"/>
      <c r="D945" s="105"/>
      <c r="E945" s="106"/>
      <c r="F945" s="105"/>
      <c r="G945" s="106"/>
      <c r="H945" s="105"/>
      <c r="I945" s="106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 spans="1:26" ht="12.75" customHeight="1">
      <c r="A946" s="104"/>
      <c r="B946" s="104"/>
      <c r="C946" s="104"/>
      <c r="D946" s="105"/>
      <c r="E946" s="106"/>
      <c r="F946" s="105"/>
      <c r="G946" s="106"/>
      <c r="H946" s="105"/>
      <c r="I946" s="106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 spans="1:26" ht="12.75" customHeight="1">
      <c r="A947" s="104"/>
      <c r="B947" s="104"/>
      <c r="C947" s="104"/>
      <c r="D947" s="105"/>
      <c r="E947" s="106"/>
      <c r="F947" s="105"/>
      <c r="G947" s="106"/>
      <c r="H947" s="105"/>
      <c r="I947" s="106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 spans="1:26" ht="12.75" customHeight="1">
      <c r="A948" s="104"/>
      <c r="B948" s="104"/>
      <c r="C948" s="104"/>
      <c r="D948" s="105"/>
      <c r="E948" s="106"/>
      <c r="F948" s="105"/>
      <c r="G948" s="106"/>
      <c r="H948" s="105"/>
      <c r="I948" s="106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 spans="1:26" ht="12.75" customHeight="1">
      <c r="A949" s="104"/>
      <c r="B949" s="104"/>
      <c r="C949" s="104"/>
      <c r="D949" s="105"/>
      <c r="E949" s="106"/>
      <c r="F949" s="105"/>
      <c r="G949" s="106"/>
      <c r="H949" s="105"/>
      <c r="I949" s="106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 spans="1:26" ht="12.75" customHeight="1">
      <c r="A950" s="104"/>
      <c r="B950" s="104"/>
      <c r="C950" s="104"/>
      <c r="D950" s="105"/>
      <c r="E950" s="106"/>
      <c r="F950" s="105"/>
      <c r="G950" s="106"/>
      <c r="H950" s="105"/>
      <c r="I950" s="106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 spans="1:26" ht="12.75" customHeight="1">
      <c r="A951" s="104"/>
      <c r="B951" s="104"/>
      <c r="C951" s="104"/>
      <c r="D951" s="105"/>
      <c r="E951" s="106"/>
      <c r="F951" s="105"/>
      <c r="G951" s="106"/>
      <c r="H951" s="105"/>
      <c r="I951" s="106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 spans="1:26" ht="12.75" customHeight="1">
      <c r="A952" s="104"/>
      <c r="B952" s="104"/>
      <c r="C952" s="104"/>
      <c r="D952" s="105"/>
      <c r="E952" s="106"/>
      <c r="F952" s="105"/>
      <c r="G952" s="106"/>
      <c r="H952" s="105"/>
      <c r="I952" s="106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 spans="1:26" ht="12.75" customHeight="1">
      <c r="A953" s="104"/>
      <c r="B953" s="104"/>
      <c r="C953" s="104"/>
      <c r="D953" s="105"/>
      <c r="E953" s="106"/>
      <c r="F953" s="105"/>
      <c r="G953" s="106"/>
      <c r="H953" s="105"/>
      <c r="I953" s="106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 spans="1:26" ht="12.75" customHeight="1">
      <c r="A954" s="104"/>
      <c r="B954" s="104"/>
      <c r="C954" s="104"/>
      <c r="D954" s="105"/>
      <c r="E954" s="106"/>
      <c r="F954" s="105"/>
      <c r="G954" s="106"/>
      <c r="H954" s="105"/>
      <c r="I954" s="106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  <row r="955" spans="1:26" ht="12.75" customHeight="1">
      <c r="A955" s="104"/>
      <c r="B955" s="104"/>
      <c r="C955" s="104"/>
      <c r="D955" s="105"/>
      <c r="E955" s="106"/>
      <c r="F955" s="105"/>
      <c r="G955" s="106"/>
      <c r="H955" s="105"/>
      <c r="I955" s="106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</row>
    <row r="956" spans="1:26" ht="12.75" customHeight="1">
      <c r="A956" s="104"/>
      <c r="B956" s="104"/>
      <c r="C956" s="104"/>
      <c r="D956" s="105"/>
      <c r="E956" s="106"/>
      <c r="F956" s="105"/>
      <c r="G956" s="106"/>
      <c r="H956" s="105"/>
      <c r="I956" s="106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</row>
    <row r="957" spans="1:26" ht="12.75" customHeight="1">
      <c r="A957" s="104"/>
      <c r="B957" s="104"/>
      <c r="C957" s="104"/>
      <c r="D957" s="105"/>
      <c r="E957" s="106"/>
      <c r="F957" s="105"/>
      <c r="G957" s="106"/>
      <c r="H957" s="105"/>
      <c r="I957" s="106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</row>
    <row r="958" spans="1:26" ht="12.75" customHeight="1">
      <c r="A958" s="104"/>
      <c r="B958" s="104"/>
      <c r="C958" s="104"/>
      <c r="D958" s="105"/>
      <c r="E958" s="106"/>
      <c r="F958" s="105"/>
      <c r="G958" s="106"/>
      <c r="H958" s="105"/>
      <c r="I958" s="106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</row>
    <row r="959" spans="1:26" ht="12.75" customHeight="1">
      <c r="A959" s="104"/>
      <c r="B959" s="104"/>
      <c r="C959" s="104"/>
      <c r="D959" s="105"/>
      <c r="E959" s="106"/>
      <c r="F959" s="105"/>
      <c r="G959" s="106"/>
      <c r="H959" s="105"/>
      <c r="I959" s="106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</row>
    <row r="960" spans="1:26" ht="12.75" customHeight="1">
      <c r="A960" s="104"/>
      <c r="B960" s="104"/>
      <c r="C960" s="104"/>
      <c r="D960" s="105"/>
      <c r="E960" s="106"/>
      <c r="F960" s="105"/>
      <c r="G960" s="106"/>
      <c r="H960" s="105"/>
      <c r="I960" s="106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</row>
    <row r="961" spans="1:26" ht="12.75" customHeight="1">
      <c r="A961" s="104"/>
      <c r="B961" s="104"/>
      <c r="C961" s="104"/>
      <c r="D961" s="105"/>
      <c r="E961" s="106"/>
      <c r="F961" s="105"/>
      <c r="G961" s="106"/>
      <c r="H961" s="105"/>
      <c r="I961" s="106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</row>
    <row r="962" spans="1:26" ht="12.75" customHeight="1">
      <c r="A962" s="104"/>
      <c r="B962" s="104"/>
      <c r="C962" s="104"/>
      <c r="D962" s="105"/>
      <c r="E962" s="106"/>
      <c r="F962" s="105"/>
      <c r="G962" s="106"/>
      <c r="H962" s="105"/>
      <c r="I962" s="106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</row>
    <row r="963" spans="1:26" ht="12.75" customHeight="1">
      <c r="A963" s="104"/>
      <c r="B963" s="104"/>
      <c r="C963" s="104"/>
      <c r="D963" s="105"/>
      <c r="E963" s="106"/>
      <c r="F963" s="105"/>
      <c r="G963" s="106"/>
      <c r="H963" s="105"/>
      <c r="I963" s="106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</row>
    <row r="964" spans="1:26" ht="12.75" customHeight="1">
      <c r="A964" s="104"/>
      <c r="B964" s="104"/>
      <c r="C964" s="104"/>
      <c r="D964" s="105"/>
      <c r="E964" s="106"/>
      <c r="F964" s="105"/>
      <c r="G964" s="106"/>
      <c r="H964" s="105"/>
      <c r="I964" s="106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</row>
    <row r="965" spans="1:26" ht="12.75" customHeight="1">
      <c r="A965" s="104"/>
      <c r="B965" s="104"/>
      <c r="C965" s="104"/>
      <c r="D965" s="105"/>
      <c r="E965" s="106"/>
      <c r="F965" s="105"/>
      <c r="G965" s="106"/>
      <c r="H965" s="105"/>
      <c r="I965" s="106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</row>
    <row r="966" spans="1:26" ht="12.75" customHeight="1">
      <c r="A966" s="104"/>
      <c r="B966" s="104"/>
      <c r="C966" s="104"/>
      <c r="D966" s="105"/>
      <c r="E966" s="106"/>
      <c r="F966" s="105"/>
      <c r="G966" s="106"/>
      <c r="H966" s="105"/>
      <c r="I966" s="106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</row>
    <row r="967" spans="1:26" ht="12.75" customHeight="1">
      <c r="A967" s="104"/>
      <c r="B967" s="104"/>
      <c r="C967" s="104"/>
      <c r="D967" s="105"/>
      <c r="E967" s="106"/>
      <c r="F967" s="105"/>
      <c r="G967" s="106"/>
      <c r="H967" s="105"/>
      <c r="I967" s="106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</row>
    <row r="968" spans="1:26" ht="12.75" customHeight="1">
      <c r="A968" s="104"/>
      <c r="B968" s="104"/>
      <c r="C968" s="104"/>
      <c r="D968" s="105"/>
      <c r="E968" s="106"/>
      <c r="F968" s="105"/>
      <c r="G968" s="106"/>
      <c r="H968" s="105"/>
      <c r="I968" s="106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</row>
    <row r="969" spans="1:26" ht="12.75" customHeight="1">
      <c r="A969" s="104"/>
      <c r="B969" s="104"/>
      <c r="C969" s="104"/>
      <c r="D969" s="105"/>
      <c r="E969" s="106"/>
      <c r="F969" s="105"/>
      <c r="G969" s="106"/>
      <c r="H969" s="105"/>
      <c r="I969" s="106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</row>
    <row r="970" spans="1:26" ht="12.75" customHeight="1">
      <c r="A970" s="104"/>
      <c r="B970" s="104"/>
      <c r="C970" s="104"/>
      <c r="D970" s="105"/>
      <c r="E970" s="106"/>
      <c r="F970" s="105"/>
      <c r="G970" s="106"/>
      <c r="H970" s="105"/>
      <c r="I970" s="106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</row>
    <row r="971" spans="1:26" ht="12.75" customHeight="1">
      <c r="A971" s="104"/>
      <c r="B971" s="104"/>
      <c r="C971" s="104"/>
      <c r="D971" s="105"/>
      <c r="E971" s="106"/>
      <c r="F971" s="105"/>
      <c r="G971" s="106"/>
      <c r="H971" s="105"/>
      <c r="I971" s="106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</row>
    <row r="972" spans="1:26" ht="12.75" customHeight="1">
      <c r="A972" s="104"/>
      <c r="B972" s="104"/>
      <c r="C972" s="104"/>
      <c r="D972" s="105"/>
      <c r="E972" s="106"/>
      <c r="F972" s="105"/>
      <c r="G972" s="106"/>
      <c r="H972" s="105"/>
      <c r="I972" s="106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</row>
    <row r="973" spans="1:26" ht="12.75" customHeight="1">
      <c r="A973" s="104"/>
      <c r="B973" s="104"/>
      <c r="C973" s="104"/>
      <c r="D973" s="105"/>
      <c r="E973" s="106"/>
      <c r="F973" s="105"/>
      <c r="G973" s="106"/>
      <c r="H973" s="105"/>
      <c r="I973" s="106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</row>
    <row r="974" spans="1:26" ht="12.75" customHeight="1">
      <c r="A974" s="104"/>
      <c r="B974" s="104"/>
      <c r="C974" s="104"/>
      <c r="D974" s="105"/>
      <c r="E974" s="106"/>
      <c r="F974" s="105"/>
      <c r="G974" s="106"/>
      <c r="H974" s="105"/>
      <c r="I974" s="106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</row>
    <row r="975" spans="1:26" ht="12.75" customHeight="1">
      <c r="A975" s="104"/>
      <c r="B975" s="104"/>
      <c r="C975" s="104"/>
      <c r="D975" s="105"/>
      <c r="E975" s="106"/>
      <c r="F975" s="105"/>
      <c r="G975" s="106"/>
      <c r="H975" s="105"/>
      <c r="I975" s="106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</row>
    <row r="976" spans="1:26" ht="12.75" customHeight="1">
      <c r="A976" s="104"/>
      <c r="B976" s="104"/>
      <c r="C976" s="104"/>
      <c r="D976" s="105"/>
      <c r="E976" s="106"/>
      <c r="F976" s="105"/>
      <c r="G976" s="106"/>
      <c r="H976" s="105"/>
      <c r="I976" s="106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</row>
    <row r="977" spans="1:26" ht="12.75" customHeight="1">
      <c r="A977" s="104"/>
      <c r="B977" s="104"/>
      <c r="C977" s="104"/>
      <c r="D977" s="105"/>
      <c r="E977" s="106"/>
      <c r="F977" s="105"/>
      <c r="G977" s="106"/>
      <c r="H977" s="105"/>
      <c r="I977" s="106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</row>
    <row r="978" spans="1:26" ht="12.75" customHeight="1">
      <c r="A978" s="104"/>
      <c r="B978" s="104"/>
      <c r="C978" s="104"/>
      <c r="D978" s="105"/>
      <c r="E978" s="106"/>
      <c r="F978" s="105"/>
      <c r="G978" s="106"/>
      <c r="H978" s="105"/>
      <c r="I978" s="106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</row>
    <row r="979" spans="1:26" ht="12.75" customHeight="1">
      <c r="A979" s="104"/>
      <c r="B979" s="104"/>
      <c r="C979" s="104"/>
      <c r="D979" s="105"/>
      <c r="E979" s="106"/>
      <c r="F979" s="105"/>
      <c r="G979" s="106"/>
      <c r="H979" s="105"/>
      <c r="I979" s="106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</row>
    <row r="980" spans="1:26" ht="12.75" customHeight="1">
      <c r="A980" s="104"/>
      <c r="B980" s="104"/>
      <c r="C980" s="104"/>
      <c r="D980" s="105"/>
      <c r="E980" s="106"/>
      <c r="F980" s="105"/>
      <c r="G980" s="106"/>
      <c r="H980" s="105"/>
      <c r="I980" s="106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</row>
    <row r="981" spans="1:26" ht="12.75" customHeight="1">
      <c r="A981" s="104"/>
      <c r="B981" s="104"/>
      <c r="C981" s="104"/>
      <c r="D981" s="105"/>
      <c r="E981" s="106"/>
      <c r="F981" s="105"/>
      <c r="G981" s="106"/>
      <c r="H981" s="105"/>
      <c r="I981" s="106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</row>
    <row r="982" spans="1:26" ht="12.75" customHeight="1">
      <c r="A982" s="104"/>
      <c r="B982" s="104"/>
      <c r="C982" s="104"/>
      <c r="D982" s="105"/>
      <c r="E982" s="106"/>
      <c r="F982" s="105"/>
      <c r="G982" s="106"/>
      <c r="H982" s="105"/>
      <c r="I982" s="106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</row>
    <row r="983" spans="1:26" ht="12.75" customHeight="1">
      <c r="A983" s="104"/>
      <c r="B983" s="104"/>
      <c r="C983" s="104"/>
      <c r="D983" s="105"/>
      <c r="E983" s="106"/>
      <c r="F983" s="105"/>
      <c r="G983" s="106"/>
      <c r="H983" s="105"/>
      <c r="I983" s="106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</row>
    <row r="984" spans="1:26" ht="12.75" customHeight="1">
      <c r="A984" s="104"/>
      <c r="B984" s="104"/>
      <c r="C984" s="104"/>
      <c r="D984" s="105"/>
      <c r="E984" s="106"/>
      <c r="F984" s="105"/>
      <c r="G984" s="106"/>
      <c r="H984" s="105"/>
      <c r="I984" s="106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 spans="1:26" ht="12.75" customHeight="1">
      <c r="A985" s="104"/>
      <c r="B985" s="104"/>
      <c r="C985" s="104"/>
      <c r="D985" s="105"/>
      <c r="E985" s="106"/>
      <c r="F985" s="105"/>
      <c r="G985" s="106"/>
      <c r="H985" s="105"/>
      <c r="I985" s="106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</row>
    <row r="986" spans="1:26" ht="12.75" customHeight="1">
      <c r="A986" s="104"/>
      <c r="B986" s="104"/>
      <c r="C986" s="104"/>
      <c r="D986" s="105"/>
      <c r="E986" s="106"/>
      <c r="F986" s="105"/>
      <c r="G986" s="106"/>
      <c r="H986" s="105"/>
      <c r="I986" s="106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</row>
    <row r="987" spans="1:26" ht="12.75" customHeight="1">
      <c r="A987" s="104"/>
      <c r="B987" s="104"/>
      <c r="C987" s="104"/>
      <c r="D987" s="105"/>
      <c r="E987" s="106"/>
      <c r="F987" s="105"/>
      <c r="G987" s="106"/>
      <c r="H987" s="105"/>
      <c r="I987" s="106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</row>
    <row r="988" spans="1:26" ht="12.75" customHeight="1">
      <c r="A988" s="104"/>
      <c r="B988" s="104"/>
      <c r="C988" s="104"/>
      <c r="D988" s="105"/>
      <c r="E988" s="106"/>
      <c r="F988" s="105"/>
      <c r="G988" s="106"/>
      <c r="H988" s="105"/>
      <c r="I988" s="106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</row>
    <row r="989" spans="1:26" ht="12.75" customHeight="1">
      <c r="A989" s="104"/>
      <c r="B989" s="104"/>
      <c r="C989" s="104"/>
      <c r="D989" s="105"/>
      <c r="E989" s="106"/>
      <c r="F989" s="105"/>
      <c r="G989" s="106"/>
      <c r="H989" s="105"/>
      <c r="I989" s="106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</row>
    <row r="990" spans="1:26" ht="12.75" customHeight="1">
      <c r="A990" s="104"/>
      <c r="B990" s="104"/>
      <c r="C990" s="104"/>
      <c r="D990" s="105"/>
      <c r="E990" s="106"/>
      <c r="F990" s="105"/>
      <c r="G990" s="106"/>
      <c r="H990" s="105"/>
      <c r="I990" s="106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</row>
    <row r="991" spans="1:26" ht="12.75" customHeight="1">
      <c r="A991" s="104"/>
      <c r="B991" s="104"/>
      <c r="C991" s="104"/>
      <c r="D991" s="105"/>
      <c r="E991" s="106"/>
      <c r="F991" s="105"/>
      <c r="G991" s="106"/>
      <c r="H991" s="105"/>
      <c r="I991" s="106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</row>
    <row r="992" spans="1:26" ht="12.75" customHeight="1">
      <c r="A992" s="104"/>
      <c r="B992" s="104"/>
      <c r="C992" s="104"/>
      <c r="D992" s="105"/>
      <c r="E992" s="106"/>
      <c r="F992" s="105"/>
      <c r="G992" s="106"/>
      <c r="H992" s="105"/>
      <c r="I992" s="106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</row>
    <row r="993" spans="1:26" ht="12.75" customHeight="1">
      <c r="A993" s="104"/>
      <c r="B993" s="104"/>
      <c r="C993" s="104"/>
      <c r="D993" s="105"/>
      <c r="E993" s="106"/>
      <c r="F993" s="105"/>
      <c r="G993" s="106"/>
      <c r="H993" s="105"/>
      <c r="I993" s="106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</row>
    <row r="994" spans="1:26" ht="12.75" customHeight="1">
      <c r="A994" s="104"/>
      <c r="B994" s="104"/>
      <c r="C994" s="104"/>
      <c r="D994" s="105"/>
      <c r="E994" s="106"/>
      <c r="F994" s="105"/>
      <c r="G994" s="106"/>
      <c r="H994" s="105"/>
      <c r="I994" s="106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</row>
    <row r="995" spans="1:26" ht="12.75" customHeight="1">
      <c r="A995" s="104"/>
      <c r="B995" s="104"/>
      <c r="C995" s="104"/>
      <c r="D995" s="105"/>
      <c r="E995" s="106"/>
      <c r="F995" s="105"/>
      <c r="G995" s="106"/>
      <c r="H995" s="105"/>
      <c r="I995" s="106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</row>
    <row r="996" spans="1:26" ht="12.75" customHeight="1">
      <c r="A996" s="104"/>
      <c r="B996" s="104"/>
      <c r="C996" s="104"/>
      <c r="D996" s="105"/>
      <c r="E996" s="106"/>
      <c r="F996" s="105"/>
      <c r="G996" s="106"/>
      <c r="H996" s="105"/>
      <c r="I996" s="106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</row>
    <row r="997" spans="1:26" ht="12.75" customHeight="1">
      <c r="A997" s="104"/>
      <c r="B997" s="104"/>
      <c r="C997" s="104"/>
      <c r="D997" s="105"/>
      <c r="E997" s="106"/>
      <c r="F997" s="105"/>
      <c r="G997" s="106"/>
      <c r="H997" s="105"/>
      <c r="I997" s="106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</row>
    <row r="998" spans="1:26" ht="12.75" customHeight="1">
      <c r="A998" s="104"/>
      <c r="B998" s="104"/>
      <c r="C998" s="104"/>
      <c r="D998" s="105"/>
      <c r="E998" s="106"/>
      <c r="F998" s="105"/>
      <c r="G998" s="106"/>
      <c r="H998" s="105"/>
      <c r="I998" s="106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</row>
    <row r="999" spans="1:26" ht="12.75" customHeight="1">
      <c r="A999" s="104"/>
      <c r="B999" s="104"/>
      <c r="C999" s="104"/>
      <c r="D999" s="105"/>
      <c r="E999" s="106"/>
      <c r="F999" s="105"/>
      <c r="G999" s="106"/>
      <c r="H999" s="105"/>
      <c r="I999" s="106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</row>
    <row r="1000" spans="1:26" ht="12.75" customHeight="1">
      <c r="A1000" s="104"/>
      <c r="B1000" s="104"/>
      <c r="C1000" s="104"/>
      <c r="D1000" s="105"/>
      <c r="E1000" s="106"/>
      <c r="F1000" s="105"/>
      <c r="G1000" s="106"/>
      <c r="H1000" s="105"/>
      <c r="I1000" s="106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</row>
  </sheetData>
  <mergeCells count="3">
    <mergeCell ref="D2:E2"/>
    <mergeCell ref="F2:G2"/>
    <mergeCell ref="H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/>
  </sheetViews>
  <sheetFormatPr defaultColWidth="15.140625" defaultRowHeight="15" customHeight="1"/>
  <cols>
    <col min="1" max="1" width="15.85546875" customWidth="1"/>
    <col min="2" max="2" width="15.140625" customWidth="1"/>
    <col min="3" max="4" width="7" customWidth="1"/>
    <col min="5" max="5" width="10.140625" customWidth="1"/>
    <col min="6" max="6" width="11.28515625" customWidth="1"/>
    <col min="7" max="7" width="10.28515625" customWidth="1"/>
    <col min="8" max="8" width="11.42578125" customWidth="1"/>
    <col min="9" max="9" width="10" customWidth="1"/>
    <col min="10" max="10" width="11.5703125" customWidth="1"/>
    <col min="11" max="26" width="7" customWidth="1"/>
  </cols>
  <sheetData>
    <row r="1" spans="1:10">
      <c r="A1" s="66"/>
      <c r="B1" s="66"/>
      <c r="E1" s="66"/>
      <c r="F1" s="66"/>
      <c r="G1" s="66"/>
      <c r="H1" s="66"/>
      <c r="I1" s="66"/>
      <c r="J1" s="66"/>
    </row>
    <row r="2" spans="1:10">
      <c r="A2" s="66"/>
      <c r="B2" s="66"/>
      <c r="E2" s="66"/>
      <c r="F2" s="66"/>
      <c r="G2" s="66"/>
      <c r="H2" s="66"/>
      <c r="I2" s="66"/>
      <c r="J2" s="66"/>
    </row>
    <row r="3" spans="1:10" ht="30" customHeight="1">
      <c r="A3" s="66" t="s">
        <v>219</v>
      </c>
      <c r="B3" s="66"/>
      <c r="E3" s="66"/>
      <c r="F3" s="171" t="s">
        <v>220</v>
      </c>
      <c r="G3" s="171"/>
      <c r="H3" s="171" t="s">
        <v>221</v>
      </c>
      <c r="I3" s="171"/>
      <c r="J3" s="171" t="s">
        <v>222</v>
      </c>
    </row>
    <row r="4" spans="1:10">
      <c r="A4" s="66"/>
      <c r="B4" s="66"/>
      <c r="E4" s="66"/>
      <c r="F4" s="66"/>
      <c r="G4" s="66"/>
      <c r="H4" s="66"/>
      <c r="I4" s="66"/>
      <c r="J4" s="66"/>
    </row>
    <row r="5" spans="1:10">
      <c r="A5" s="172" t="s">
        <v>223</v>
      </c>
      <c r="B5" s="172" t="s">
        <v>224</v>
      </c>
      <c r="C5" s="172" t="s">
        <v>225</v>
      </c>
      <c r="D5" s="172" t="s">
        <v>226</v>
      </c>
      <c r="E5" s="172"/>
      <c r="F5" s="172"/>
      <c r="G5" s="172"/>
      <c r="H5" s="172"/>
      <c r="I5" s="172"/>
      <c r="J5" s="172"/>
    </row>
    <row r="6" spans="1:10">
      <c r="A6" s="66" t="s">
        <v>227</v>
      </c>
      <c r="B6" s="66" t="s">
        <v>228</v>
      </c>
      <c r="C6" s="66">
        <v>4302</v>
      </c>
      <c r="D6" s="66" t="s">
        <v>229</v>
      </c>
      <c r="E6" s="173"/>
      <c r="F6" s="174" t="s">
        <v>230</v>
      </c>
      <c r="G6" s="174"/>
      <c r="H6" s="174" t="s">
        <v>231</v>
      </c>
      <c r="I6" s="174"/>
      <c r="J6" s="174" t="s">
        <v>231</v>
      </c>
    </row>
    <row r="7" spans="1:10">
      <c r="A7" s="66" t="s">
        <v>232</v>
      </c>
      <c r="B7" s="66" t="s">
        <v>233</v>
      </c>
      <c r="C7" s="66">
        <v>4469</v>
      </c>
      <c r="D7" s="66" t="s">
        <v>229</v>
      </c>
      <c r="E7" s="66"/>
      <c r="F7" s="174" t="s">
        <v>230</v>
      </c>
      <c r="G7" s="174"/>
      <c r="H7" s="174" t="s">
        <v>234</v>
      </c>
      <c r="I7" s="174"/>
      <c r="J7" s="174" t="s">
        <v>235</v>
      </c>
    </row>
    <row r="8" spans="1:10">
      <c r="A8" s="66" t="s">
        <v>236</v>
      </c>
      <c r="B8" s="66" t="s">
        <v>237</v>
      </c>
      <c r="C8" s="66">
        <v>3293</v>
      </c>
      <c r="D8" s="66" t="s">
        <v>229</v>
      </c>
      <c r="E8" s="66"/>
      <c r="F8" s="174" t="s">
        <v>230</v>
      </c>
      <c r="G8" s="174"/>
      <c r="H8" s="174" t="s">
        <v>234</v>
      </c>
      <c r="I8" s="174"/>
      <c r="J8" s="174" t="s">
        <v>235</v>
      </c>
    </row>
    <row r="9" spans="1:10">
      <c r="A9" s="66" t="s">
        <v>238</v>
      </c>
      <c r="B9" s="66" t="s">
        <v>239</v>
      </c>
      <c r="C9" s="66">
        <v>4914</v>
      </c>
      <c r="D9" s="66" t="s">
        <v>229</v>
      </c>
      <c r="E9" s="66"/>
      <c r="F9" s="174" t="s">
        <v>230</v>
      </c>
      <c r="G9" s="174"/>
      <c r="H9" s="174" t="s">
        <v>234</v>
      </c>
      <c r="I9" s="174"/>
      <c r="J9" s="174" t="s">
        <v>235</v>
      </c>
    </row>
    <row r="10" spans="1:10">
      <c r="A10" s="66"/>
      <c r="B10" s="66"/>
      <c r="C10" s="66">
        <f>SUM(C6:C9)</f>
        <v>16978</v>
      </c>
      <c r="E10" s="66"/>
      <c r="F10" s="66"/>
      <c r="G10" s="66"/>
      <c r="H10" s="66"/>
      <c r="I10" s="66"/>
      <c r="J10" s="66"/>
    </row>
    <row r="11" spans="1:10">
      <c r="A11" s="66"/>
      <c r="B11" s="66"/>
      <c r="E11" s="66"/>
      <c r="F11" s="66"/>
      <c r="G11" s="66"/>
      <c r="H11" s="66"/>
      <c r="I11" s="66"/>
      <c r="J11" s="66"/>
    </row>
    <row r="12" spans="1:10">
      <c r="A12" s="66" t="s">
        <v>240</v>
      </c>
      <c r="B12" s="66" t="s">
        <v>241</v>
      </c>
      <c r="C12" s="66">
        <v>2383</v>
      </c>
      <c r="D12" s="66" t="s">
        <v>242</v>
      </c>
      <c r="E12" s="173"/>
      <c r="F12" s="174" t="s">
        <v>243</v>
      </c>
      <c r="G12" s="174"/>
      <c r="H12" s="174" t="s">
        <v>231</v>
      </c>
      <c r="I12" s="174"/>
      <c r="J12" s="174" t="s">
        <v>235</v>
      </c>
    </row>
    <row r="13" spans="1:10">
      <c r="A13" s="66" t="s">
        <v>244</v>
      </c>
      <c r="B13" s="66" t="s">
        <v>244</v>
      </c>
      <c r="C13" s="66">
        <v>6272</v>
      </c>
      <c r="D13" s="66" t="s">
        <v>242</v>
      </c>
      <c r="E13" s="66"/>
      <c r="F13" s="174" t="s">
        <v>230</v>
      </c>
      <c r="G13" s="174"/>
      <c r="H13" s="174" t="s">
        <v>231</v>
      </c>
      <c r="I13" s="174"/>
      <c r="J13" s="174" t="s">
        <v>235</v>
      </c>
    </row>
    <row r="14" spans="1:10">
      <c r="A14" s="66" t="s">
        <v>245</v>
      </c>
      <c r="B14" s="66" t="s">
        <v>246</v>
      </c>
      <c r="C14" s="66">
        <v>11007</v>
      </c>
      <c r="D14" s="66" t="s">
        <v>242</v>
      </c>
      <c r="E14" s="66"/>
      <c r="F14" s="174" t="s">
        <v>243</v>
      </c>
      <c r="G14" s="174"/>
      <c r="H14" s="174" t="s">
        <v>231</v>
      </c>
      <c r="I14" s="174"/>
      <c r="J14" s="174" t="s">
        <v>231</v>
      </c>
    </row>
    <row r="15" spans="1:10">
      <c r="A15" s="66" t="s">
        <v>188</v>
      </c>
      <c r="B15" s="66" t="s">
        <v>247</v>
      </c>
      <c r="C15" s="66">
        <v>9332</v>
      </c>
      <c r="D15" s="66" t="s">
        <v>242</v>
      </c>
      <c r="E15" s="66"/>
      <c r="F15" s="174" t="s">
        <v>243</v>
      </c>
      <c r="G15" s="174"/>
      <c r="H15" s="174" t="s">
        <v>231</v>
      </c>
      <c r="I15" s="174"/>
      <c r="J15" s="174" t="s">
        <v>231</v>
      </c>
    </row>
    <row r="16" spans="1:10">
      <c r="A16" s="66" t="s">
        <v>248</v>
      </c>
      <c r="B16" s="66" t="s">
        <v>249</v>
      </c>
      <c r="C16" s="66">
        <v>7411</v>
      </c>
      <c r="D16" s="66" t="s">
        <v>242</v>
      </c>
      <c r="E16" s="66"/>
      <c r="F16" s="174" t="s">
        <v>230</v>
      </c>
      <c r="G16" s="174"/>
      <c r="H16" s="174" t="s">
        <v>231</v>
      </c>
      <c r="I16" s="174"/>
      <c r="J16" s="174" t="s">
        <v>235</v>
      </c>
    </row>
    <row r="17" spans="1:10">
      <c r="A17" s="66" t="s">
        <v>250</v>
      </c>
      <c r="B17" s="66" t="s">
        <v>251</v>
      </c>
      <c r="C17" s="66">
        <v>5410</v>
      </c>
      <c r="D17" s="66" t="s">
        <v>242</v>
      </c>
      <c r="E17" s="66"/>
      <c r="F17" s="174" t="s">
        <v>230</v>
      </c>
      <c r="G17" s="174"/>
      <c r="H17" s="174" t="s">
        <v>234</v>
      </c>
      <c r="I17" s="174"/>
      <c r="J17" s="174" t="s">
        <v>235</v>
      </c>
    </row>
    <row r="18" spans="1:10">
      <c r="A18" s="66"/>
      <c r="B18" s="66"/>
      <c r="C18" s="66">
        <f>SUM(C12:C17)</f>
        <v>41815</v>
      </c>
      <c r="E18" s="66"/>
      <c r="F18" s="66"/>
      <c r="G18" s="66"/>
      <c r="H18" s="66"/>
      <c r="I18" s="66"/>
      <c r="J18" s="66"/>
    </row>
    <row r="19" spans="1:10">
      <c r="A19" s="66"/>
      <c r="B19" s="66"/>
      <c r="E19" s="66"/>
      <c r="F19" s="66"/>
      <c r="G19" s="66"/>
      <c r="H19" s="66"/>
      <c r="I19" s="66"/>
      <c r="J19" s="66"/>
    </row>
    <row r="20" spans="1:10">
      <c r="A20" s="66" t="s">
        <v>252</v>
      </c>
      <c r="B20" s="66" t="s">
        <v>253</v>
      </c>
      <c r="C20" s="66">
        <v>4297</v>
      </c>
      <c r="D20" s="66" t="s">
        <v>254</v>
      </c>
      <c r="E20" s="66"/>
      <c r="F20" s="174" t="s">
        <v>230</v>
      </c>
      <c r="G20" s="174"/>
      <c r="H20" s="174" t="s">
        <v>234</v>
      </c>
      <c r="I20" s="174"/>
      <c r="J20" s="174" t="s">
        <v>235</v>
      </c>
    </row>
    <row r="21" spans="1:10">
      <c r="A21" s="66"/>
      <c r="B21" s="66"/>
      <c r="E21" s="66"/>
      <c r="F21" s="66"/>
      <c r="G21" s="66"/>
      <c r="H21" s="66"/>
      <c r="I21" s="66"/>
      <c r="J21" s="66"/>
    </row>
    <row r="22" spans="1:10">
      <c r="A22" s="66"/>
      <c r="B22" s="66"/>
      <c r="E22" s="66"/>
      <c r="F22" s="66"/>
      <c r="G22" s="66"/>
      <c r="H22" s="66"/>
      <c r="I22" s="66"/>
      <c r="J22" s="66"/>
    </row>
    <row r="23" spans="1:10">
      <c r="A23" s="66" t="s">
        <v>255</v>
      </c>
      <c r="B23" s="66" t="s">
        <v>256</v>
      </c>
      <c r="C23" s="66">
        <v>13539</v>
      </c>
      <c r="D23" s="66" t="s">
        <v>257</v>
      </c>
      <c r="E23" s="66"/>
      <c r="F23" s="174" t="s">
        <v>243</v>
      </c>
      <c r="G23" s="174"/>
      <c r="H23" s="174" t="s">
        <v>231</v>
      </c>
      <c r="I23" s="174"/>
      <c r="J23" s="174" t="s">
        <v>231</v>
      </c>
    </row>
    <row r="24" spans="1:10">
      <c r="A24" s="66" t="s">
        <v>258</v>
      </c>
      <c r="B24" s="66" t="s">
        <v>259</v>
      </c>
      <c r="C24" s="66">
        <v>6740</v>
      </c>
      <c r="D24" s="66" t="s">
        <v>257</v>
      </c>
      <c r="E24" s="66"/>
      <c r="F24" s="174" t="s">
        <v>230</v>
      </c>
      <c r="G24" s="174"/>
      <c r="H24" s="174" t="s">
        <v>234</v>
      </c>
      <c r="I24" s="174"/>
      <c r="J24" s="174" t="s">
        <v>235</v>
      </c>
    </row>
    <row r="25" spans="1:10">
      <c r="A25" s="66"/>
      <c r="B25" s="66"/>
      <c r="C25" s="66">
        <f>SUM(C23:C24)</f>
        <v>20279</v>
      </c>
      <c r="E25" s="66"/>
      <c r="F25" s="66"/>
      <c r="G25" s="66"/>
      <c r="H25" s="66"/>
      <c r="I25" s="66"/>
      <c r="J25" s="66"/>
    </row>
    <row r="26" spans="1:10">
      <c r="A26" s="66"/>
      <c r="B26" s="66"/>
      <c r="E26" s="66"/>
      <c r="F26" s="66"/>
      <c r="G26" s="66"/>
      <c r="H26" s="66"/>
      <c r="I26" s="66"/>
      <c r="J26" s="66"/>
    </row>
    <row r="27" spans="1:10">
      <c r="A27" s="66" t="s">
        <v>260</v>
      </c>
      <c r="B27" s="66" t="s">
        <v>261</v>
      </c>
      <c r="C27" s="66">
        <v>5624</v>
      </c>
      <c r="D27" s="66" t="s">
        <v>262</v>
      </c>
      <c r="E27" s="66"/>
      <c r="F27" s="174" t="s">
        <v>243</v>
      </c>
      <c r="G27" s="174"/>
      <c r="H27" s="174" t="s">
        <v>231</v>
      </c>
      <c r="I27" s="174"/>
      <c r="J27" s="174" t="s">
        <v>231</v>
      </c>
    </row>
    <row r="28" spans="1:10">
      <c r="A28" s="66" t="s">
        <v>263</v>
      </c>
      <c r="B28" s="66" t="s">
        <v>264</v>
      </c>
      <c r="C28" s="66">
        <v>6686</v>
      </c>
      <c r="D28" s="66" t="s">
        <v>262</v>
      </c>
      <c r="E28" s="66"/>
      <c r="F28" s="174" t="s">
        <v>243</v>
      </c>
      <c r="G28" s="174"/>
      <c r="H28" s="174" t="s">
        <v>231</v>
      </c>
      <c r="I28" s="174"/>
      <c r="J28" s="174" t="s">
        <v>231</v>
      </c>
    </row>
    <row r="29" spans="1:10">
      <c r="A29" s="66" t="s">
        <v>265</v>
      </c>
      <c r="B29" s="66" t="s">
        <v>266</v>
      </c>
      <c r="C29" s="66">
        <v>7144</v>
      </c>
      <c r="D29" s="66" t="s">
        <v>262</v>
      </c>
      <c r="E29" s="66"/>
      <c r="F29" s="174" t="s">
        <v>230</v>
      </c>
      <c r="G29" s="174"/>
      <c r="H29" s="174" t="s">
        <v>231</v>
      </c>
      <c r="I29" s="174"/>
      <c r="J29" s="174" t="s">
        <v>231</v>
      </c>
    </row>
    <row r="30" spans="1:10">
      <c r="A30" s="66" t="s">
        <v>267</v>
      </c>
      <c r="B30" s="66" t="s">
        <v>268</v>
      </c>
      <c r="C30" s="66">
        <v>4873</v>
      </c>
      <c r="D30" s="66" t="s">
        <v>262</v>
      </c>
      <c r="E30" s="66"/>
      <c r="F30" s="174" t="s">
        <v>230</v>
      </c>
      <c r="G30" s="174"/>
      <c r="H30" s="174" t="s">
        <v>231</v>
      </c>
      <c r="I30" s="174"/>
      <c r="J30" s="174" t="s">
        <v>231</v>
      </c>
    </row>
    <row r="31" spans="1:10">
      <c r="A31" s="66" t="s">
        <v>269</v>
      </c>
      <c r="B31" s="66" t="s">
        <v>270</v>
      </c>
      <c r="C31" s="66">
        <v>7078</v>
      </c>
      <c r="D31" s="66" t="s">
        <v>262</v>
      </c>
      <c r="E31" s="66"/>
      <c r="F31" s="174" t="s">
        <v>243</v>
      </c>
      <c r="G31" s="174"/>
      <c r="H31" s="174" t="s">
        <v>231</v>
      </c>
      <c r="I31" s="174"/>
      <c r="J31" s="174" t="s">
        <v>231</v>
      </c>
    </row>
    <row r="32" spans="1:10">
      <c r="A32" s="66" t="s">
        <v>271</v>
      </c>
      <c r="B32" s="66" t="s">
        <v>272</v>
      </c>
      <c r="C32" s="66">
        <v>5488</v>
      </c>
      <c r="D32" s="66" t="s">
        <v>262</v>
      </c>
      <c r="E32" s="66"/>
      <c r="F32" s="174" t="s">
        <v>243</v>
      </c>
      <c r="G32" s="174"/>
      <c r="H32" s="174" t="s">
        <v>231</v>
      </c>
      <c r="I32" s="174"/>
      <c r="J32" s="174" t="s">
        <v>231</v>
      </c>
    </row>
    <row r="33" spans="1:10">
      <c r="A33" s="66" t="s">
        <v>273</v>
      </c>
      <c r="B33" s="66" t="s">
        <v>274</v>
      </c>
      <c r="C33" s="66">
        <v>2930</v>
      </c>
      <c r="D33" s="66" t="s">
        <v>262</v>
      </c>
      <c r="E33" s="66"/>
      <c r="F33" s="174" t="s">
        <v>230</v>
      </c>
      <c r="G33" s="174"/>
      <c r="H33" s="174" t="s">
        <v>231</v>
      </c>
      <c r="I33" s="174"/>
      <c r="J33" s="174" t="s">
        <v>231</v>
      </c>
    </row>
    <row r="34" spans="1:10">
      <c r="A34" s="66" t="s">
        <v>275</v>
      </c>
      <c r="B34" s="66" t="s">
        <v>276</v>
      </c>
      <c r="C34" s="66">
        <v>4034</v>
      </c>
      <c r="D34" s="66" t="s">
        <v>262</v>
      </c>
      <c r="E34" s="66"/>
      <c r="F34" s="174" t="s">
        <v>230</v>
      </c>
      <c r="G34" s="174"/>
      <c r="H34" s="174" t="s">
        <v>231</v>
      </c>
      <c r="I34" s="174"/>
      <c r="J34" s="174" t="s">
        <v>231</v>
      </c>
    </row>
    <row r="35" spans="1:10">
      <c r="A35" s="66" t="s">
        <v>277</v>
      </c>
      <c r="B35" s="66" t="s">
        <v>278</v>
      </c>
      <c r="C35" s="66">
        <v>3660</v>
      </c>
      <c r="D35" s="66" t="s">
        <v>262</v>
      </c>
      <c r="E35" s="66"/>
      <c r="F35" s="174" t="s">
        <v>230</v>
      </c>
      <c r="G35" s="174"/>
      <c r="H35" s="174" t="s">
        <v>231</v>
      </c>
      <c r="I35" s="174"/>
      <c r="J35" s="174" t="s">
        <v>231</v>
      </c>
    </row>
    <row r="36" spans="1:10">
      <c r="A36" s="66" t="s">
        <v>279</v>
      </c>
      <c r="B36" s="66" t="s">
        <v>280</v>
      </c>
      <c r="C36" s="66">
        <v>3725</v>
      </c>
      <c r="D36" s="66" t="s">
        <v>262</v>
      </c>
      <c r="E36" s="66"/>
      <c r="F36" s="174" t="s">
        <v>230</v>
      </c>
      <c r="G36" s="174"/>
      <c r="H36" s="174" t="s">
        <v>231</v>
      </c>
      <c r="I36" s="174"/>
      <c r="J36" s="174" t="s">
        <v>231</v>
      </c>
    </row>
    <row r="37" spans="1:10">
      <c r="A37" s="66" t="s">
        <v>281</v>
      </c>
      <c r="B37" s="66" t="s">
        <v>282</v>
      </c>
      <c r="C37" s="66">
        <v>4231</v>
      </c>
      <c r="D37" s="66" t="s">
        <v>262</v>
      </c>
      <c r="E37" s="66"/>
      <c r="F37" s="174" t="s">
        <v>230</v>
      </c>
      <c r="G37" s="174"/>
      <c r="H37" s="174" t="s">
        <v>231</v>
      </c>
      <c r="I37" s="174"/>
      <c r="J37" s="174" t="s">
        <v>231</v>
      </c>
    </row>
    <row r="38" spans="1:10">
      <c r="A38" s="66" t="s">
        <v>283</v>
      </c>
      <c r="B38" s="66" t="s">
        <v>284</v>
      </c>
      <c r="C38" s="66">
        <v>1967</v>
      </c>
      <c r="D38" s="66" t="s">
        <v>262</v>
      </c>
      <c r="E38" s="66"/>
      <c r="F38" s="174" t="s">
        <v>230</v>
      </c>
      <c r="G38" s="174"/>
      <c r="H38" s="174" t="s">
        <v>231</v>
      </c>
      <c r="I38" s="174"/>
      <c r="J38" s="174" t="s">
        <v>231</v>
      </c>
    </row>
    <row r="39" spans="1:10">
      <c r="A39" s="66" t="s">
        <v>285</v>
      </c>
      <c r="B39" s="66" t="s">
        <v>286</v>
      </c>
      <c r="C39" s="66">
        <v>3874</v>
      </c>
      <c r="D39" s="66" t="s">
        <v>262</v>
      </c>
      <c r="E39" s="66"/>
      <c r="F39" s="174" t="s">
        <v>230</v>
      </c>
      <c r="G39" s="174"/>
      <c r="H39" s="174" t="s">
        <v>231</v>
      </c>
      <c r="I39" s="174"/>
      <c r="J39" s="174" t="s">
        <v>231</v>
      </c>
    </row>
    <row r="40" spans="1:10">
      <c r="A40" s="66"/>
      <c r="B40" s="66"/>
      <c r="C40" s="66">
        <f>SUM(C27:C39)</f>
        <v>61314</v>
      </c>
      <c r="E40" s="66"/>
      <c r="F40" s="66"/>
      <c r="G40" s="66"/>
      <c r="H40" s="66"/>
      <c r="I40" s="66"/>
      <c r="J40" s="66"/>
    </row>
    <row r="41" spans="1:10">
      <c r="A41" s="66"/>
      <c r="B41" s="66"/>
      <c r="E41" s="66" t="s">
        <v>287</v>
      </c>
      <c r="F41" s="175">
        <f>C10+C13+C16+C17+C20+C24+C29+C30+C33+C34+C35+C36+C37+C38+C39</f>
        <v>83546</v>
      </c>
      <c r="G41" s="66" t="s">
        <v>288</v>
      </c>
      <c r="H41" s="12">
        <f>C7+C8+C9+C17+C20+C24</f>
        <v>29123</v>
      </c>
      <c r="I41" s="66" t="s">
        <v>289</v>
      </c>
      <c r="J41" s="12">
        <f>C6+C14+C15+C23+C40</f>
        <v>99494</v>
      </c>
    </row>
    <row r="42" spans="1:10">
      <c r="A42" s="66"/>
      <c r="B42" s="66"/>
      <c r="E42" s="66" t="s">
        <v>290</v>
      </c>
      <c r="F42" s="175">
        <f>C12+C14+C15+C27+C28+C31+C32+C23</f>
        <v>61137</v>
      </c>
      <c r="G42" s="66" t="s">
        <v>289</v>
      </c>
      <c r="H42" s="12">
        <f>C6+C12+C13+C14+C15+C16+C23+C40</f>
        <v>115560</v>
      </c>
      <c r="I42" s="66" t="s">
        <v>291</v>
      </c>
      <c r="J42" s="12">
        <f>C7+C8+C9+C12+C13+C16+C17+C20+C24</f>
        <v>45189</v>
      </c>
    </row>
    <row r="43" spans="1:10">
      <c r="A43" s="66"/>
      <c r="B43" s="66"/>
      <c r="E43" s="66"/>
      <c r="F43" s="66"/>
      <c r="G43" s="66"/>
      <c r="H43" s="66"/>
      <c r="I43" s="66"/>
      <c r="J43" s="66"/>
    </row>
    <row r="44" spans="1:10">
      <c r="A44" s="66"/>
      <c r="B44" s="66"/>
      <c r="E44" s="66"/>
      <c r="F44" s="66"/>
      <c r="G44" s="66"/>
      <c r="H44" s="12">
        <f>SUM(H41:H43)</f>
        <v>144683</v>
      </c>
      <c r="I44" s="66"/>
      <c r="J44" s="66"/>
    </row>
    <row r="45" spans="1:10">
      <c r="A45" s="66"/>
      <c r="B45" s="66"/>
      <c r="E45" s="66"/>
      <c r="F45" s="66"/>
      <c r="G45" s="66"/>
      <c r="H45" s="66"/>
      <c r="I45" s="66"/>
      <c r="J45" s="66"/>
    </row>
    <row r="46" spans="1:10">
      <c r="A46" s="66"/>
      <c r="B46" s="66"/>
      <c r="E46" s="66"/>
      <c r="F46" s="66"/>
      <c r="G46" s="66"/>
      <c r="H46" s="66"/>
      <c r="I46" s="66"/>
      <c r="J46" s="66"/>
    </row>
    <row r="47" spans="1:10">
      <c r="A47" s="66"/>
      <c r="B47" s="66"/>
      <c r="E47" s="66"/>
      <c r="F47" s="66"/>
      <c r="G47" s="66"/>
      <c r="H47" s="66"/>
      <c r="I47" s="66"/>
      <c r="J47" s="66"/>
    </row>
    <row r="48" spans="1:10">
      <c r="A48" s="66"/>
      <c r="B48" s="66"/>
      <c r="E48" s="66"/>
      <c r="F48" s="66"/>
      <c r="G48" s="66"/>
      <c r="H48" s="66"/>
      <c r="I48" s="66"/>
      <c r="J48" s="66"/>
    </row>
    <row r="49" spans="1:10">
      <c r="A49" s="66"/>
      <c r="B49" s="66"/>
      <c r="E49" s="66"/>
      <c r="F49" s="66"/>
      <c r="G49" s="66"/>
      <c r="H49" s="66"/>
      <c r="I49" s="66"/>
      <c r="J49" s="66"/>
    </row>
    <row r="50" spans="1:10">
      <c r="A50" s="66"/>
      <c r="B50" s="66"/>
      <c r="E50" s="66"/>
      <c r="F50" s="66"/>
      <c r="G50" s="66"/>
      <c r="H50" s="66"/>
      <c r="I50" s="66"/>
      <c r="J50" s="66"/>
    </row>
    <row r="51" spans="1:10">
      <c r="A51" s="66"/>
      <c r="B51" s="66"/>
      <c r="E51" s="66"/>
      <c r="F51" s="66"/>
      <c r="G51" s="66"/>
      <c r="H51" s="66"/>
      <c r="I51" s="66"/>
      <c r="J51" s="66"/>
    </row>
    <row r="52" spans="1:10">
      <c r="A52" s="66"/>
      <c r="B52" s="66"/>
      <c r="E52" s="66"/>
      <c r="F52" s="66"/>
      <c r="G52" s="66"/>
      <c r="H52" s="66"/>
      <c r="I52" s="66"/>
      <c r="J52" s="66"/>
    </row>
    <row r="53" spans="1:10">
      <c r="A53" s="66"/>
      <c r="B53" s="66"/>
      <c r="E53" s="66"/>
      <c r="F53" s="66"/>
      <c r="G53" s="66"/>
      <c r="H53" s="66"/>
      <c r="I53" s="66"/>
      <c r="J53" s="66"/>
    </row>
    <row r="54" spans="1:10">
      <c r="A54" s="66"/>
      <c r="B54" s="66"/>
      <c r="E54" s="66"/>
      <c r="F54" s="66"/>
      <c r="G54" s="66"/>
      <c r="H54" s="66"/>
      <c r="I54" s="66"/>
      <c r="J54" s="66"/>
    </row>
    <row r="55" spans="1:10">
      <c r="A55" s="66"/>
      <c r="B55" s="66"/>
      <c r="E55" s="66"/>
      <c r="F55" s="66"/>
      <c r="G55" s="66"/>
      <c r="H55" s="66"/>
      <c r="I55" s="66"/>
      <c r="J55" s="66"/>
    </row>
    <row r="56" spans="1:10">
      <c r="A56" s="66"/>
      <c r="B56" s="66"/>
      <c r="E56" s="66"/>
      <c r="F56" s="66"/>
      <c r="G56" s="66"/>
      <c r="H56" s="66"/>
      <c r="I56" s="66"/>
      <c r="J56" s="66"/>
    </row>
    <row r="57" spans="1:10">
      <c r="A57" s="66"/>
      <c r="B57" s="66"/>
      <c r="E57" s="66"/>
      <c r="F57" s="66"/>
      <c r="G57" s="66"/>
      <c r="H57" s="66"/>
      <c r="I57" s="66"/>
      <c r="J57" s="66"/>
    </row>
    <row r="58" spans="1:10">
      <c r="A58" s="66"/>
      <c r="B58" s="66"/>
      <c r="E58" s="66"/>
      <c r="F58" s="66"/>
      <c r="G58" s="66"/>
      <c r="H58" s="66"/>
      <c r="I58" s="66"/>
      <c r="J58" s="66"/>
    </row>
    <row r="59" spans="1:10">
      <c r="A59" s="66"/>
      <c r="B59" s="66"/>
      <c r="E59" s="66"/>
      <c r="F59" s="66"/>
      <c r="G59" s="66"/>
      <c r="H59" s="66"/>
      <c r="I59" s="66"/>
      <c r="J59" s="66"/>
    </row>
    <row r="60" spans="1:10">
      <c r="A60" s="66"/>
      <c r="B60" s="66"/>
      <c r="E60" s="66"/>
      <c r="F60" s="66"/>
      <c r="G60" s="66"/>
      <c r="H60" s="66"/>
      <c r="I60" s="66"/>
      <c r="J60" s="66"/>
    </row>
    <row r="61" spans="1:10">
      <c r="A61" s="66"/>
      <c r="B61" s="66"/>
      <c r="E61" s="66"/>
      <c r="F61" s="66"/>
      <c r="G61" s="66"/>
      <c r="H61" s="66"/>
      <c r="I61" s="66"/>
      <c r="J61" s="66"/>
    </row>
    <row r="62" spans="1:10">
      <c r="A62" s="66"/>
      <c r="B62" s="66"/>
      <c r="E62" s="66"/>
      <c r="F62" s="66"/>
      <c r="G62" s="66"/>
      <c r="H62" s="66"/>
      <c r="I62" s="66"/>
      <c r="J62" s="66"/>
    </row>
    <row r="63" spans="1:10">
      <c r="A63" s="66"/>
      <c r="B63" s="66"/>
      <c r="E63" s="66"/>
      <c r="F63" s="66"/>
      <c r="G63" s="66"/>
      <c r="H63" s="66"/>
      <c r="I63" s="66"/>
      <c r="J63" s="66"/>
    </row>
    <row r="64" spans="1:10">
      <c r="A64" s="66"/>
      <c r="B64" s="66"/>
      <c r="E64" s="66"/>
      <c r="F64" s="66"/>
      <c r="G64" s="66"/>
      <c r="H64" s="66"/>
      <c r="I64" s="66"/>
      <c r="J64" s="66"/>
    </row>
    <row r="65" spans="1:10">
      <c r="A65" s="66"/>
      <c r="B65" s="66"/>
      <c r="E65" s="66"/>
      <c r="F65" s="66"/>
      <c r="G65" s="66"/>
      <c r="H65" s="66"/>
      <c r="I65" s="66"/>
      <c r="J65" s="66"/>
    </row>
    <row r="66" spans="1:10">
      <c r="A66" s="66"/>
      <c r="B66" s="66"/>
      <c r="E66" s="66"/>
      <c r="F66" s="66"/>
      <c r="G66" s="66"/>
      <c r="H66" s="66"/>
      <c r="I66" s="66"/>
      <c r="J66" s="66"/>
    </row>
    <row r="67" spans="1:10">
      <c r="A67" s="66"/>
      <c r="B67" s="66"/>
      <c r="E67" s="66"/>
      <c r="F67" s="66"/>
      <c r="G67" s="66"/>
      <c r="H67" s="66"/>
      <c r="I67" s="66"/>
      <c r="J67" s="66"/>
    </row>
    <row r="68" spans="1:10">
      <c r="A68" s="66"/>
      <c r="B68" s="66"/>
      <c r="E68" s="66"/>
      <c r="F68" s="66"/>
      <c r="G68" s="66"/>
      <c r="H68" s="66"/>
      <c r="I68" s="66"/>
      <c r="J68" s="66"/>
    </row>
    <row r="69" spans="1:10">
      <c r="A69" s="66"/>
      <c r="B69" s="66"/>
      <c r="E69" s="66"/>
      <c r="F69" s="66"/>
      <c r="G69" s="66"/>
      <c r="H69" s="66"/>
      <c r="I69" s="66"/>
      <c r="J69" s="66"/>
    </row>
    <row r="70" spans="1:10">
      <c r="A70" s="66"/>
      <c r="B70" s="66"/>
      <c r="E70" s="66"/>
      <c r="F70" s="66"/>
      <c r="G70" s="66"/>
      <c r="H70" s="66"/>
      <c r="I70" s="66"/>
      <c r="J70" s="66"/>
    </row>
    <row r="71" spans="1:10">
      <c r="A71" s="66"/>
      <c r="B71" s="66"/>
      <c r="E71" s="66"/>
      <c r="F71" s="66"/>
      <c r="G71" s="66"/>
      <c r="H71" s="66"/>
      <c r="I71" s="66"/>
      <c r="J71" s="66"/>
    </row>
    <row r="72" spans="1:10">
      <c r="A72" s="66"/>
      <c r="B72" s="66"/>
      <c r="E72" s="66"/>
      <c r="F72" s="66"/>
      <c r="G72" s="66"/>
      <c r="H72" s="66"/>
      <c r="I72" s="66"/>
      <c r="J72" s="66"/>
    </row>
    <row r="73" spans="1:10">
      <c r="A73" s="66"/>
      <c r="B73" s="66"/>
      <c r="E73" s="66"/>
      <c r="F73" s="66"/>
      <c r="G73" s="66"/>
      <c r="H73" s="66"/>
      <c r="I73" s="66"/>
      <c r="J73" s="66"/>
    </row>
    <row r="74" spans="1:10">
      <c r="A74" s="66"/>
      <c r="B74" s="66"/>
      <c r="E74" s="66"/>
      <c r="F74" s="66"/>
      <c r="G74" s="66"/>
      <c r="H74" s="66"/>
      <c r="I74" s="66"/>
      <c r="J74" s="66"/>
    </row>
    <row r="75" spans="1:10">
      <c r="A75" s="66"/>
      <c r="B75" s="66"/>
      <c r="E75" s="66"/>
      <c r="F75" s="66"/>
      <c r="G75" s="66"/>
      <c r="H75" s="66"/>
      <c r="I75" s="66"/>
      <c r="J75" s="66"/>
    </row>
    <row r="76" spans="1:10">
      <c r="A76" s="66"/>
      <c r="B76" s="66"/>
      <c r="E76" s="66"/>
      <c r="F76" s="66"/>
      <c r="G76" s="66"/>
      <c r="H76" s="66"/>
      <c r="I76" s="66"/>
      <c r="J76" s="66"/>
    </row>
    <row r="77" spans="1:10">
      <c r="A77" s="66"/>
      <c r="B77" s="66"/>
      <c r="E77" s="66"/>
      <c r="F77" s="66"/>
      <c r="G77" s="66"/>
      <c r="H77" s="66"/>
      <c r="I77" s="66"/>
      <c r="J77" s="66"/>
    </row>
    <row r="78" spans="1:10">
      <c r="A78" s="66"/>
      <c r="B78" s="66"/>
      <c r="E78" s="66"/>
      <c r="F78" s="66"/>
      <c r="G78" s="66"/>
      <c r="H78" s="66"/>
      <c r="I78" s="66"/>
      <c r="J78" s="66"/>
    </row>
    <row r="79" spans="1:10">
      <c r="A79" s="66"/>
      <c r="B79" s="66"/>
      <c r="E79" s="66"/>
      <c r="F79" s="66"/>
      <c r="G79" s="66"/>
      <c r="H79" s="66"/>
      <c r="I79" s="66"/>
      <c r="J79" s="66"/>
    </row>
    <row r="80" spans="1:10">
      <c r="A80" s="66"/>
      <c r="B80" s="66"/>
      <c r="E80" s="66"/>
      <c r="F80" s="66"/>
      <c r="G80" s="66"/>
      <c r="H80" s="66"/>
      <c r="I80" s="66"/>
      <c r="J80" s="66"/>
    </row>
    <row r="81" spans="1:10">
      <c r="A81" s="66"/>
      <c r="B81" s="66"/>
      <c r="E81" s="66"/>
      <c r="F81" s="66"/>
      <c r="G81" s="66"/>
      <c r="H81" s="66"/>
      <c r="I81" s="66"/>
      <c r="J81" s="66"/>
    </row>
    <row r="82" spans="1:10">
      <c r="A82" s="66"/>
      <c r="B82" s="66"/>
      <c r="E82" s="66"/>
      <c r="F82" s="66"/>
      <c r="G82" s="66"/>
      <c r="H82" s="66"/>
      <c r="I82" s="66"/>
      <c r="J82" s="66"/>
    </row>
    <row r="83" spans="1:10">
      <c r="A83" s="66"/>
      <c r="B83" s="66"/>
      <c r="E83" s="66"/>
      <c r="F83" s="66"/>
      <c r="G83" s="66"/>
      <c r="H83" s="66"/>
      <c r="I83" s="66"/>
      <c r="J83" s="66"/>
    </row>
    <row r="84" spans="1:10">
      <c r="A84" s="66"/>
      <c r="B84" s="66"/>
      <c r="E84" s="66"/>
      <c r="F84" s="66"/>
      <c r="G84" s="66"/>
      <c r="H84" s="66"/>
      <c r="I84" s="66"/>
      <c r="J84" s="66"/>
    </row>
    <row r="85" spans="1:10">
      <c r="A85" s="66"/>
      <c r="B85" s="66"/>
      <c r="E85" s="66"/>
      <c r="F85" s="66"/>
      <c r="G85" s="66"/>
      <c r="H85" s="66"/>
      <c r="I85" s="66"/>
      <c r="J85" s="66"/>
    </row>
    <row r="86" spans="1:10">
      <c r="A86" s="66"/>
      <c r="B86" s="66"/>
      <c r="E86" s="66"/>
      <c r="F86" s="66"/>
      <c r="G86" s="66"/>
      <c r="H86" s="66"/>
      <c r="I86" s="66"/>
      <c r="J86" s="66"/>
    </row>
    <row r="87" spans="1:10">
      <c r="A87" s="66"/>
      <c r="B87" s="66"/>
      <c r="E87" s="66"/>
      <c r="F87" s="66"/>
      <c r="G87" s="66"/>
      <c r="H87" s="66"/>
      <c r="I87" s="66"/>
      <c r="J87" s="66"/>
    </row>
    <row r="88" spans="1:10">
      <c r="A88" s="66"/>
      <c r="B88" s="66"/>
      <c r="E88" s="66"/>
      <c r="F88" s="66"/>
      <c r="G88" s="66"/>
      <c r="H88" s="66"/>
      <c r="I88" s="66"/>
      <c r="J88" s="66"/>
    </row>
    <row r="89" spans="1:10">
      <c r="A89" s="66"/>
      <c r="B89" s="66"/>
      <c r="E89" s="66"/>
      <c r="F89" s="66"/>
      <c r="G89" s="66"/>
      <c r="H89" s="66"/>
      <c r="I89" s="66"/>
      <c r="J89" s="66"/>
    </row>
    <row r="90" spans="1:10">
      <c r="A90" s="66"/>
      <c r="B90" s="66"/>
      <c r="E90" s="66"/>
      <c r="F90" s="66"/>
      <c r="G90" s="66"/>
      <c r="H90" s="66"/>
      <c r="I90" s="66"/>
      <c r="J90" s="66"/>
    </row>
    <row r="91" spans="1:10">
      <c r="A91" s="66"/>
      <c r="B91" s="66"/>
      <c r="E91" s="66"/>
      <c r="F91" s="66"/>
      <c r="G91" s="66"/>
      <c r="H91" s="66"/>
      <c r="I91" s="66"/>
      <c r="J91" s="66"/>
    </row>
    <row r="92" spans="1:10">
      <c r="A92" s="66"/>
      <c r="B92" s="66"/>
      <c r="E92" s="66"/>
      <c r="F92" s="66"/>
      <c r="G92" s="66"/>
      <c r="H92" s="66"/>
      <c r="I92" s="66"/>
      <c r="J92" s="66"/>
    </row>
    <row r="93" spans="1:10">
      <c r="A93" s="66"/>
      <c r="B93" s="66"/>
      <c r="E93" s="66"/>
      <c r="F93" s="66"/>
      <c r="G93" s="66"/>
      <c r="H93" s="66"/>
      <c r="I93" s="66"/>
      <c r="J93" s="66"/>
    </row>
    <row r="94" spans="1:10">
      <c r="A94" s="66"/>
      <c r="B94" s="66"/>
      <c r="E94" s="66"/>
      <c r="F94" s="66"/>
      <c r="G94" s="66"/>
      <c r="H94" s="66"/>
      <c r="I94" s="66"/>
      <c r="J94" s="66"/>
    </row>
    <row r="95" spans="1:10">
      <c r="A95" s="66"/>
      <c r="B95" s="66"/>
      <c r="E95" s="66"/>
      <c r="F95" s="66"/>
      <c r="G95" s="66"/>
      <c r="H95" s="66"/>
      <c r="I95" s="66"/>
      <c r="J95" s="66"/>
    </row>
    <row r="96" spans="1:10">
      <c r="A96" s="66"/>
      <c r="B96" s="66"/>
      <c r="E96" s="66"/>
      <c r="F96" s="66"/>
      <c r="G96" s="66"/>
      <c r="H96" s="66"/>
      <c r="I96" s="66"/>
      <c r="J96" s="66"/>
    </row>
    <row r="97" spans="1:10">
      <c r="A97" s="66"/>
      <c r="B97" s="66"/>
      <c r="E97" s="66"/>
      <c r="F97" s="66"/>
      <c r="G97" s="66"/>
      <c r="H97" s="66"/>
      <c r="I97" s="66"/>
      <c r="J97" s="66"/>
    </row>
    <row r="98" spans="1:10">
      <c r="A98" s="66"/>
      <c r="B98" s="66"/>
      <c r="E98" s="66"/>
      <c r="F98" s="66"/>
      <c r="G98" s="66"/>
      <c r="H98" s="66"/>
      <c r="I98" s="66"/>
      <c r="J98" s="66"/>
    </row>
    <row r="99" spans="1:10">
      <c r="A99" s="66"/>
      <c r="B99" s="66"/>
      <c r="E99" s="66"/>
      <c r="F99" s="66"/>
      <c r="G99" s="66"/>
      <c r="H99" s="66"/>
      <c r="I99" s="66"/>
      <c r="J99" s="66"/>
    </row>
    <row r="100" spans="1:10">
      <c r="A100" s="66"/>
      <c r="B100" s="66"/>
      <c r="E100" s="66"/>
      <c r="F100" s="66"/>
      <c r="G100" s="66"/>
      <c r="H100" s="66"/>
      <c r="I100" s="66"/>
      <c r="J100" s="66"/>
    </row>
    <row r="101" spans="1:10">
      <c r="A101" s="66"/>
      <c r="B101" s="66"/>
      <c r="E101" s="66"/>
      <c r="F101" s="66"/>
      <c r="G101" s="66"/>
      <c r="H101" s="66"/>
      <c r="I101" s="66"/>
      <c r="J101" s="66"/>
    </row>
    <row r="102" spans="1:10">
      <c r="A102" s="66"/>
      <c r="B102" s="66"/>
      <c r="E102" s="66"/>
      <c r="F102" s="66"/>
      <c r="G102" s="66"/>
      <c r="H102" s="66"/>
      <c r="I102" s="66"/>
      <c r="J102" s="66"/>
    </row>
    <row r="103" spans="1:10">
      <c r="A103" s="66"/>
      <c r="B103" s="66"/>
      <c r="E103" s="66"/>
      <c r="F103" s="66"/>
      <c r="G103" s="66"/>
      <c r="H103" s="66"/>
      <c r="I103" s="66"/>
      <c r="J103" s="66"/>
    </row>
    <row r="104" spans="1:10">
      <c r="A104" s="66"/>
      <c r="B104" s="66"/>
      <c r="E104" s="66"/>
      <c r="F104" s="66"/>
      <c r="G104" s="66"/>
      <c r="H104" s="66"/>
      <c r="I104" s="66"/>
      <c r="J104" s="66"/>
    </row>
    <row r="105" spans="1:10">
      <c r="A105" s="66"/>
      <c r="B105" s="66"/>
      <c r="E105" s="66"/>
      <c r="F105" s="66"/>
      <c r="G105" s="66"/>
      <c r="H105" s="66"/>
      <c r="I105" s="66"/>
      <c r="J105" s="66"/>
    </row>
    <row r="106" spans="1:10">
      <c r="A106" s="66"/>
      <c r="B106" s="66"/>
      <c r="E106" s="66"/>
      <c r="F106" s="66"/>
      <c r="G106" s="66"/>
      <c r="H106" s="66"/>
      <c r="I106" s="66"/>
      <c r="J106" s="66"/>
    </row>
    <row r="107" spans="1:10">
      <c r="A107" s="66"/>
      <c r="B107" s="66"/>
      <c r="E107" s="66"/>
      <c r="F107" s="66"/>
      <c r="G107" s="66"/>
      <c r="H107" s="66"/>
      <c r="I107" s="66"/>
      <c r="J107" s="66"/>
    </row>
    <row r="108" spans="1:10">
      <c r="A108" s="66"/>
      <c r="B108" s="66"/>
      <c r="E108" s="66"/>
      <c r="F108" s="66"/>
      <c r="G108" s="66"/>
      <c r="H108" s="66"/>
      <c r="I108" s="66"/>
      <c r="J108" s="66"/>
    </row>
    <row r="109" spans="1:10">
      <c r="A109" s="66"/>
      <c r="B109" s="66"/>
      <c r="E109" s="66"/>
      <c r="F109" s="66"/>
      <c r="G109" s="66"/>
      <c r="H109" s="66"/>
      <c r="I109" s="66"/>
      <c r="J109" s="66"/>
    </row>
    <row r="110" spans="1:10">
      <c r="A110" s="66"/>
      <c r="B110" s="66"/>
      <c r="E110" s="66"/>
      <c r="F110" s="66"/>
      <c r="G110" s="66"/>
      <c r="H110" s="66"/>
      <c r="I110" s="66"/>
      <c r="J110" s="66"/>
    </row>
    <row r="111" spans="1:10">
      <c r="A111" s="66"/>
      <c r="B111" s="66"/>
      <c r="E111" s="66"/>
      <c r="F111" s="66"/>
      <c r="G111" s="66"/>
      <c r="H111" s="66"/>
      <c r="I111" s="66"/>
      <c r="J111" s="66"/>
    </row>
    <row r="112" spans="1:10">
      <c r="A112" s="66"/>
      <c r="B112" s="66"/>
      <c r="E112" s="66"/>
      <c r="F112" s="66"/>
      <c r="G112" s="66"/>
      <c r="H112" s="66"/>
      <c r="I112" s="66"/>
      <c r="J112" s="66"/>
    </row>
    <row r="113" spans="1:10">
      <c r="A113" s="66"/>
      <c r="B113" s="66"/>
      <c r="E113" s="66"/>
      <c r="F113" s="66"/>
      <c r="G113" s="66"/>
      <c r="H113" s="66"/>
      <c r="I113" s="66"/>
      <c r="J113" s="66"/>
    </row>
    <row r="114" spans="1:10">
      <c r="A114" s="66"/>
      <c r="B114" s="66"/>
      <c r="E114" s="66"/>
      <c r="F114" s="66"/>
      <c r="G114" s="66"/>
      <c r="H114" s="66"/>
      <c r="I114" s="66"/>
      <c r="J114" s="66"/>
    </row>
    <row r="115" spans="1:10">
      <c r="A115" s="66"/>
      <c r="B115" s="66"/>
      <c r="E115" s="66"/>
      <c r="F115" s="66"/>
      <c r="G115" s="66"/>
      <c r="H115" s="66"/>
      <c r="I115" s="66"/>
      <c r="J115" s="66"/>
    </row>
    <row r="116" spans="1:10">
      <c r="A116" s="66"/>
      <c r="B116" s="66"/>
      <c r="E116" s="66"/>
      <c r="F116" s="66"/>
      <c r="G116" s="66"/>
      <c r="H116" s="66"/>
      <c r="I116" s="66"/>
      <c r="J116" s="66"/>
    </row>
    <row r="117" spans="1:10">
      <c r="A117" s="66"/>
      <c r="B117" s="66"/>
      <c r="E117" s="66"/>
      <c r="F117" s="66"/>
      <c r="G117" s="66"/>
      <c r="H117" s="66"/>
      <c r="I117" s="66"/>
      <c r="J117" s="66"/>
    </row>
    <row r="118" spans="1:10">
      <c r="A118" s="66"/>
      <c r="B118" s="66"/>
      <c r="E118" s="66"/>
      <c r="F118" s="66"/>
      <c r="G118" s="66"/>
      <c r="H118" s="66"/>
      <c r="I118" s="66"/>
      <c r="J118" s="66"/>
    </row>
    <row r="119" spans="1:10">
      <c r="A119" s="66"/>
      <c r="B119" s="66"/>
      <c r="E119" s="66"/>
      <c r="F119" s="66"/>
      <c r="G119" s="66"/>
      <c r="H119" s="66"/>
      <c r="I119" s="66"/>
      <c r="J119" s="66"/>
    </row>
    <row r="120" spans="1:10">
      <c r="A120" s="66"/>
      <c r="B120" s="66"/>
      <c r="E120" s="66"/>
      <c r="F120" s="66"/>
      <c r="G120" s="66"/>
      <c r="H120" s="66"/>
      <c r="I120" s="66"/>
      <c r="J120" s="66"/>
    </row>
    <row r="121" spans="1:10">
      <c r="A121" s="66"/>
      <c r="B121" s="66"/>
      <c r="E121" s="66"/>
      <c r="F121" s="66"/>
      <c r="G121" s="66"/>
      <c r="H121" s="66"/>
      <c r="I121" s="66"/>
      <c r="J121" s="66"/>
    </row>
    <row r="122" spans="1:10">
      <c r="A122" s="66"/>
      <c r="B122" s="66"/>
      <c r="E122" s="66"/>
      <c r="F122" s="66"/>
      <c r="G122" s="66"/>
      <c r="H122" s="66"/>
      <c r="I122" s="66"/>
      <c r="J122" s="66"/>
    </row>
    <row r="123" spans="1:10">
      <c r="A123" s="66"/>
      <c r="B123" s="66"/>
      <c r="E123" s="66"/>
      <c r="F123" s="66"/>
      <c r="G123" s="66"/>
      <c r="H123" s="66"/>
      <c r="I123" s="66"/>
      <c r="J123" s="66"/>
    </row>
    <row r="124" spans="1:10">
      <c r="A124" s="66"/>
      <c r="B124" s="66"/>
      <c r="E124" s="66"/>
      <c r="F124" s="66"/>
      <c r="G124" s="66"/>
      <c r="H124" s="66"/>
      <c r="I124" s="66"/>
      <c r="J124" s="66"/>
    </row>
    <row r="125" spans="1:10">
      <c r="A125" s="66"/>
      <c r="B125" s="66"/>
      <c r="E125" s="66"/>
      <c r="F125" s="66"/>
      <c r="G125" s="66"/>
      <c r="H125" s="66"/>
      <c r="I125" s="66"/>
      <c r="J125" s="66"/>
    </row>
    <row r="126" spans="1:10">
      <c r="A126" s="66"/>
      <c r="B126" s="66"/>
      <c r="E126" s="66"/>
      <c r="F126" s="66"/>
      <c r="G126" s="66"/>
      <c r="H126" s="66"/>
      <c r="I126" s="66"/>
      <c r="J126" s="66"/>
    </row>
    <row r="127" spans="1:10">
      <c r="A127" s="66"/>
      <c r="B127" s="66"/>
      <c r="E127" s="66"/>
      <c r="F127" s="66"/>
      <c r="G127" s="66"/>
      <c r="H127" s="66"/>
      <c r="I127" s="66"/>
      <c r="J127" s="66"/>
    </row>
    <row r="128" spans="1:10">
      <c r="A128" s="66"/>
      <c r="B128" s="66"/>
      <c r="E128" s="66"/>
      <c r="F128" s="66"/>
      <c r="G128" s="66"/>
      <c r="H128" s="66"/>
      <c r="I128" s="66"/>
      <c r="J128" s="66"/>
    </row>
    <row r="129" spans="1:10">
      <c r="A129" s="66"/>
      <c r="B129" s="66"/>
      <c r="E129" s="66"/>
      <c r="F129" s="66"/>
      <c r="G129" s="66"/>
      <c r="H129" s="66"/>
      <c r="I129" s="66"/>
      <c r="J129" s="66"/>
    </row>
    <row r="130" spans="1:10">
      <c r="A130" s="66"/>
      <c r="B130" s="66"/>
      <c r="E130" s="66"/>
      <c r="F130" s="66"/>
      <c r="G130" s="66"/>
      <c r="H130" s="66"/>
      <c r="I130" s="66"/>
      <c r="J130" s="66"/>
    </row>
    <row r="131" spans="1:10">
      <c r="A131" s="66"/>
      <c r="B131" s="66"/>
      <c r="E131" s="66"/>
      <c r="F131" s="66"/>
      <c r="G131" s="66"/>
      <c r="H131" s="66"/>
      <c r="I131" s="66"/>
      <c r="J131" s="66"/>
    </row>
    <row r="132" spans="1:10">
      <c r="A132" s="66"/>
      <c r="B132" s="66"/>
      <c r="E132" s="66"/>
      <c r="F132" s="66"/>
      <c r="G132" s="66"/>
      <c r="H132" s="66"/>
      <c r="I132" s="66"/>
      <c r="J132" s="66"/>
    </row>
    <row r="133" spans="1:10">
      <c r="A133" s="66"/>
      <c r="B133" s="66"/>
      <c r="E133" s="66"/>
      <c r="F133" s="66"/>
      <c r="G133" s="66"/>
      <c r="H133" s="66"/>
      <c r="I133" s="66"/>
      <c r="J133" s="66"/>
    </row>
    <row r="134" spans="1:10">
      <c r="A134" s="66"/>
      <c r="B134" s="66"/>
      <c r="E134" s="66"/>
      <c r="F134" s="66"/>
      <c r="G134" s="66"/>
      <c r="H134" s="66"/>
      <c r="I134" s="66"/>
      <c r="J134" s="66"/>
    </row>
    <row r="135" spans="1:10">
      <c r="A135" s="66"/>
      <c r="B135" s="66"/>
      <c r="E135" s="66"/>
      <c r="F135" s="66"/>
      <c r="G135" s="66"/>
      <c r="H135" s="66"/>
      <c r="I135" s="66"/>
      <c r="J135" s="66"/>
    </row>
    <row r="136" spans="1:10">
      <c r="A136" s="66"/>
      <c r="B136" s="66"/>
      <c r="E136" s="66"/>
      <c r="F136" s="66"/>
      <c r="G136" s="66"/>
      <c r="H136" s="66"/>
      <c r="I136" s="66"/>
      <c r="J136" s="66"/>
    </row>
    <row r="137" spans="1:10">
      <c r="A137" s="66"/>
      <c r="B137" s="66"/>
      <c r="E137" s="66"/>
      <c r="F137" s="66"/>
      <c r="G137" s="66"/>
      <c r="H137" s="66"/>
      <c r="I137" s="66"/>
      <c r="J137" s="66"/>
    </row>
    <row r="138" spans="1:10">
      <c r="A138" s="66"/>
      <c r="B138" s="66"/>
      <c r="E138" s="66"/>
      <c r="F138" s="66"/>
      <c r="G138" s="66"/>
      <c r="H138" s="66"/>
      <c r="I138" s="66"/>
      <c r="J138" s="66"/>
    </row>
    <row r="139" spans="1:10">
      <c r="A139" s="66"/>
      <c r="B139" s="66"/>
      <c r="E139" s="66"/>
      <c r="F139" s="66"/>
      <c r="G139" s="66"/>
      <c r="H139" s="66"/>
      <c r="I139" s="66"/>
      <c r="J139" s="66"/>
    </row>
    <row r="140" spans="1:10">
      <c r="A140" s="66"/>
      <c r="B140" s="66"/>
      <c r="E140" s="66"/>
      <c r="F140" s="66"/>
      <c r="G140" s="66"/>
      <c r="H140" s="66"/>
      <c r="I140" s="66"/>
      <c r="J140" s="66"/>
    </row>
    <row r="141" spans="1:10">
      <c r="A141" s="66"/>
      <c r="B141" s="66"/>
      <c r="E141" s="66"/>
      <c r="F141" s="66"/>
      <c r="G141" s="66"/>
      <c r="H141" s="66"/>
      <c r="I141" s="66"/>
      <c r="J141" s="66"/>
    </row>
    <row r="142" spans="1:10">
      <c r="A142" s="66"/>
      <c r="B142" s="66"/>
      <c r="E142" s="66"/>
      <c r="F142" s="66"/>
      <c r="G142" s="66"/>
      <c r="H142" s="66"/>
      <c r="I142" s="66"/>
      <c r="J142" s="66"/>
    </row>
    <row r="143" spans="1:10">
      <c r="A143" s="66"/>
      <c r="B143" s="66"/>
      <c r="E143" s="66"/>
      <c r="F143" s="66"/>
      <c r="G143" s="66"/>
      <c r="H143" s="66"/>
      <c r="I143" s="66"/>
      <c r="J143" s="66"/>
    </row>
    <row r="144" spans="1:10">
      <c r="A144" s="66"/>
      <c r="B144" s="66"/>
      <c r="E144" s="66"/>
      <c r="F144" s="66"/>
      <c r="G144" s="66"/>
      <c r="H144" s="66"/>
      <c r="I144" s="66"/>
      <c r="J144" s="66"/>
    </row>
    <row r="145" spans="1:10">
      <c r="A145" s="66"/>
      <c r="B145" s="66"/>
      <c r="E145" s="66"/>
      <c r="F145" s="66"/>
      <c r="G145" s="66"/>
      <c r="H145" s="66"/>
      <c r="I145" s="66"/>
      <c r="J145" s="66"/>
    </row>
    <row r="146" spans="1:10">
      <c r="A146" s="66"/>
      <c r="B146" s="66"/>
      <c r="E146" s="66"/>
      <c r="F146" s="66"/>
      <c r="G146" s="66"/>
      <c r="H146" s="66"/>
      <c r="I146" s="66"/>
      <c r="J146" s="66"/>
    </row>
    <row r="147" spans="1:10">
      <c r="A147" s="66"/>
      <c r="B147" s="66"/>
      <c r="E147" s="66"/>
      <c r="F147" s="66"/>
      <c r="G147" s="66"/>
      <c r="H147" s="66"/>
      <c r="I147" s="66"/>
      <c r="J147" s="66"/>
    </row>
    <row r="148" spans="1:10">
      <c r="A148" s="66"/>
      <c r="B148" s="66"/>
      <c r="E148" s="66"/>
      <c r="F148" s="66"/>
      <c r="G148" s="66"/>
      <c r="H148" s="66"/>
      <c r="I148" s="66"/>
      <c r="J148" s="66"/>
    </row>
    <row r="149" spans="1:10">
      <c r="A149" s="66"/>
      <c r="B149" s="66"/>
      <c r="E149" s="66"/>
      <c r="F149" s="66"/>
      <c r="G149" s="66"/>
      <c r="H149" s="66"/>
      <c r="I149" s="66"/>
      <c r="J149" s="66"/>
    </row>
    <row r="150" spans="1:10">
      <c r="A150" s="66"/>
      <c r="B150" s="66"/>
      <c r="E150" s="66"/>
      <c r="F150" s="66"/>
      <c r="G150" s="66"/>
      <c r="H150" s="66"/>
      <c r="I150" s="66"/>
      <c r="J150" s="66"/>
    </row>
    <row r="151" spans="1:10">
      <c r="A151" s="66"/>
      <c r="B151" s="66"/>
      <c r="E151" s="66"/>
      <c r="F151" s="66"/>
      <c r="G151" s="66"/>
      <c r="H151" s="66"/>
      <c r="I151" s="66"/>
      <c r="J151" s="66"/>
    </row>
    <row r="152" spans="1:10">
      <c r="A152" s="66"/>
      <c r="B152" s="66"/>
      <c r="E152" s="66"/>
      <c r="F152" s="66"/>
      <c r="G152" s="66"/>
      <c r="H152" s="66"/>
      <c r="I152" s="66"/>
      <c r="J152" s="66"/>
    </row>
    <row r="153" spans="1:10">
      <c r="A153" s="66"/>
      <c r="B153" s="66"/>
      <c r="E153" s="66"/>
      <c r="F153" s="66"/>
      <c r="G153" s="66"/>
      <c r="H153" s="66"/>
      <c r="I153" s="66"/>
      <c r="J153" s="66"/>
    </row>
    <row r="154" spans="1:10">
      <c r="A154" s="66"/>
      <c r="B154" s="66"/>
      <c r="E154" s="66"/>
      <c r="F154" s="66"/>
      <c r="G154" s="66"/>
      <c r="H154" s="66"/>
      <c r="I154" s="66"/>
      <c r="J154" s="66"/>
    </row>
    <row r="155" spans="1:10">
      <c r="A155" s="66"/>
      <c r="B155" s="66"/>
      <c r="E155" s="66"/>
      <c r="F155" s="66"/>
      <c r="G155" s="66"/>
      <c r="H155" s="66"/>
      <c r="I155" s="66"/>
      <c r="J155" s="66"/>
    </row>
    <row r="156" spans="1:10">
      <c r="A156" s="66"/>
      <c r="B156" s="66"/>
      <c r="E156" s="66"/>
      <c r="F156" s="66"/>
      <c r="G156" s="66"/>
      <c r="H156" s="66"/>
      <c r="I156" s="66"/>
      <c r="J156" s="66"/>
    </row>
    <row r="157" spans="1:10">
      <c r="A157" s="66"/>
      <c r="B157" s="66"/>
      <c r="E157" s="66"/>
      <c r="F157" s="66"/>
      <c r="G157" s="66"/>
      <c r="H157" s="66"/>
      <c r="I157" s="66"/>
      <c r="J157" s="66"/>
    </row>
    <row r="158" spans="1:10">
      <c r="A158" s="66"/>
      <c r="B158" s="66"/>
      <c r="E158" s="66"/>
      <c r="F158" s="66"/>
      <c r="G158" s="66"/>
      <c r="H158" s="66"/>
      <c r="I158" s="66"/>
      <c r="J158" s="66"/>
    </row>
    <row r="159" spans="1:10">
      <c r="A159" s="66"/>
      <c r="B159" s="66"/>
      <c r="E159" s="66"/>
      <c r="F159" s="66"/>
      <c r="G159" s="66"/>
      <c r="H159" s="66"/>
      <c r="I159" s="66"/>
      <c r="J159" s="66"/>
    </row>
    <row r="160" spans="1:10">
      <c r="A160" s="66"/>
      <c r="B160" s="66"/>
      <c r="E160" s="66"/>
      <c r="F160" s="66"/>
      <c r="G160" s="66"/>
      <c r="H160" s="66"/>
      <c r="I160" s="66"/>
      <c r="J160" s="66"/>
    </row>
    <row r="161" spans="1:10">
      <c r="A161" s="66"/>
      <c r="B161" s="66"/>
      <c r="E161" s="66"/>
      <c r="F161" s="66"/>
      <c r="G161" s="66"/>
      <c r="H161" s="66"/>
      <c r="I161" s="66"/>
      <c r="J161" s="66"/>
    </row>
    <row r="162" spans="1:10">
      <c r="A162" s="66"/>
      <c r="B162" s="66"/>
      <c r="E162" s="66"/>
      <c r="F162" s="66"/>
      <c r="G162" s="66"/>
      <c r="H162" s="66"/>
      <c r="I162" s="66"/>
      <c r="J162" s="66"/>
    </row>
    <row r="163" spans="1:10">
      <c r="A163" s="66"/>
      <c r="B163" s="66"/>
      <c r="E163" s="66"/>
      <c r="F163" s="66"/>
      <c r="G163" s="66"/>
      <c r="H163" s="66"/>
      <c r="I163" s="66"/>
      <c r="J163" s="66"/>
    </row>
    <row r="164" spans="1:10">
      <c r="A164" s="66"/>
      <c r="B164" s="66"/>
      <c r="E164" s="66"/>
      <c r="F164" s="66"/>
      <c r="G164" s="66"/>
      <c r="H164" s="66"/>
      <c r="I164" s="66"/>
      <c r="J164" s="66"/>
    </row>
    <row r="165" spans="1:10">
      <c r="A165" s="66"/>
      <c r="B165" s="66"/>
      <c r="E165" s="66"/>
      <c r="F165" s="66"/>
      <c r="G165" s="66"/>
      <c r="H165" s="66"/>
      <c r="I165" s="66"/>
      <c r="J165" s="66"/>
    </row>
    <row r="166" spans="1:10">
      <c r="A166" s="66"/>
      <c r="B166" s="66"/>
      <c r="E166" s="66"/>
      <c r="F166" s="66"/>
      <c r="G166" s="66"/>
      <c r="H166" s="66"/>
      <c r="I166" s="66"/>
      <c r="J166" s="66"/>
    </row>
    <row r="167" spans="1:10">
      <c r="A167" s="66"/>
      <c r="B167" s="66"/>
      <c r="E167" s="66"/>
      <c r="F167" s="66"/>
      <c r="G167" s="66"/>
      <c r="H167" s="66"/>
      <c r="I167" s="66"/>
      <c r="J167" s="66"/>
    </row>
    <row r="168" spans="1:10">
      <c r="A168" s="66"/>
      <c r="B168" s="66"/>
      <c r="E168" s="66"/>
      <c r="F168" s="66"/>
      <c r="G168" s="66"/>
      <c r="H168" s="66"/>
      <c r="I168" s="66"/>
      <c r="J168" s="66"/>
    </row>
    <row r="169" spans="1:10">
      <c r="A169" s="66"/>
      <c r="B169" s="66"/>
      <c r="E169" s="66"/>
      <c r="F169" s="66"/>
      <c r="G169" s="66"/>
      <c r="H169" s="66"/>
      <c r="I169" s="66"/>
      <c r="J169" s="66"/>
    </row>
    <row r="170" spans="1:10">
      <c r="A170" s="66"/>
      <c r="B170" s="66"/>
      <c r="E170" s="66"/>
      <c r="F170" s="66"/>
      <c r="G170" s="66"/>
      <c r="H170" s="66"/>
      <c r="I170" s="66"/>
      <c r="J170" s="66"/>
    </row>
    <row r="171" spans="1:10">
      <c r="A171" s="66"/>
      <c r="B171" s="66"/>
      <c r="E171" s="66"/>
      <c r="F171" s="66"/>
      <c r="G171" s="66"/>
      <c r="H171" s="66"/>
      <c r="I171" s="66"/>
      <c r="J171" s="66"/>
    </row>
    <row r="172" spans="1:10">
      <c r="A172" s="66"/>
      <c r="B172" s="66"/>
      <c r="E172" s="66"/>
      <c r="F172" s="66"/>
      <c r="G172" s="66"/>
      <c r="H172" s="66"/>
      <c r="I172" s="66"/>
      <c r="J172" s="66"/>
    </row>
    <row r="173" spans="1:10">
      <c r="A173" s="66"/>
      <c r="B173" s="66"/>
      <c r="E173" s="66"/>
      <c r="F173" s="66"/>
      <c r="G173" s="66"/>
      <c r="H173" s="66"/>
      <c r="I173" s="66"/>
      <c r="J173" s="66"/>
    </row>
    <row r="174" spans="1:10">
      <c r="A174" s="66"/>
      <c r="B174" s="66"/>
      <c r="E174" s="66"/>
      <c r="F174" s="66"/>
      <c r="G174" s="66"/>
      <c r="H174" s="66"/>
      <c r="I174" s="66"/>
      <c r="J174" s="66"/>
    </row>
    <row r="175" spans="1:10">
      <c r="A175" s="66"/>
      <c r="B175" s="66"/>
      <c r="E175" s="66"/>
      <c r="F175" s="66"/>
      <c r="G175" s="66"/>
      <c r="H175" s="66"/>
      <c r="I175" s="66"/>
      <c r="J175" s="66"/>
    </row>
    <row r="176" spans="1:10">
      <c r="A176" s="66"/>
      <c r="B176" s="66"/>
      <c r="E176" s="66"/>
      <c r="F176" s="66"/>
      <c r="G176" s="66"/>
      <c r="H176" s="66"/>
      <c r="I176" s="66"/>
      <c r="J176" s="66"/>
    </row>
    <row r="177" spans="1:10">
      <c r="A177" s="66"/>
      <c r="B177" s="66"/>
      <c r="E177" s="66"/>
      <c r="F177" s="66"/>
      <c r="G177" s="66"/>
      <c r="H177" s="66"/>
      <c r="I177" s="66"/>
      <c r="J177" s="66"/>
    </row>
    <row r="178" spans="1:10">
      <c r="A178" s="66"/>
      <c r="B178" s="66"/>
      <c r="E178" s="66"/>
      <c r="F178" s="66"/>
      <c r="G178" s="66"/>
      <c r="H178" s="66"/>
      <c r="I178" s="66"/>
      <c r="J178" s="66"/>
    </row>
    <row r="179" spans="1:10">
      <c r="A179" s="66"/>
      <c r="B179" s="66"/>
      <c r="E179" s="66"/>
      <c r="F179" s="66"/>
      <c r="G179" s="66"/>
      <c r="H179" s="66"/>
      <c r="I179" s="66"/>
      <c r="J179" s="66"/>
    </row>
    <row r="180" spans="1:10">
      <c r="A180" s="66"/>
      <c r="B180" s="66"/>
      <c r="E180" s="66"/>
      <c r="F180" s="66"/>
      <c r="G180" s="66"/>
      <c r="H180" s="66"/>
      <c r="I180" s="66"/>
      <c r="J180" s="66"/>
    </row>
    <row r="181" spans="1:10">
      <c r="A181" s="66"/>
      <c r="B181" s="66"/>
      <c r="E181" s="66"/>
      <c r="F181" s="66"/>
      <c r="G181" s="66"/>
      <c r="H181" s="66"/>
      <c r="I181" s="66"/>
      <c r="J181" s="66"/>
    </row>
    <row r="182" spans="1:10">
      <c r="A182" s="66"/>
      <c r="B182" s="66"/>
      <c r="E182" s="66"/>
      <c r="F182" s="66"/>
      <c r="G182" s="66"/>
      <c r="H182" s="66"/>
      <c r="I182" s="66"/>
      <c r="J182" s="66"/>
    </row>
    <row r="183" spans="1:10">
      <c r="A183" s="66"/>
      <c r="B183" s="66"/>
      <c r="E183" s="66"/>
      <c r="F183" s="66"/>
      <c r="G183" s="66"/>
      <c r="H183" s="66"/>
      <c r="I183" s="66"/>
      <c r="J183" s="66"/>
    </row>
    <row r="184" spans="1:10">
      <c r="A184" s="66"/>
      <c r="B184" s="66"/>
      <c r="E184" s="66"/>
      <c r="F184" s="66"/>
      <c r="G184" s="66"/>
      <c r="H184" s="66"/>
      <c r="I184" s="66"/>
      <c r="J184" s="66"/>
    </row>
    <row r="185" spans="1:10">
      <c r="A185" s="66"/>
      <c r="B185" s="66"/>
      <c r="E185" s="66"/>
      <c r="F185" s="66"/>
      <c r="G185" s="66"/>
      <c r="H185" s="66"/>
      <c r="I185" s="66"/>
      <c r="J185" s="66"/>
    </row>
    <row r="186" spans="1:10">
      <c r="A186" s="66"/>
      <c r="B186" s="66"/>
      <c r="E186" s="66"/>
      <c r="F186" s="66"/>
      <c r="G186" s="66"/>
      <c r="H186" s="66"/>
      <c r="I186" s="66"/>
      <c r="J186" s="66"/>
    </row>
    <row r="187" spans="1:10">
      <c r="A187" s="66"/>
      <c r="B187" s="66"/>
      <c r="E187" s="66"/>
      <c r="F187" s="66"/>
      <c r="G187" s="66"/>
      <c r="H187" s="66"/>
      <c r="I187" s="66"/>
      <c r="J187" s="66"/>
    </row>
    <row r="188" spans="1:10">
      <c r="A188" s="66"/>
      <c r="B188" s="66"/>
      <c r="E188" s="66"/>
      <c r="F188" s="66"/>
      <c r="G188" s="66"/>
      <c r="H188" s="66"/>
      <c r="I188" s="66"/>
      <c r="J188" s="66"/>
    </row>
    <row r="189" spans="1:10">
      <c r="A189" s="66"/>
      <c r="B189" s="66"/>
      <c r="E189" s="66"/>
      <c r="F189" s="66"/>
      <c r="G189" s="66"/>
      <c r="H189" s="66"/>
      <c r="I189" s="66"/>
      <c r="J189" s="66"/>
    </row>
    <row r="190" spans="1:10">
      <c r="A190" s="66"/>
      <c r="B190" s="66"/>
      <c r="E190" s="66"/>
      <c r="F190" s="66"/>
      <c r="G190" s="66"/>
      <c r="H190" s="66"/>
      <c r="I190" s="66"/>
      <c r="J190" s="66"/>
    </row>
    <row r="191" spans="1:10">
      <c r="A191" s="66"/>
      <c r="B191" s="66"/>
      <c r="E191" s="66"/>
      <c r="F191" s="66"/>
      <c r="G191" s="66"/>
      <c r="H191" s="66"/>
      <c r="I191" s="66"/>
      <c r="J191" s="66"/>
    </row>
    <row r="192" spans="1:10">
      <c r="A192" s="66"/>
      <c r="B192" s="66"/>
      <c r="E192" s="66"/>
      <c r="F192" s="66"/>
      <c r="G192" s="66"/>
      <c r="H192" s="66"/>
      <c r="I192" s="66"/>
      <c r="J192" s="66"/>
    </row>
    <row r="193" spans="1:10">
      <c r="A193" s="66"/>
      <c r="B193" s="66"/>
      <c r="E193" s="66"/>
      <c r="F193" s="66"/>
      <c r="G193" s="66"/>
      <c r="H193" s="66"/>
      <c r="I193" s="66"/>
      <c r="J193" s="66"/>
    </row>
    <row r="194" spans="1:10">
      <c r="A194" s="66"/>
      <c r="B194" s="66"/>
      <c r="E194" s="66"/>
      <c r="F194" s="66"/>
      <c r="G194" s="66"/>
      <c r="H194" s="66"/>
      <c r="I194" s="66"/>
      <c r="J194" s="66"/>
    </row>
    <row r="195" spans="1:10">
      <c r="A195" s="66"/>
      <c r="B195" s="66"/>
      <c r="E195" s="66"/>
      <c r="F195" s="66"/>
      <c r="G195" s="66"/>
      <c r="H195" s="66"/>
      <c r="I195" s="66"/>
      <c r="J195" s="66"/>
    </row>
    <row r="196" spans="1:10">
      <c r="A196" s="66"/>
      <c r="B196" s="66"/>
      <c r="E196" s="66"/>
      <c r="F196" s="66"/>
      <c r="G196" s="66"/>
      <c r="H196" s="66"/>
      <c r="I196" s="66"/>
      <c r="J196" s="66"/>
    </row>
    <row r="197" spans="1:10">
      <c r="A197" s="66"/>
      <c r="B197" s="66"/>
      <c r="E197" s="66"/>
      <c r="F197" s="66"/>
      <c r="G197" s="66"/>
      <c r="H197" s="66"/>
      <c r="I197" s="66"/>
      <c r="J197" s="66"/>
    </row>
    <row r="198" spans="1:10">
      <c r="A198" s="66"/>
      <c r="B198" s="66"/>
      <c r="E198" s="66"/>
      <c r="F198" s="66"/>
      <c r="G198" s="66"/>
      <c r="H198" s="66"/>
      <c r="I198" s="66"/>
      <c r="J198" s="66"/>
    </row>
    <row r="199" spans="1:10">
      <c r="A199" s="66"/>
      <c r="B199" s="66"/>
      <c r="E199" s="66"/>
      <c r="F199" s="66"/>
      <c r="G199" s="66"/>
      <c r="H199" s="66"/>
      <c r="I199" s="66"/>
      <c r="J199" s="66"/>
    </row>
    <row r="200" spans="1:10">
      <c r="A200" s="66"/>
      <c r="B200" s="66"/>
      <c r="E200" s="66"/>
      <c r="F200" s="66"/>
      <c r="G200" s="66"/>
      <c r="H200" s="66"/>
      <c r="I200" s="66"/>
      <c r="J200" s="66"/>
    </row>
    <row r="201" spans="1:10">
      <c r="A201" s="66"/>
      <c r="B201" s="66"/>
      <c r="E201" s="66"/>
      <c r="F201" s="66"/>
      <c r="G201" s="66"/>
      <c r="H201" s="66"/>
      <c r="I201" s="66"/>
      <c r="J201" s="66"/>
    </row>
    <row r="202" spans="1:10">
      <c r="A202" s="66"/>
      <c r="B202" s="66"/>
      <c r="E202" s="66"/>
      <c r="F202" s="66"/>
      <c r="G202" s="66"/>
      <c r="H202" s="66"/>
      <c r="I202" s="66"/>
      <c r="J202" s="66"/>
    </row>
    <row r="203" spans="1:10">
      <c r="A203" s="66"/>
      <c r="B203" s="66"/>
      <c r="E203" s="66"/>
      <c r="F203" s="66"/>
      <c r="G203" s="66"/>
      <c r="H203" s="66"/>
      <c r="I203" s="66"/>
      <c r="J203" s="66"/>
    </row>
    <row r="204" spans="1:10">
      <c r="A204" s="66"/>
      <c r="B204" s="66"/>
      <c r="E204" s="66"/>
      <c r="F204" s="66"/>
      <c r="G204" s="66"/>
      <c r="H204" s="66"/>
      <c r="I204" s="66"/>
      <c r="J204" s="66"/>
    </row>
    <row r="205" spans="1:10">
      <c r="A205" s="66"/>
      <c r="B205" s="66"/>
      <c r="E205" s="66"/>
      <c r="F205" s="66"/>
      <c r="G205" s="66"/>
      <c r="H205" s="66"/>
      <c r="I205" s="66"/>
      <c r="J205" s="66"/>
    </row>
    <row r="206" spans="1:10">
      <c r="A206" s="66"/>
      <c r="B206" s="66"/>
      <c r="E206" s="66"/>
      <c r="F206" s="66"/>
      <c r="G206" s="66"/>
      <c r="H206" s="66"/>
      <c r="I206" s="66"/>
      <c r="J206" s="66"/>
    </row>
    <row r="207" spans="1:10">
      <c r="A207" s="66"/>
      <c r="B207" s="66"/>
      <c r="E207" s="66"/>
      <c r="F207" s="66"/>
      <c r="G207" s="66"/>
      <c r="H207" s="66"/>
      <c r="I207" s="66"/>
      <c r="J207" s="66"/>
    </row>
    <row r="208" spans="1:10">
      <c r="A208" s="66"/>
      <c r="B208" s="66"/>
      <c r="E208" s="66"/>
      <c r="F208" s="66"/>
      <c r="G208" s="66"/>
      <c r="H208" s="66"/>
      <c r="I208" s="66"/>
      <c r="J208" s="66"/>
    </row>
    <row r="209" spans="1:10">
      <c r="A209" s="66"/>
      <c r="B209" s="66"/>
      <c r="E209" s="66"/>
      <c r="F209" s="66"/>
      <c r="G209" s="66"/>
      <c r="H209" s="66"/>
      <c r="I209" s="66"/>
      <c r="J209" s="66"/>
    </row>
    <row r="210" spans="1:10">
      <c r="A210" s="66"/>
      <c r="B210" s="66"/>
      <c r="E210" s="66"/>
      <c r="F210" s="66"/>
      <c r="G210" s="66"/>
      <c r="H210" s="66"/>
      <c r="I210" s="66"/>
      <c r="J210" s="66"/>
    </row>
    <row r="211" spans="1:10">
      <c r="A211" s="66"/>
      <c r="B211" s="66"/>
      <c r="E211" s="66"/>
      <c r="F211" s="66"/>
      <c r="G211" s="66"/>
      <c r="H211" s="66"/>
      <c r="I211" s="66"/>
      <c r="J211" s="66"/>
    </row>
    <row r="212" spans="1:10">
      <c r="A212" s="66"/>
      <c r="B212" s="66"/>
      <c r="E212" s="66"/>
      <c r="F212" s="66"/>
      <c r="G212" s="66"/>
      <c r="H212" s="66"/>
      <c r="I212" s="66"/>
      <c r="J212" s="66"/>
    </row>
    <row r="213" spans="1:10">
      <c r="A213" s="66"/>
      <c r="B213" s="66"/>
      <c r="E213" s="66"/>
      <c r="F213" s="66"/>
      <c r="G213" s="66"/>
      <c r="H213" s="66"/>
      <c r="I213" s="66"/>
      <c r="J213" s="66"/>
    </row>
    <row r="214" spans="1:10">
      <c r="A214" s="66"/>
      <c r="B214" s="66"/>
      <c r="E214" s="66"/>
      <c r="F214" s="66"/>
      <c r="G214" s="66"/>
      <c r="H214" s="66"/>
      <c r="I214" s="66"/>
      <c r="J214" s="66"/>
    </row>
    <row r="215" spans="1:10">
      <c r="A215" s="66"/>
      <c r="B215" s="66"/>
      <c r="E215" s="66"/>
      <c r="F215" s="66"/>
      <c r="G215" s="66"/>
      <c r="H215" s="66"/>
      <c r="I215" s="66"/>
      <c r="J215" s="66"/>
    </row>
    <row r="216" spans="1:10">
      <c r="A216" s="66"/>
      <c r="B216" s="66"/>
      <c r="E216" s="66"/>
      <c r="F216" s="66"/>
      <c r="G216" s="66"/>
      <c r="H216" s="66"/>
      <c r="I216" s="66"/>
      <c r="J216" s="66"/>
    </row>
    <row r="217" spans="1:10">
      <c r="A217" s="66"/>
      <c r="B217" s="66"/>
      <c r="E217" s="66"/>
      <c r="F217" s="66"/>
      <c r="G217" s="66"/>
      <c r="H217" s="66"/>
      <c r="I217" s="66"/>
      <c r="J217" s="66"/>
    </row>
    <row r="218" spans="1:10">
      <c r="A218" s="66"/>
      <c r="B218" s="66"/>
      <c r="E218" s="66"/>
      <c r="F218" s="66"/>
      <c r="G218" s="66"/>
      <c r="H218" s="66"/>
      <c r="I218" s="66"/>
      <c r="J218" s="66"/>
    </row>
    <row r="219" spans="1:10">
      <c r="A219" s="66"/>
      <c r="B219" s="66"/>
      <c r="E219" s="66"/>
      <c r="F219" s="66"/>
      <c r="G219" s="66"/>
      <c r="H219" s="66"/>
      <c r="I219" s="66"/>
      <c r="J219" s="66"/>
    </row>
    <row r="220" spans="1:10">
      <c r="A220" s="66"/>
      <c r="B220" s="66"/>
      <c r="E220" s="66"/>
      <c r="F220" s="66"/>
      <c r="G220" s="66"/>
      <c r="H220" s="66"/>
      <c r="I220" s="66"/>
      <c r="J220" s="66"/>
    </row>
    <row r="221" spans="1:10">
      <c r="A221" s="66"/>
      <c r="B221" s="66"/>
      <c r="E221" s="66"/>
      <c r="F221" s="66"/>
      <c r="G221" s="66"/>
      <c r="H221" s="66"/>
      <c r="I221" s="66"/>
      <c r="J221" s="66"/>
    </row>
    <row r="222" spans="1:10">
      <c r="A222" s="66"/>
      <c r="B222" s="66"/>
      <c r="E222" s="66"/>
      <c r="F222" s="66"/>
      <c r="G222" s="66"/>
      <c r="H222" s="66"/>
      <c r="I222" s="66"/>
      <c r="J222" s="66"/>
    </row>
    <row r="223" spans="1:10">
      <c r="A223" s="66"/>
      <c r="B223" s="66"/>
      <c r="E223" s="66"/>
      <c r="F223" s="66"/>
      <c r="G223" s="66"/>
      <c r="H223" s="66"/>
      <c r="I223" s="66"/>
      <c r="J223" s="66"/>
    </row>
    <row r="224" spans="1:10">
      <c r="A224" s="66"/>
      <c r="B224" s="66"/>
      <c r="E224" s="66"/>
      <c r="F224" s="66"/>
      <c r="G224" s="66"/>
      <c r="H224" s="66"/>
      <c r="I224" s="66"/>
      <c r="J224" s="66"/>
    </row>
    <row r="225" spans="1:10">
      <c r="A225" s="66"/>
      <c r="B225" s="66"/>
      <c r="E225" s="66"/>
      <c r="F225" s="66"/>
      <c r="G225" s="66"/>
      <c r="H225" s="66"/>
      <c r="I225" s="66"/>
      <c r="J225" s="66"/>
    </row>
    <row r="226" spans="1:10">
      <c r="A226" s="66"/>
      <c r="B226" s="66"/>
      <c r="E226" s="66"/>
      <c r="F226" s="66"/>
      <c r="G226" s="66"/>
      <c r="H226" s="66"/>
      <c r="I226" s="66"/>
      <c r="J226" s="66"/>
    </row>
    <row r="227" spans="1:10">
      <c r="A227" s="66"/>
      <c r="B227" s="66"/>
      <c r="E227" s="66"/>
      <c r="F227" s="66"/>
      <c r="G227" s="66"/>
      <c r="H227" s="66"/>
      <c r="I227" s="66"/>
      <c r="J227" s="66"/>
    </row>
    <row r="228" spans="1:10">
      <c r="A228" s="66"/>
      <c r="B228" s="66"/>
      <c r="E228" s="66"/>
      <c r="F228" s="66"/>
      <c r="G228" s="66"/>
      <c r="H228" s="66"/>
      <c r="I228" s="66"/>
      <c r="J228" s="66"/>
    </row>
    <row r="229" spans="1:10">
      <c r="A229" s="66"/>
      <c r="B229" s="66"/>
      <c r="E229" s="66"/>
      <c r="F229" s="66"/>
      <c r="G229" s="66"/>
      <c r="H229" s="66"/>
      <c r="I229" s="66"/>
      <c r="J229" s="66"/>
    </row>
    <row r="230" spans="1:10">
      <c r="A230" s="66"/>
      <c r="B230" s="66"/>
      <c r="E230" s="66"/>
      <c r="F230" s="66"/>
      <c r="G230" s="66"/>
      <c r="H230" s="66"/>
      <c r="I230" s="66"/>
      <c r="J230" s="66"/>
    </row>
    <row r="231" spans="1:10">
      <c r="A231" s="66"/>
      <c r="B231" s="66"/>
      <c r="E231" s="66"/>
      <c r="F231" s="66"/>
      <c r="G231" s="66"/>
      <c r="H231" s="66"/>
      <c r="I231" s="66"/>
      <c r="J231" s="66"/>
    </row>
    <row r="232" spans="1:10">
      <c r="A232" s="66"/>
      <c r="B232" s="66"/>
      <c r="E232" s="66"/>
      <c r="F232" s="66"/>
      <c r="G232" s="66"/>
      <c r="H232" s="66"/>
      <c r="I232" s="66"/>
      <c r="J232" s="66"/>
    </row>
    <row r="233" spans="1:10">
      <c r="A233" s="66"/>
      <c r="B233" s="66"/>
      <c r="E233" s="66"/>
      <c r="F233" s="66"/>
      <c r="G233" s="66"/>
      <c r="H233" s="66"/>
      <c r="I233" s="66"/>
      <c r="J233" s="66"/>
    </row>
    <row r="234" spans="1:10">
      <c r="A234" s="66"/>
      <c r="B234" s="66"/>
      <c r="E234" s="66"/>
      <c r="F234" s="66"/>
      <c r="G234" s="66"/>
      <c r="H234" s="66"/>
      <c r="I234" s="66"/>
      <c r="J234" s="66"/>
    </row>
    <row r="235" spans="1:10">
      <c r="A235" s="66"/>
      <c r="B235" s="66"/>
      <c r="E235" s="66"/>
      <c r="F235" s="66"/>
      <c r="G235" s="66"/>
      <c r="H235" s="66"/>
      <c r="I235" s="66"/>
      <c r="J235" s="66"/>
    </row>
    <row r="236" spans="1:10">
      <c r="A236" s="66"/>
      <c r="B236" s="66"/>
      <c r="E236" s="66"/>
      <c r="F236" s="66"/>
      <c r="G236" s="66"/>
      <c r="H236" s="66"/>
      <c r="I236" s="66"/>
      <c r="J236" s="66"/>
    </row>
    <row r="237" spans="1:10">
      <c r="A237" s="66"/>
      <c r="B237" s="66"/>
      <c r="E237" s="66"/>
      <c r="F237" s="66"/>
      <c r="G237" s="66"/>
      <c r="H237" s="66"/>
      <c r="I237" s="66"/>
      <c r="J237" s="66"/>
    </row>
    <row r="238" spans="1:10">
      <c r="A238" s="66"/>
      <c r="B238" s="66"/>
      <c r="E238" s="66"/>
      <c r="F238" s="66"/>
      <c r="G238" s="66"/>
      <c r="H238" s="66"/>
      <c r="I238" s="66"/>
      <c r="J238" s="66"/>
    </row>
    <row r="239" spans="1:10">
      <c r="A239" s="66"/>
      <c r="B239" s="66"/>
      <c r="E239" s="66"/>
      <c r="F239" s="66"/>
      <c r="G239" s="66"/>
      <c r="H239" s="66"/>
      <c r="I239" s="66"/>
      <c r="J239" s="66"/>
    </row>
    <row r="240" spans="1:10">
      <c r="A240" s="66"/>
      <c r="B240" s="66"/>
      <c r="E240" s="66"/>
      <c r="F240" s="66"/>
      <c r="G240" s="66"/>
      <c r="H240" s="66"/>
      <c r="I240" s="66"/>
      <c r="J240" s="66"/>
    </row>
    <row r="241" spans="1:10">
      <c r="A241" s="66"/>
      <c r="B241" s="66"/>
      <c r="E241" s="66"/>
      <c r="F241" s="66"/>
      <c r="G241" s="66"/>
      <c r="H241" s="66"/>
      <c r="I241" s="66"/>
      <c r="J241" s="66"/>
    </row>
    <row r="242" spans="1:10">
      <c r="A242" s="66"/>
      <c r="B242" s="66"/>
      <c r="E242" s="66"/>
      <c r="F242" s="66"/>
      <c r="G242" s="66"/>
      <c r="H242" s="66"/>
      <c r="I242" s="66"/>
      <c r="J242" s="66"/>
    </row>
    <row r="243" spans="1:10">
      <c r="A243" s="66"/>
      <c r="B243" s="66"/>
      <c r="E243" s="66"/>
      <c r="F243" s="66"/>
      <c r="G243" s="66"/>
      <c r="H243" s="66"/>
      <c r="I243" s="66"/>
      <c r="J243" s="66"/>
    </row>
    <row r="244" spans="1:10">
      <c r="A244" s="66"/>
      <c r="B244" s="66"/>
      <c r="E244" s="66"/>
      <c r="F244" s="66"/>
      <c r="G244" s="66"/>
      <c r="H244" s="66"/>
      <c r="I244" s="66"/>
      <c r="J244" s="66"/>
    </row>
    <row r="245" spans="1:10">
      <c r="A245" s="66"/>
      <c r="B245" s="66"/>
      <c r="E245" s="66"/>
      <c r="F245" s="66"/>
      <c r="G245" s="66"/>
      <c r="H245" s="66"/>
      <c r="I245" s="66"/>
      <c r="J245" s="66"/>
    </row>
    <row r="246" spans="1:10">
      <c r="A246" s="66"/>
      <c r="B246" s="66"/>
      <c r="E246" s="66"/>
      <c r="F246" s="66"/>
      <c r="G246" s="66"/>
      <c r="H246" s="66"/>
      <c r="I246" s="66"/>
      <c r="J246" s="66"/>
    </row>
    <row r="247" spans="1:10">
      <c r="A247" s="66"/>
      <c r="B247" s="66"/>
      <c r="E247" s="66"/>
      <c r="F247" s="66"/>
      <c r="G247" s="66"/>
      <c r="H247" s="66"/>
      <c r="I247" s="66"/>
      <c r="J247" s="66"/>
    </row>
    <row r="248" spans="1:10">
      <c r="A248" s="66"/>
      <c r="B248" s="66"/>
      <c r="E248" s="66"/>
      <c r="F248" s="66"/>
      <c r="G248" s="66"/>
      <c r="H248" s="66"/>
      <c r="I248" s="66"/>
      <c r="J248" s="66"/>
    </row>
    <row r="249" spans="1:10">
      <c r="A249" s="66"/>
      <c r="B249" s="66"/>
      <c r="E249" s="66"/>
      <c r="F249" s="66"/>
      <c r="G249" s="66"/>
      <c r="H249" s="66"/>
      <c r="I249" s="66"/>
      <c r="J249" s="66"/>
    </row>
    <row r="250" spans="1:10">
      <c r="A250" s="66"/>
      <c r="B250" s="66"/>
      <c r="E250" s="66"/>
      <c r="F250" s="66"/>
      <c r="G250" s="66"/>
      <c r="H250" s="66"/>
      <c r="I250" s="66"/>
      <c r="J250" s="66"/>
    </row>
    <row r="251" spans="1:10">
      <c r="A251" s="66"/>
      <c r="B251" s="66"/>
      <c r="E251" s="66"/>
      <c r="F251" s="66"/>
      <c r="G251" s="66"/>
      <c r="H251" s="66"/>
      <c r="I251" s="66"/>
      <c r="J251" s="66"/>
    </row>
    <row r="252" spans="1:10">
      <c r="A252" s="66"/>
      <c r="B252" s="66"/>
      <c r="E252" s="66"/>
      <c r="F252" s="66"/>
      <c r="G252" s="66"/>
      <c r="H252" s="66"/>
      <c r="I252" s="66"/>
      <c r="J252" s="66"/>
    </row>
    <row r="253" spans="1:10">
      <c r="A253" s="66"/>
      <c r="B253" s="66"/>
      <c r="E253" s="66"/>
      <c r="F253" s="66"/>
      <c r="G253" s="66"/>
      <c r="H253" s="66"/>
      <c r="I253" s="66"/>
      <c r="J253" s="66"/>
    </row>
    <row r="254" spans="1:10">
      <c r="A254" s="66"/>
      <c r="B254" s="66"/>
      <c r="E254" s="66"/>
      <c r="F254" s="66"/>
      <c r="G254" s="66"/>
      <c r="H254" s="66"/>
      <c r="I254" s="66"/>
      <c r="J254" s="66"/>
    </row>
    <row r="255" spans="1:10">
      <c r="A255" s="66"/>
      <c r="B255" s="66"/>
      <c r="E255" s="66"/>
      <c r="F255" s="66"/>
      <c r="G255" s="66"/>
      <c r="H255" s="66"/>
      <c r="I255" s="66"/>
      <c r="J255" s="66"/>
    </row>
    <row r="256" spans="1:10">
      <c r="A256" s="66"/>
      <c r="B256" s="66"/>
      <c r="E256" s="66"/>
      <c r="F256" s="66"/>
      <c r="G256" s="66"/>
      <c r="H256" s="66"/>
      <c r="I256" s="66"/>
      <c r="J256" s="66"/>
    </row>
    <row r="257" spans="1:10">
      <c r="A257" s="66"/>
      <c r="B257" s="66"/>
      <c r="E257" s="66"/>
      <c r="F257" s="66"/>
      <c r="G257" s="66"/>
      <c r="H257" s="66"/>
      <c r="I257" s="66"/>
      <c r="J257" s="66"/>
    </row>
    <row r="258" spans="1:10">
      <c r="A258" s="66"/>
      <c r="B258" s="66"/>
      <c r="E258" s="66"/>
      <c r="F258" s="66"/>
      <c r="G258" s="66"/>
      <c r="H258" s="66"/>
      <c r="I258" s="66"/>
      <c r="J258" s="66"/>
    </row>
    <row r="259" spans="1:10">
      <c r="A259" s="66"/>
      <c r="B259" s="66"/>
      <c r="E259" s="66"/>
      <c r="F259" s="66"/>
      <c r="G259" s="66"/>
      <c r="H259" s="66"/>
      <c r="I259" s="66"/>
      <c r="J259" s="66"/>
    </row>
    <row r="260" spans="1:10">
      <c r="A260" s="66"/>
      <c r="B260" s="66"/>
      <c r="E260" s="66"/>
      <c r="F260" s="66"/>
      <c r="G260" s="66"/>
      <c r="H260" s="66"/>
      <c r="I260" s="66"/>
      <c r="J260" s="66"/>
    </row>
    <row r="261" spans="1:10">
      <c r="A261" s="66"/>
      <c r="B261" s="66"/>
      <c r="E261" s="66"/>
      <c r="F261" s="66"/>
      <c r="G261" s="66"/>
      <c r="H261" s="66"/>
      <c r="I261" s="66"/>
      <c r="J261" s="66"/>
    </row>
    <row r="262" spans="1:10">
      <c r="A262" s="66"/>
      <c r="B262" s="66"/>
      <c r="E262" s="66"/>
      <c r="F262" s="66"/>
      <c r="G262" s="66"/>
      <c r="H262" s="66"/>
      <c r="I262" s="66"/>
      <c r="J262" s="66"/>
    </row>
    <row r="263" spans="1:10">
      <c r="A263" s="66"/>
      <c r="B263" s="66"/>
      <c r="E263" s="66"/>
      <c r="F263" s="66"/>
      <c r="G263" s="66"/>
      <c r="H263" s="66"/>
      <c r="I263" s="66"/>
      <c r="J263" s="66"/>
    </row>
    <row r="264" spans="1:10">
      <c r="A264" s="66"/>
      <c r="B264" s="66"/>
      <c r="E264" s="66"/>
      <c r="F264" s="66"/>
      <c r="G264" s="66"/>
      <c r="H264" s="66"/>
      <c r="I264" s="66"/>
      <c r="J264" s="66"/>
    </row>
    <row r="265" spans="1:10">
      <c r="A265" s="66"/>
      <c r="B265" s="66"/>
      <c r="E265" s="66"/>
      <c r="F265" s="66"/>
      <c r="G265" s="66"/>
      <c r="H265" s="66"/>
      <c r="I265" s="66"/>
      <c r="J265" s="66"/>
    </row>
    <row r="266" spans="1:10">
      <c r="A266" s="66"/>
      <c r="B266" s="66"/>
      <c r="E266" s="66"/>
      <c r="F266" s="66"/>
      <c r="G266" s="66"/>
      <c r="H266" s="66"/>
      <c r="I266" s="66"/>
      <c r="J266" s="66"/>
    </row>
    <row r="267" spans="1:10">
      <c r="A267" s="66"/>
      <c r="B267" s="66"/>
      <c r="E267" s="66"/>
      <c r="F267" s="66"/>
      <c r="G267" s="66"/>
      <c r="H267" s="66"/>
      <c r="I267" s="66"/>
      <c r="J267" s="66"/>
    </row>
    <row r="268" spans="1:10">
      <c r="A268" s="66"/>
      <c r="B268" s="66"/>
      <c r="E268" s="66"/>
      <c r="F268" s="66"/>
      <c r="G268" s="66"/>
      <c r="H268" s="66"/>
      <c r="I268" s="66"/>
      <c r="J268" s="66"/>
    </row>
    <row r="269" spans="1:10">
      <c r="A269" s="66"/>
      <c r="B269" s="66"/>
      <c r="E269" s="66"/>
      <c r="F269" s="66"/>
      <c r="G269" s="66"/>
      <c r="H269" s="66"/>
      <c r="I269" s="66"/>
      <c r="J269" s="66"/>
    </row>
    <row r="270" spans="1:10">
      <c r="A270" s="66"/>
      <c r="B270" s="66"/>
      <c r="E270" s="66"/>
      <c r="F270" s="66"/>
      <c r="G270" s="66"/>
      <c r="H270" s="66"/>
      <c r="I270" s="66"/>
      <c r="J270" s="66"/>
    </row>
    <row r="271" spans="1:10">
      <c r="A271" s="66"/>
      <c r="B271" s="66"/>
      <c r="E271" s="66"/>
      <c r="F271" s="66"/>
      <c r="G271" s="66"/>
      <c r="H271" s="66"/>
      <c r="I271" s="66"/>
      <c r="J271" s="66"/>
    </row>
    <row r="272" spans="1:10">
      <c r="A272" s="66"/>
      <c r="B272" s="66"/>
      <c r="E272" s="66"/>
      <c r="F272" s="66"/>
      <c r="G272" s="66"/>
      <c r="H272" s="66"/>
      <c r="I272" s="66"/>
      <c r="J272" s="66"/>
    </row>
    <row r="273" spans="1:10">
      <c r="A273" s="66"/>
      <c r="B273" s="66"/>
      <c r="E273" s="66"/>
      <c r="F273" s="66"/>
      <c r="G273" s="66"/>
      <c r="H273" s="66"/>
      <c r="I273" s="66"/>
      <c r="J273" s="66"/>
    </row>
    <row r="274" spans="1:10">
      <c r="A274" s="66"/>
      <c r="B274" s="66"/>
      <c r="E274" s="66"/>
      <c r="F274" s="66"/>
      <c r="G274" s="66"/>
      <c r="H274" s="66"/>
      <c r="I274" s="66"/>
      <c r="J274" s="66"/>
    </row>
    <row r="275" spans="1:10">
      <c r="A275" s="66"/>
      <c r="B275" s="66"/>
      <c r="E275" s="66"/>
      <c r="F275" s="66"/>
      <c r="G275" s="66"/>
      <c r="H275" s="66"/>
      <c r="I275" s="66"/>
      <c r="J275" s="66"/>
    </row>
    <row r="276" spans="1:10">
      <c r="A276" s="66"/>
      <c r="B276" s="66"/>
      <c r="E276" s="66"/>
      <c r="F276" s="66"/>
      <c r="G276" s="66"/>
      <c r="H276" s="66"/>
      <c r="I276" s="66"/>
      <c r="J276" s="66"/>
    </row>
    <row r="277" spans="1:10">
      <c r="A277" s="66"/>
      <c r="B277" s="66"/>
      <c r="E277" s="66"/>
      <c r="F277" s="66"/>
      <c r="G277" s="66"/>
      <c r="H277" s="66"/>
      <c r="I277" s="66"/>
      <c r="J277" s="66"/>
    </row>
    <row r="278" spans="1:10">
      <c r="A278" s="66"/>
      <c r="B278" s="66"/>
      <c r="E278" s="66"/>
      <c r="F278" s="66"/>
      <c r="G278" s="66"/>
      <c r="H278" s="66"/>
      <c r="I278" s="66"/>
      <c r="J278" s="66"/>
    </row>
    <row r="279" spans="1:10">
      <c r="A279" s="66"/>
      <c r="B279" s="66"/>
      <c r="E279" s="66"/>
      <c r="F279" s="66"/>
      <c r="G279" s="66"/>
      <c r="H279" s="66"/>
      <c r="I279" s="66"/>
      <c r="J279" s="66"/>
    </row>
    <row r="280" spans="1:10">
      <c r="A280" s="66"/>
      <c r="B280" s="66"/>
      <c r="E280" s="66"/>
      <c r="F280" s="66"/>
      <c r="G280" s="66"/>
      <c r="H280" s="66"/>
      <c r="I280" s="66"/>
      <c r="J280" s="66"/>
    </row>
    <row r="281" spans="1:10">
      <c r="A281" s="66"/>
      <c r="B281" s="66"/>
      <c r="E281" s="66"/>
      <c r="F281" s="66"/>
      <c r="G281" s="66"/>
      <c r="H281" s="66"/>
      <c r="I281" s="66"/>
      <c r="J281" s="66"/>
    </row>
    <row r="282" spans="1:10">
      <c r="A282" s="66"/>
      <c r="B282" s="66"/>
      <c r="E282" s="66"/>
      <c r="F282" s="66"/>
      <c r="G282" s="66"/>
      <c r="H282" s="66"/>
      <c r="I282" s="66"/>
      <c r="J282" s="66"/>
    </row>
    <row r="283" spans="1:10">
      <c r="A283" s="66"/>
      <c r="B283" s="66"/>
      <c r="E283" s="66"/>
      <c r="F283" s="66"/>
      <c r="G283" s="66"/>
      <c r="H283" s="66"/>
      <c r="I283" s="66"/>
      <c r="J283" s="66"/>
    </row>
    <row r="284" spans="1:10">
      <c r="A284" s="66"/>
      <c r="B284" s="66"/>
      <c r="E284" s="66"/>
      <c r="F284" s="66"/>
      <c r="G284" s="66"/>
      <c r="H284" s="66"/>
      <c r="I284" s="66"/>
      <c r="J284" s="66"/>
    </row>
    <row r="285" spans="1:10">
      <c r="A285" s="66"/>
      <c r="B285" s="66"/>
      <c r="E285" s="66"/>
      <c r="F285" s="66"/>
      <c r="G285" s="66"/>
      <c r="H285" s="66"/>
      <c r="I285" s="66"/>
      <c r="J285" s="66"/>
    </row>
    <row r="286" spans="1:10">
      <c r="A286" s="66"/>
      <c r="B286" s="66"/>
      <c r="E286" s="66"/>
      <c r="F286" s="66"/>
      <c r="G286" s="66"/>
      <c r="H286" s="66"/>
      <c r="I286" s="66"/>
      <c r="J286" s="66"/>
    </row>
    <row r="287" spans="1:10">
      <c r="A287" s="66"/>
      <c r="B287" s="66"/>
      <c r="E287" s="66"/>
      <c r="F287" s="66"/>
      <c r="G287" s="66"/>
      <c r="H287" s="66"/>
      <c r="I287" s="66"/>
      <c r="J287" s="66"/>
    </row>
    <row r="288" spans="1:10">
      <c r="A288" s="66"/>
      <c r="B288" s="66"/>
      <c r="E288" s="66"/>
      <c r="F288" s="66"/>
      <c r="G288" s="66"/>
      <c r="H288" s="66"/>
      <c r="I288" s="66"/>
      <c r="J288" s="66"/>
    </row>
    <row r="289" spans="1:10">
      <c r="A289" s="66"/>
      <c r="B289" s="66"/>
      <c r="E289" s="66"/>
      <c r="F289" s="66"/>
      <c r="G289" s="66"/>
      <c r="H289" s="66"/>
      <c r="I289" s="66"/>
      <c r="J289" s="66"/>
    </row>
    <row r="290" spans="1:10">
      <c r="A290" s="66"/>
      <c r="B290" s="66"/>
      <c r="E290" s="66"/>
      <c r="F290" s="66"/>
      <c r="G290" s="66"/>
      <c r="H290" s="66"/>
      <c r="I290" s="66"/>
      <c r="J290" s="66"/>
    </row>
    <row r="291" spans="1:10">
      <c r="A291" s="66"/>
      <c r="B291" s="66"/>
      <c r="E291" s="66"/>
      <c r="F291" s="66"/>
      <c r="G291" s="66"/>
      <c r="H291" s="66"/>
      <c r="I291" s="66"/>
      <c r="J291" s="66"/>
    </row>
    <row r="292" spans="1:10">
      <c r="A292" s="66"/>
      <c r="B292" s="66"/>
      <c r="E292" s="66"/>
      <c r="F292" s="66"/>
      <c r="G292" s="66"/>
      <c r="H292" s="66"/>
      <c r="I292" s="66"/>
      <c r="J292" s="66"/>
    </row>
    <row r="293" spans="1:10">
      <c r="A293" s="66"/>
      <c r="B293" s="66"/>
      <c r="E293" s="66"/>
      <c r="F293" s="66"/>
      <c r="G293" s="66"/>
      <c r="H293" s="66"/>
      <c r="I293" s="66"/>
      <c r="J293" s="66"/>
    </row>
    <row r="294" spans="1:10">
      <c r="A294" s="66"/>
      <c r="B294" s="66"/>
      <c r="E294" s="66"/>
      <c r="F294" s="66"/>
      <c r="G294" s="66"/>
      <c r="H294" s="66"/>
      <c r="I294" s="66"/>
      <c r="J294" s="66"/>
    </row>
    <row r="295" spans="1:10">
      <c r="A295" s="66"/>
      <c r="B295" s="66"/>
      <c r="E295" s="66"/>
      <c r="F295" s="66"/>
      <c r="G295" s="66"/>
      <c r="H295" s="66"/>
      <c r="I295" s="66"/>
      <c r="J295" s="66"/>
    </row>
    <row r="296" spans="1:10">
      <c r="A296" s="66"/>
      <c r="B296" s="66"/>
      <c r="E296" s="66"/>
      <c r="F296" s="66"/>
      <c r="G296" s="66"/>
      <c r="H296" s="66"/>
      <c r="I296" s="66"/>
      <c r="J296" s="66"/>
    </row>
    <row r="297" spans="1:10">
      <c r="A297" s="66"/>
      <c r="B297" s="66"/>
      <c r="E297" s="66"/>
      <c r="F297" s="66"/>
      <c r="G297" s="66"/>
      <c r="H297" s="66"/>
      <c r="I297" s="66"/>
      <c r="J297" s="66"/>
    </row>
    <row r="298" spans="1:10">
      <c r="A298" s="66"/>
      <c r="B298" s="66"/>
      <c r="E298" s="66"/>
      <c r="F298" s="66"/>
      <c r="G298" s="66"/>
      <c r="H298" s="66"/>
      <c r="I298" s="66"/>
      <c r="J298" s="66"/>
    </row>
    <row r="299" spans="1:10">
      <c r="A299" s="66"/>
      <c r="B299" s="66"/>
      <c r="E299" s="66"/>
      <c r="F299" s="66"/>
      <c r="G299" s="66"/>
      <c r="H299" s="66"/>
      <c r="I299" s="66"/>
      <c r="J299" s="66"/>
    </row>
    <row r="300" spans="1:10">
      <c r="A300" s="66"/>
      <c r="B300" s="66"/>
      <c r="E300" s="66"/>
      <c r="F300" s="66"/>
      <c r="G300" s="66"/>
      <c r="H300" s="66"/>
      <c r="I300" s="66"/>
      <c r="J300" s="66"/>
    </row>
    <row r="301" spans="1:10">
      <c r="A301" s="66"/>
      <c r="B301" s="66"/>
      <c r="E301" s="66"/>
      <c r="F301" s="66"/>
      <c r="G301" s="66"/>
      <c r="H301" s="66"/>
      <c r="I301" s="66"/>
      <c r="J301" s="66"/>
    </row>
    <row r="302" spans="1:10">
      <c r="A302" s="66"/>
      <c r="B302" s="66"/>
      <c r="E302" s="66"/>
      <c r="F302" s="66"/>
      <c r="G302" s="66"/>
      <c r="H302" s="66"/>
      <c r="I302" s="66"/>
      <c r="J302" s="66"/>
    </row>
    <row r="303" spans="1:10">
      <c r="A303" s="66"/>
      <c r="B303" s="66"/>
      <c r="E303" s="66"/>
      <c r="F303" s="66"/>
      <c r="G303" s="66"/>
      <c r="H303" s="66"/>
      <c r="I303" s="66"/>
      <c r="J303" s="66"/>
    </row>
    <row r="304" spans="1:10">
      <c r="A304" s="66"/>
      <c r="B304" s="66"/>
      <c r="E304" s="66"/>
      <c r="F304" s="66"/>
      <c r="G304" s="66"/>
      <c r="H304" s="66"/>
      <c r="I304" s="66"/>
      <c r="J304" s="66"/>
    </row>
    <row r="305" spans="1:10">
      <c r="A305" s="66"/>
      <c r="B305" s="66"/>
      <c r="E305" s="66"/>
      <c r="F305" s="66"/>
      <c r="G305" s="66"/>
      <c r="H305" s="66"/>
      <c r="I305" s="66"/>
      <c r="J305" s="66"/>
    </row>
    <row r="306" spans="1:10">
      <c r="A306" s="66"/>
      <c r="B306" s="66"/>
      <c r="E306" s="66"/>
      <c r="F306" s="66"/>
      <c r="G306" s="66"/>
      <c r="H306" s="66"/>
      <c r="I306" s="66"/>
      <c r="J306" s="66"/>
    </row>
    <row r="307" spans="1:10">
      <c r="A307" s="66"/>
      <c r="B307" s="66"/>
      <c r="E307" s="66"/>
      <c r="F307" s="66"/>
      <c r="G307" s="66"/>
      <c r="H307" s="66"/>
      <c r="I307" s="66"/>
      <c r="J307" s="66"/>
    </row>
    <row r="308" spans="1:10">
      <c r="A308" s="66"/>
      <c r="B308" s="66"/>
      <c r="E308" s="66"/>
      <c r="F308" s="66"/>
      <c r="G308" s="66"/>
      <c r="H308" s="66"/>
      <c r="I308" s="66"/>
      <c r="J308" s="66"/>
    </row>
    <row r="309" spans="1:10">
      <c r="A309" s="66"/>
      <c r="B309" s="66"/>
      <c r="E309" s="66"/>
      <c r="F309" s="66"/>
      <c r="G309" s="66"/>
      <c r="H309" s="66"/>
      <c r="I309" s="66"/>
      <c r="J309" s="66"/>
    </row>
    <row r="310" spans="1:10">
      <c r="A310" s="66"/>
      <c r="B310" s="66"/>
      <c r="E310" s="66"/>
      <c r="F310" s="66"/>
      <c r="G310" s="66"/>
      <c r="H310" s="66"/>
      <c r="I310" s="66"/>
      <c r="J310" s="66"/>
    </row>
    <row r="311" spans="1:10">
      <c r="A311" s="66"/>
      <c r="B311" s="66"/>
      <c r="E311" s="66"/>
      <c r="F311" s="66"/>
      <c r="G311" s="66"/>
      <c r="H311" s="66"/>
      <c r="I311" s="66"/>
      <c r="J311" s="66"/>
    </row>
    <row r="312" spans="1:10">
      <c r="A312" s="66"/>
      <c r="B312" s="66"/>
      <c r="E312" s="66"/>
      <c r="F312" s="66"/>
      <c r="G312" s="66"/>
      <c r="H312" s="66"/>
      <c r="I312" s="66"/>
      <c r="J312" s="66"/>
    </row>
    <row r="313" spans="1:10">
      <c r="A313" s="66"/>
      <c r="B313" s="66"/>
      <c r="E313" s="66"/>
      <c r="F313" s="66"/>
      <c r="G313" s="66"/>
      <c r="H313" s="66"/>
      <c r="I313" s="66"/>
      <c r="J313" s="66"/>
    </row>
    <row r="314" spans="1:10">
      <c r="A314" s="66"/>
      <c r="B314" s="66"/>
      <c r="E314" s="66"/>
      <c r="F314" s="66"/>
      <c r="G314" s="66"/>
      <c r="H314" s="66"/>
      <c r="I314" s="66"/>
      <c r="J314" s="66"/>
    </row>
    <row r="315" spans="1:10">
      <c r="A315" s="66"/>
      <c r="B315" s="66"/>
      <c r="E315" s="66"/>
      <c r="F315" s="66"/>
      <c r="G315" s="66"/>
      <c r="H315" s="66"/>
      <c r="I315" s="66"/>
      <c r="J315" s="66"/>
    </row>
    <row r="316" spans="1:10">
      <c r="A316" s="66"/>
      <c r="B316" s="66"/>
      <c r="E316" s="66"/>
      <c r="F316" s="66"/>
      <c r="G316" s="66"/>
      <c r="H316" s="66"/>
      <c r="I316" s="66"/>
      <c r="J316" s="66"/>
    </row>
    <row r="317" spans="1:10">
      <c r="A317" s="66"/>
      <c r="B317" s="66"/>
      <c r="E317" s="66"/>
      <c r="F317" s="66"/>
      <c r="G317" s="66"/>
      <c r="H317" s="66"/>
      <c r="I317" s="66"/>
      <c r="J317" s="66"/>
    </row>
    <row r="318" spans="1:10">
      <c r="A318" s="66"/>
      <c r="B318" s="66"/>
      <c r="E318" s="66"/>
      <c r="F318" s="66"/>
      <c r="G318" s="66"/>
      <c r="H318" s="66"/>
      <c r="I318" s="66"/>
      <c r="J318" s="66"/>
    </row>
    <row r="319" spans="1:10">
      <c r="A319" s="66"/>
      <c r="B319" s="66"/>
      <c r="E319" s="66"/>
      <c r="F319" s="66"/>
      <c r="G319" s="66"/>
      <c r="H319" s="66"/>
      <c r="I319" s="66"/>
      <c r="J319" s="66"/>
    </row>
    <row r="320" spans="1:10">
      <c r="A320" s="66"/>
      <c r="B320" s="66"/>
      <c r="E320" s="66"/>
      <c r="F320" s="66"/>
      <c r="G320" s="66"/>
      <c r="H320" s="66"/>
      <c r="I320" s="66"/>
      <c r="J320" s="66"/>
    </row>
    <row r="321" spans="1:10">
      <c r="A321" s="66"/>
      <c r="B321" s="66"/>
      <c r="E321" s="66"/>
      <c r="F321" s="66"/>
      <c r="G321" s="66"/>
      <c r="H321" s="66"/>
      <c r="I321" s="66"/>
      <c r="J321" s="66"/>
    </row>
    <row r="322" spans="1:10">
      <c r="A322" s="66"/>
      <c r="B322" s="66"/>
      <c r="E322" s="66"/>
      <c r="F322" s="66"/>
      <c r="G322" s="66"/>
      <c r="H322" s="66"/>
      <c r="I322" s="66"/>
      <c r="J322" s="66"/>
    </row>
    <row r="323" spans="1:10">
      <c r="A323" s="66"/>
      <c r="B323" s="66"/>
      <c r="E323" s="66"/>
      <c r="F323" s="66"/>
      <c r="G323" s="66"/>
      <c r="H323" s="66"/>
      <c r="I323" s="66"/>
      <c r="J323" s="66"/>
    </row>
    <row r="324" spans="1:10">
      <c r="A324" s="66"/>
      <c r="B324" s="66"/>
      <c r="E324" s="66"/>
      <c r="F324" s="66"/>
      <c r="G324" s="66"/>
      <c r="H324" s="66"/>
      <c r="I324" s="66"/>
      <c r="J324" s="66"/>
    </row>
    <row r="325" spans="1:10">
      <c r="A325" s="66"/>
      <c r="B325" s="66"/>
      <c r="E325" s="66"/>
      <c r="F325" s="66"/>
      <c r="G325" s="66"/>
      <c r="H325" s="66"/>
      <c r="I325" s="66"/>
      <c r="J325" s="66"/>
    </row>
    <row r="326" spans="1:10">
      <c r="A326" s="66"/>
      <c r="B326" s="66"/>
      <c r="E326" s="66"/>
      <c r="F326" s="66"/>
      <c r="G326" s="66"/>
      <c r="H326" s="66"/>
      <c r="I326" s="66"/>
      <c r="J326" s="66"/>
    </row>
    <row r="327" spans="1:10">
      <c r="A327" s="66"/>
      <c r="B327" s="66"/>
      <c r="E327" s="66"/>
      <c r="F327" s="66"/>
      <c r="G327" s="66"/>
      <c r="H327" s="66"/>
      <c r="I327" s="66"/>
      <c r="J327" s="66"/>
    </row>
    <row r="328" spans="1:10">
      <c r="A328" s="66"/>
      <c r="B328" s="66"/>
      <c r="E328" s="66"/>
      <c r="F328" s="66"/>
      <c r="G328" s="66"/>
      <c r="H328" s="66"/>
      <c r="I328" s="66"/>
      <c r="J328" s="66"/>
    </row>
    <row r="329" spans="1:10">
      <c r="A329" s="66"/>
      <c r="B329" s="66"/>
      <c r="E329" s="66"/>
      <c r="F329" s="66"/>
      <c r="G329" s="66"/>
      <c r="H329" s="66"/>
      <c r="I329" s="66"/>
      <c r="J329" s="66"/>
    </row>
    <row r="330" spans="1:10">
      <c r="A330" s="66"/>
      <c r="B330" s="66"/>
      <c r="E330" s="66"/>
      <c r="F330" s="66"/>
      <c r="G330" s="66"/>
      <c r="H330" s="66"/>
      <c r="I330" s="66"/>
      <c r="J330" s="66"/>
    </row>
    <row r="331" spans="1:10">
      <c r="A331" s="66"/>
      <c r="B331" s="66"/>
      <c r="E331" s="66"/>
      <c r="F331" s="66"/>
      <c r="G331" s="66"/>
      <c r="H331" s="66"/>
      <c r="I331" s="66"/>
      <c r="J331" s="66"/>
    </row>
    <row r="332" spans="1:10">
      <c r="A332" s="66"/>
      <c r="B332" s="66"/>
      <c r="E332" s="66"/>
      <c r="F332" s="66"/>
      <c r="G332" s="66"/>
      <c r="H332" s="66"/>
      <c r="I332" s="66"/>
      <c r="J332" s="66"/>
    </row>
    <row r="333" spans="1:10">
      <c r="A333" s="66"/>
      <c r="B333" s="66"/>
      <c r="E333" s="66"/>
      <c r="F333" s="66"/>
      <c r="G333" s="66"/>
      <c r="H333" s="66"/>
      <c r="I333" s="66"/>
      <c r="J333" s="66"/>
    </row>
    <row r="334" spans="1:10">
      <c r="A334" s="66"/>
      <c r="B334" s="66"/>
      <c r="E334" s="66"/>
      <c r="F334" s="66"/>
      <c r="G334" s="66"/>
      <c r="H334" s="66"/>
      <c r="I334" s="66"/>
      <c r="J334" s="66"/>
    </row>
    <row r="335" spans="1:10">
      <c r="A335" s="66"/>
      <c r="B335" s="66"/>
      <c r="E335" s="66"/>
      <c r="F335" s="66"/>
      <c r="G335" s="66"/>
      <c r="H335" s="66"/>
      <c r="I335" s="66"/>
      <c r="J335" s="66"/>
    </row>
    <row r="336" spans="1:10">
      <c r="A336" s="66"/>
      <c r="B336" s="66"/>
      <c r="E336" s="66"/>
      <c r="F336" s="66"/>
      <c r="G336" s="66"/>
      <c r="H336" s="66"/>
      <c r="I336" s="66"/>
      <c r="J336" s="66"/>
    </row>
    <row r="337" spans="1:10">
      <c r="A337" s="66"/>
      <c r="B337" s="66"/>
      <c r="E337" s="66"/>
      <c r="F337" s="66"/>
      <c r="G337" s="66"/>
      <c r="H337" s="66"/>
      <c r="I337" s="66"/>
      <c r="J337" s="66"/>
    </row>
    <row r="338" spans="1:10">
      <c r="A338" s="66"/>
      <c r="B338" s="66"/>
      <c r="E338" s="66"/>
      <c r="F338" s="66"/>
      <c r="G338" s="66"/>
      <c r="H338" s="66"/>
      <c r="I338" s="66"/>
      <c r="J338" s="66"/>
    </row>
    <row r="339" spans="1:10">
      <c r="A339" s="66"/>
      <c r="B339" s="66"/>
      <c r="E339" s="66"/>
      <c r="F339" s="66"/>
      <c r="G339" s="66"/>
      <c r="H339" s="66"/>
      <c r="I339" s="66"/>
      <c r="J339" s="66"/>
    </row>
    <row r="340" spans="1:10">
      <c r="A340" s="66"/>
      <c r="B340" s="66"/>
      <c r="E340" s="66"/>
      <c r="F340" s="66"/>
      <c r="G340" s="66"/>
      <c r="H340" s="66"/>
      <c r="I340" s="66"/>
      <c r="J340" s="66"/>
    </row>
    <row r="341" spans="1:10">
      <c r="A341" s="66"/>
      <c r="B341" s="66"/>
      <c r="E341" s="66"/>
      <c r="F341" s="66"/>
      <c r="G341" s="66"/>
      <c r="H341" s="66"/>
      <c r="I341" s="66"/>
      <c r="J341" s="66"/>
    </row>
    <row r="342" spans="1:10">
      <c r="A342" s="66"/>
      <c r="B342" s="66"/>
      <c r="E342" s="66"/>
      <c r="F342" s="66"/>
      <c r="G342" s="66"/>
      <c r="H342" s="66"/>
      <c r="I342" s="66"/>
      <c r="J342" s="66"/>
    </row>
    <row r="343" spans="1:10">
      <c r="A343" s="66"/>
      <c r="B343" s="66"/>
      <c r="E343" s="66"/>
      <c r="F343" s="66"/>
      <c r="G343" s="66"/>
      <c r="H343" s="66"/>
      <c r="I343" s="66"/>
      <c r="J343" s="66"/>
    </row>
    <row r="344" spans="1:10">
      <c r="A344" s="66"/>
      <c r="B344" s="66"/>
      <c r="E344" s="66"/>
      <c r="F344" s="66"/>
      <c r="G344" s="66"/>
      <c r="H344" s="66"/>
      <c r="I344" s="66"/>
      <c r="J344" s="66"/>
    </row>
    <row r="345" spans="1:10">
      <c r="A345" s="66"/>
      <c r="B345" s="66"/>
      <c r="E345" s="66"/>
      <c r="F345" s="66"/>
      <c r="G345" s="66"/>
      <c r="H345" s="66"/>
      <c r="I345" s="66"/>
      <c r="J345" s="66"/>
    </row>
    <row r="346" spans="1:10">
      <c r="A346" s="66"/>
      <c r="B346" s="66"/>
      <c r="E346" s="66"/>
      <c r="F346" s="66"/>
      <c r="G346" s="66"/>
      <c r="H346" s="66"/>
      <c r="I346" s="66"/>
      <c r="J346" s="66"/>
    </row>
    <row r="347" spans="1:10">
      <c r="A347" s="66"/>
      <c r="B347" s="66"/>
      <c r="E347" s="66"/>
      <c r="F347" s="66"/>
      <c r="G347" s="66"/>
      <c r="H347" s="66"/>
      <c r="I347" s="66"/>
      <c r="J347" s="66"/>
    </row>
    <row r="348" spans="1:10">
      <c r="A348" s="66"/>
      <c r="B348" s="66"/>
      <c r="E348" s="66"/>
      <c r="F348" s="66"/>
      <c r="G348" s="66"/>
      <c r="H348" s="66"/>
      <c r="I348" s="66"/>
      <c r="J348" s="66"/>
    </row>
    <row r="349" spans="1:10">
      <c r="A349" s="66"/>
      <c r="B349" s="66"/>
      <c r="E349" s="66"/>
      <c r="F349" s="66"/>
      <c r="G349" s="66"/>
      <c r="H349" s="66"/>
      <c r="I349" s="66"/>
      <c r="J349" s="66"/>
    </row>
    <row r="350" spans="1:10">
      <c r="A350" s="66"/>
      <c r="B350" s="66"/>
      <c r="E350" s="66"/>
      <c r="F350" s="66"/>
      <c r="G350" s="66"/>
      <c r="H350" s="66"/>
      <c r="I350" s="66"/>
      <c r="J350" s="66"/>
    </row>
    <row r="351" spans="1:10">
      <c r="A351" s="66"/>
      <c r="B351" s="66"/>
      <c r="E351" s="66"/>
      <c r="F351" s="66"/>
      <c r="G351" s="66"/>
      <c r="H351" s="66"/>
      <c r="I351" s="66"/>
      <c r="J351" s="66"/>
    </row>
    <row r="352" spans="1:10">
      <c r="A352" s="66"/>
      <c r="B352" s="66"/>
      <c r="E352" s="66"/>
      <c r="F352" s="66"/>
      <c r="G352" s="66"/>
      <c r="H352" s="66"/>
      <c r="I352" s="66"/>
      <c r="J352" s="66"/>
    </row>
    <row r="353" spans="1:10">
      <c r="A353" s="66"/>
      <c r="B353" s="66"/>
      <c r="E353" s="66"/>
      <c r="F353" s="66"/>
      <c r="G353" s="66"/>
      <c r="H353" s="66"/>
      <c r="I353" s="66"/>
      <c r="J353" s="66"/>
    </row>
    <row r="354" spans="1:10">
      <c r="A354" s="66"/>
      <c r="B354" s="66"/>
      <c r="E354" s="66"/>
      <c r="F354" s="66"/>
      <c r="G354" s="66"/>
      <c r="H354" s="66"/>
      <c r="I354" s="66"/>
      <c r="J354" s="66"/>
    </row>
    <row r="355" spans="1:10">
      <c r="A355" s="66"/>
      <c r="B355" s="66"/>
      <c r="E355" s="66"/>
      <c r="F355" s="66"/>
      <c r="G355" s="66"/>
      <c r="H355" s="66"/>
      <c r="I355" s="66"/>
      <c r="J355" s="66"/>
    </row>
    <row r="356" spans="1:10">
      <c r="A356" s="66"/>
      <c r="B356" s="66"/>
      <c r="E356" s="66"/>
      <c r="F356" s="66"/>
      <c r="G356" s="66"/>
      <c r="H356" s="66"/>
      <c r="I356" s="66"/>
      <c r="J356" s="66"/>
    </row>
    <row r="357" spans="1:10">
      <c r="A357" s="66"/>
      <c r="B357" s="66"/>
      <c r="E357" s="66"/>
      <c r="F357" s="66"/>
      <c r="G357" s="66"/>
      <c r="H357" s="66"/>
      <c r="I357" s="66"/>
      <c r="J357" s="66"/>
    </row>
    <row r="358" spans="1:10">
      <c r="A358" s="66"/>
      <c r="B358" s="66"/>
      <c r="E358" s="66"/>
      <c r="F358" s="66"/>
      <c r="G358" s="66"/>
      <c r="H358" s="66"/>
      <c r="I358" s="66"/>
      <c r="J358" s="66"/>
    </row>
    <row r="359" spans="1:10">
      <c r="A359" s="66"/>
      <c r="B359" s="66"/>
      <c r="E359" s="66"/>
      <c r="F359" s="66"/>
      <c r="G359" s="66"/>
      <c r="H359" s="66"/>
      <c r="I359" s="66"/>
      <c r="J359" s="66"/>
    </row>
    <row r="360" spans="1:10">
      <c r="A360" s="66"/>
      <c r="B360" s="66"/>
      <c r="E360" s="66"/>
      <c r="F360" s="66"/>
      <c r="G360" s="66"/>
      <c r="H360" s="66"/>
      <c r="I360" s="66"/>
      <c r="J360" s="66"/>
    </row>
    <row r="361" spans="1:10">
      <c r="A361" s="66"/>
      <c r="B361" s="66"/>
      <c r="E361" s="66"/>
      <c r="F361" s="66"/>
      <c r="G361" s="66"/>
      <c r="H361" s="66"/>
      <c r="I361" s="66"/>
      <c r="J361" s="66"/>
    </row>
    <row r="362" spans="1:10">
      <c r="A362" s="66"/>
      <c r="B362" s="66"/>
      <c r="E362" s="66"/>
      <c r="F362" s="66"/>
      <c r="G362" s="66"/>
      <c r="H362" s="66"/>
      <c r="I362" s="66"/>
      <c r="J362" s="66"/>
    </row>
    <row r="363" spans="1:10">
      <c r="A363" s="66"/>
      <c r="B363" s="66"/>
      <c r="E363" s="66"/>
      <c r="F363" s="66"/>
      <c r="G363" s="66"/>
      <c r="H363" s="66"/>
      <c r="I363" s="66"/>
      <c r="J363" s="66"/>
    </row>
    <row r="364" spans="1:10">
      <c r="A364" s="66"/>
      <c r="B364" s="66"/>
      <c r="E364" s="66"/>
      <c r="F364" s="66"/>
      <c r="G364" s="66"/>
      <c r="H364" s="66"/>
      <c r="I364" s="66"/>
      <c r="J364" s="66"/>
    </row>
    <row r="365" spans="1:10">
      <c r="A365" s="66"/>
      <c r="B365" s="66"/>
      <c r="E365" s="66"/>
      <c r="F365" s="66"/>
      <c r="G365" s="66"/>
      <c r="H365" s="66"/>
      <c r="I365" s="66"/>
      <c r="J365" s="66"/>
    </row>
    <row r="366" spans="1:10">
      <c r="A366" s="66"/>
      <c r="B366" s="66"/>
      <c r="E366" s="66"/>
      <c r="F366" s="66"/>
      <c r="G366" s="66"/>
      <c r="H366" s="66"/>
      <c r="I366" s="66"/>
      <c r="J366" s="66"/>
    </row>
    <row r="367" spans="1:10">
      <c r="A367" s="66"/>
      <c r="B367" s="66"/>
      <c r="E367" s="66"/>
      <c r="F367" s="66"/>
      <c r="G367" s="66"/>
      <c r="H367" s="66"/>
      <c r="I367" s="66"/>
      <c r="J367" s="66"/>
    </row>
    <row r="368" spans="1:10">
      <c r="A368" s="66"/>
      <c r="B368" s="66"/>
      <c r="E368" s="66"/>
      <c r="F368" s="66"/>
      <c r="G368" s="66"/>
      <c r="H368" s="66"/>
      <c r="I368" s="66"/>
      <c r="J368" s="66"/>
    </row>
    <row r="369" spans="1:10">
      <c r="A369" s="66"/>
      <c r="B369" s="66"/>
      <c r="E369" s="66"/>
      <c r="F369" s="66"/>
      <c r="G369" s="66"/>
      <c r="H369" s="66"/>
      <c r="I369" s="66"/>
      <c r="J369" s="66"/>
    </row>
    <row r="370" spans="1:10">
      <c r="A370" s="66"/>
      <c r="B370" s="66"/>
      <c r="E370" s="66"/>
      <c r="F370" s="66"/>
      <c r="G370" s="66"/>
      <c r="H370" s="66"/>
      <c r="I370" s="66"/>
      <c r="J370" s="66"/>
    </row>
    <row r="371" spans="1:10">
      <c r="A371" s="66"/>
      <c r="B371" s="66"/>
      <c r="E371" s="66"/>
      <c r="F371" s="66"/>
      <c r="G371" s="66"/>
      <c r="H371" s="66"/>
      <c r="I371" s="66"/>
      <c r="J371" s="66"/>
    </row>
    <row r="372" spans="1:10">
      <c r="A372" s="66"/>
      <c r="B372" s="66"/>
      <c r="E372" s="66"/>
      <c r="F372" s="66"/>
      <c r="G372" s="66"/>
      <c r="H372" s="66"/>
      <c r="I372" s="66"/>
      <c r="J372" s="66"/>
    </row>
    <row r="373" spans="1:10">
      <c r="A373" s="66"/>
      <c r="B373" s="66"/>
      <c r="E373" s="66"/>
      <c r="F373" s="66"/>
      <c r="G373" s="66"/>
      <c r="H373" s="66"/>
      <c r="I373" s="66"/>
      <c r="J373" s="66"/>
    </row>
    <row r="374" spans="1:10">
      <c r="A374" s="66"/>
      <c r="B374" s="66"/>
      <c r="E374" s="66"/>
      <c r="F374" s="66"/>
      <c r="G374" s="66"/>
      <c r="H374" s="66"/>
      <c r="I374" s="66"/>
      <c r="J374" s="66"/>
    </row>
    <row r="375" spans="1:10">
      <c r="A375" s="66"/>
      <c r="B375" s="66"/>
      <c r="E375" s="66"/>
      <c r="F375" s="66"/>
      <c r="G375" s="66"/>
      <c r="H375" s="66"/>
      <c r="I375" s="66"/>
      <c r="J375" s="66"/>
    </row>
    <row r="376" spans="1:10">
      <c r="A376" s="66"/>
      <c r="B376" s="66"/>
      <c r="E376" s="66"/>
      <c r="F376" s="66"/>
      <c r="G376" s="66"/>
      <c r="H376" s="66"/>
      <c r="I376" s="66"/>
      <c r="J376" s="66"/>
    </row>
    <row r="377" spans="1:10">
      <c r="A377" s="66"/>
      <c r="B377" s="66"/>
      <c r="E377" s="66"/>
      <c r="F377" s="66"/>
      <c r="G377" s="66"/>
      <c r="H377" s="66"/>
      <c r="I377" s="66"/>
      <c r="J377" s="66"/>
    </row>
    <row r="378" spans="1:10">
      <c r="A378" s="66"/>
      <c r="B378" s="66"/>
      <c r="E378" s="66"/>
      <c r="F378" s="66"/>
      <c r="G378" s="66"/>
      <c r="H378" s="66"/>
      <c r="I378" s="66"/>
      <c r="J378" s="66"/>
    </row>
    <row r="379" spans="1:10">
      <c r="A379" s="66"/>
      <c r="B379" s="66"/>
      <c r="E379" s="66"/>
      <c r="F379" s="66"/>
      <c r="G379" s="66"/>
      <c r="H379" s="66"/>
      <c r="I379" s="66"/>
      <c r="J379" s="66"/>
    </row>
    <row r="380" spans="1:10">
      <c r="A380" s="66"/>
      <c r="B380" s="66"/>
      <c r="E380" s="66"/>
      <c r="F380" s="66"/>
      <c r="G380" s="66"/>
      <c r="H380" s="66"/>
      <c r="I380" s="66"/>
      <c r="J380" s="66"/>
    </row>
    <row r="381" spans="1:10">
      <c r="A381" s="66"/>
      <c r="B381" s="66"/>
      <c r="E381" s="66"/>
      <c r="F381" s="66"/>
      <c r="G381" s="66"/>
      <c r="H381" s="66"/>
      <c r="I381" s="66"/>
      <c r="J381" s="66"/>
    </row>
    <row r="382" spans="1:10">
      <c r="A382" s="66"/>
      <c r="B382" s="66"/>
      <c r="E382" s="66"/>
      <c r="F382" s="66"/>
      <c r="G382" s="66"/>
      <c r="H382" s="66"/>
      <c r="I382" s="66"/>
      <c r="J382" s="66"/>
    </row>
    <row r="383" spans="1:10">
      <c r="A383" s="66"/>
      <c r="B383" s="66"/>
      <c r="E383" s="66"/>
      <c r="F383" s="66"/>
      <c r="G383" s="66"/>
      <c r="H383" s="66"/>
      <c r="I383" s="66"/>
      <c r="J383" s="66"/>
    </row>
    <row r="384" spans="1:10">
      <c r="A384" s="66"/>
      <c r="B384" s="66"/>
      <c r="E384" s="66"/>
      <c r="F384" s="66"/>
      <c r="G384" s="66"/>
      <c r="H384" s="66"/>
      <c r="I384" s="66"/>
      <c r="J384" s="66"/>
    </row>
    <row r="385" spans="1:10">
      <c r="A385" s="66"/>
      <c r="B385" s="66"/>
      <c r="E385" s="66"/>
      <c r="F385" s="66"/>
      <c r="G385" s="66"/>
      <c r="H385" s="66"/>
      <c r="I385" s="66"/>
      <c r="J385" s="66"/>
    </row>
    <row r="386" spans="1:10">
      <c r="A386" s="66"/>
      <c r="B386" s="66"/>
      <c r="E386" s="66"/>
      <c r="F386" s="66"/>
      <c r="G386" s="66"/>
      <c r="H386" s="66"/>
      <c r="I386" s="66"/>
      <c r="J386" s="66"/>
    </row>
    <row r="387" spans="1:10">
      <c r="A387" s="66"/>
      <c r="B387" s="66"/>
      <c r="E387" s="66"/>
      <c r="F387" s="66"/>
      <c r="G387" s="66"/>
      <c r="H387" s="66"/>
      <c r="I387" s="66"/>
      <c r="J387" s="66"/>
    </row>
    <row r="388" spans="1:10">
      <c r="A388" s="66"/>
      <c r="B388" s="66"/>
      <c r="E388" s="66"/>
      <c r="F388" s="66"/>
      <c r="G388" s="66"/>
      <c r="H388" s="66"/>
      <c r="I388" s="66"/>
      <c r="J388" s="66"/>
    </row>
    <row r="389" spans="1:10">
      <c r="A389" s="66"/>
      <c r="B389" s="66"/>
      <c r="E389" s="66"/>
      <c r="F389" s="66"/>
      <c r="G389" s="66"/>
      <c r="H389" s="66"/>
      <c r="I389" s="66"/>
      <c r="J389" s="66"/>
    </row>
    <row r="390" spans="1:10">
      <c r="A390" s="66"/>
      <c r="B390" s="66"/>
      <c r="E390" s="66"/>
      <c r="F390" s="66"/>
      <c r="G390" s="66"/>
      <c r="H390" s="66"/>
      <c r="I390" s="66"/>
      <c r="J390" s="66"/>
    </row>
    <row r="391" spans="1:10">
      <c r="A391" s="66"/>
      <c r="B391" s="66"/>
      <c r="E391" s="66"/>
      <c r="F391" s="66"/>
      <c r="G391" s="66"/>
      <c r="H391" s="66"/>
      <c r="I391" s="66"/>
      <c r="J391" s="66"/>
    </row>
    <row r="392" spans="1:10">
      <c r="A392" s="66"/>
      <c r="B392" s="66"/>
      <c r="E392" s="66"/>
      <c r="F392" s="66"/>
      <c r="G392" s="66"/>
      <c r="H392" s="66"/>
      <c r="I392" s="66"/>
      <c r="J392" s="66"/>
    </row>
    <row r="393" spans="1:10">
      <c r="A393" s="66"/>
      <c r="B393" s="66"/>
      <c r="E393" s="66"/>
      <c r="F393" s="66"/>
      <c r="G393" s="66"/>
      <c r="H393" s="66"/>
      <c r="I393" s="66"/>
      <c r="J393" s="66"/>
    </row>
    <row r="394" spans="1:10">
      <c r="A394" s="66"/>
      <c r="B394" s="66"/>
      <c r="E394" s="66"/>
      <c r="F394" s="66"/>
      <c r="G394" s="66"/>
      <c r="H394" s="66"/>
      <c r="I394" s="66"/>
      <c r="J394" s="66"/>
    </row>
    <row r="395" spans="1:10">
      <c r="A395" s="66"/>
      <c r="B395" s="66"/>
      <c r="E395" s="66"/>
      <c r="F395" s="66"/>
      <c r="G395" s="66"/>
      <c r="H395" s="66"/>
      <c r="I395" s="66"/>
      <c r="J395" s="66"/>
    </row>
    <row r="396" spans="1:10">
      <c r="A396" s="66"/>
      <c r="B396" s="66"/>
      <c r="E396" s="66"/>
      <c r="F396" s="66"/>
      <c r="G396" s="66"/>
      <c r="H396" s="66"/>
      <c r="I396" s="66"/>
      <c r="J396" s="66"/>
    </row>
    <row r="397" spans="1:10">
      <c r="A397" s="66"/>
      <c r="B397" s="66"/>
      <c r="E397" s="66"/>
      <c r="F397" s="66"/>
      <c r="G397" s="66"/>
      <c r="H397" s="66"/>
      <c r="I397" s="66"/>
      <c r="J397" s="66"/>
    </row>
    <row r="398" spans="1:10">
      <c r="A398" s="66"/>
      <c r="B398" s="66"/>
      <c r="E398" s="66"/>
      <c r="F398" s="66"/>
      <c r="G398" s="66"/>
      <c r="H398" s="66"/>
      <c r="I398" s="66"/>
      <c r="J398" s="66"/>
    </row>
    <row r="399" spans="1:10">
      <c r="A399" s="66"/>
      <c r="B399" s="66"/>
      <c r="E399" s="66"/>
      <c r="F399" s="66"/>
      <c r="G399" s="66"/>
      <c r="H399" s="66"/>
      <c r="I399" s="66"/>
      <c r="J399" s="66"/>
    </row>
    <row r="400" spans="1:10">
      <c r="A400" s="66"/>
      <c r="B400" s="66"/>
      <c r="E400" s="66"/>
      <c r="F400" s="66"/>
      <c r="G400" s="66"/>
      <c r="H400" s="66"/>
      <c r="I400" s="66"/>
      <c r="J400" s="66"/>
    </row>
    <row r="401" spans="1:10">
      <c r="A401" s="66"/>
      <c r="B401" s="66"/>
      <c r="E401" s="66"/>
      <c r="F401" s="66"/>
      <c r="G401" s="66"/>
      <c r="H401" s="66"/>
      <c r="I401" s="66"/>
      <c r="J401" s="66"/>
    </row>
    <row r="402" spans="1:10">
      <c r="A402" s="66"/>
      <c r="B402" s="66"/>
      <c r="E402" s="66"/>
      <c r="F402" s="66"/>
      <c r="G402" s="66"/>
      <c r="H402" s="66"/>
      <c r="I402" s="66"/>
      <c r="J402" s="66"/>
    </row>
    <row r="403" spans="1:10">
      <c r="A403" s="66"/>
      <c r="B403" s="66"/>
      <c r="E403" s="66"/>
      <c r="F403" s="66"/>
      <c r="G403" s="66"/>
      <c r="H403" s="66"/>
      <c r="I403" s="66"/>
      <c r="J403" s="66"/>
    </row>
    <row r="404" spans="1:10">
      <c r="A404" s="66"/>
      <c r="B404" s="66"/>
      <c r="E404" s="66"/>
      <c r="F404" s="66"/>
      <c r="G404" s="66"/>
      <c r="H404" s="66"/>
      <c r="I404" s="66"/>
      <c r="J404" s="66"/>
    </row>
    <row r="405" spans="1:10">
      <c r="A405" s="66"/>
      <c r="B405" s="66"/>
      <c r="E405" s="66"/>
      <c r="F405" s="66"/>
      <c r="G405" s="66"/>
      <c r="H405" s="66"/>
      <c r="I405" s="66"/>
      <c r="J405" s="66"/>
    </row>
    <row r="406" spans="1:10">
      <c r="A406" s="66"/>
      <c r="B406" s="66"/>
      <c r="E406" s="66"/>
      <c r="F406" s="66"/>
      <c r="G406" s="66"/>
      <c r="H406" s="66"/>
      <c r="I406" s="66"/>
      <c r="J406" s="66"/>
    </row>
    <row r="407" spans="1:10">
      <c r="A407" s="66"/>
      <c r="B407" s="66"/>
      <c r="E407" s="66"/>
      <c r="F407" s="66"/>
      <c r="G407" s="66"/>
      <c r="H407" s="66"/>
      <c r="I407" s="66"/>
      <c r="J407" s="66"/>
    </row>
    <row r="408" spans="1:10">
      <c r="A408" s="66"/>
      <c r="B408" s="66"/>
      <c r="E408" s="66"/>
      <c r="F408" s="66"/>
      <c r="G408" s="66"/>
      <c r="H408" s="66"/>
      <c r="I408" s="66"/>
      <c r="J408" s="66"/>
    </row>
    <row r="409" spans="1:10">
      <c r="A409" s="66"/>
      <c r="B409" s="66"/>
      <c r="E409" s="66"/>
      <c r="F409" s="66"/>
      <c r="G409" s="66"/>
      <c r="H409" s="66"/>
      <c r="I409" s="66"/>
      <c r="J409" s="66"/>
    </row>
    <row r="410" spans="1:10">
      <c r="A410" s="66"/>
      <c r="B410" s="66"/>
      <c r="E410" s="66"/>
      <c r="F410" s="66"/>
      <c r="G410" s="66"/>
      <c r="H410" s="66"/>
      <c r="I410" s="66"/>
      <c r="J410" s="66"/>
    </row>
    <row r="411" spans="1:10">
      <c r="A411" s="66"/>
      <c r="B411" s="66"/>
      <c r="E411" s="66"/>
      <c r="F411" s="66"/>
      <c r="G411" s="66"/>
      <c r="H411" s="66"/>
      <c r="I411" s="66"/>
      <c r="J411" s="66"/>
    </row>
    <row r="412" spans="1:10">
      <c r="A412" s="66"/>
      <c r="B412" s="66"/>
      <c r="E412" s="66"/>
      <c r="F412" s="66"/>
      <c r="G412" s="66"/>
      <c r="H412" s="66"/>
      <c r="I412" s="66"/>
      <c r="J412" s="66"/>
    </row>
    <row r="413" spans="1:10">
      <c r="A413" s="66"/>
      <c r="B413" s="66"/>
      <c r="E413" s="66"/>
      <c r="F413" s="66"/>
      <c r="G413" s="66"/>
      <c r="H413" s="66"/>
      <c r="I413" s="66"/>
      <c r="J413" s="66"/>
    </row>
    <row r="414" spans="1:10">
      <c r="A414" s="66"/>
      <c r="B414" s="66"/>
      <c r="E414" s="66"/>
      <c r="F414" s="66"/>
      <c r="G414" s="66"/>
      <c r="H414" s="66"/>
      <c r="I414" s="66"/>
      <c r="J414" s="66"/>
    </row>
    <row r="415" spans="1:10">
      <c r="A415" s="66"/>
      <c r="B415" s="66"/>
      <c r="E415" s="66"/>
      <c r="F415" s="66"/>
      <c r="G415" s="66"/>
      <c r="H415" s="66"/>
      <c r="I415" s="66"/>
      <c r="J415" s="66"/>
    </row>
    <row r="416" spans="1:10">
      <c r="A416" s="66"/>
      <c r="B416" s="66"/>
      <c r="E416" s="66"/>
      <c r="F416" s="66"/>
      <c r="G416" s="66"/>
      <c r="H416" s="66"/>
      <c r="I416" s="66"/>
      <c r="J416" s="66"/>
    </row>
    <row r="417" spans="1:10">
      <c r="A417" s="66"/>
      <c r="B417" s="66"/>
      <c r="E417" s="66"/>
      <c r="F417" s="66"/>
      <c r="G417" s="66"/>
      <c r="H417" s="66"/>
      <c r="I417" s="66"/>
      <c r="J417" s="66"/>
    </row>
    <row r="418" spans="1:10">
      <c r="A418" s="66"/>
      <c r="B418" s="66"/>
      <c r="E418" s="66"/>
      <c r="F418" s="66"/>
      <c r="G418" s="66"/>
      <c r="H418" s="66"/>
      <c r="I418" s="66"/>
      <c r="J418" s="66"/>
    </row>
    <row r="419" spans="1:10">
      <c r="A419" s="66"/>
      <c r="B419" s="66"/>
      <c r="E419" s="66"/>
      <c r="F419" s="66"/>
      <c r="G419" s="66"/>
      <c r="H419" s="66"/>
      <c r="I419" s="66"/>
      <c r="J419" s="66"/>
    </row>
    <row r="420" spans="1:10">
      <c r="A420" s="66"/>
      <c r="B420" s="66"/>
      <c r="E420" s="66"/>
      <c r="F420" s="66"/>
      <c r="G420" s="66"/>
      <c r="H420" s="66"/>
      <c r="I420" s="66"/>
      <c r="J420" s="66"/>
    </row>
    <row r="421" spans="1:10">
      <c r="A421" s="66"/>
      <c r="B421" s="66"/>
      <c r="E421" s="66"/>
      <c r="F421" s="66"/>
      <c r="G421" s="66"/>
      <c r="H421" s="66"/>
      <c r="I421" s="66"/>
      <c r="J421" s="66"/>
    </row>
    <row r="422" spans="1:10">
      <c r="A422" s="66"/>
      <c r="B422" s="66"/>
      <c r="E422" s="66"/>
      <c r="F422" s="66"/>
      <c r="G422" s="66"/>
      <c r="H422" s="66"/>
      <c r="I422" s="66"/>
      <c r="J422" s="66"/>
    </row>
    <row r="423" spans="1:10">
      <c r="A423" s="66"/>
      <c r="B423" s="66"/>
      <c r="E423" s="66"/>
      <c r="F423" s="66"/>
      <c r="G423" s="66"/>
      <c r="H423" s="66"/>
      <c r="I423" s="66"/>
      <c r="J423" s="66"/>
    </row>
    <row r="424" spans="1:10">
      <c r="A424" s="66"/>
      <c r="B424" s="66"/>
      <c r="E424" s="66"/>
      <c r="F424" s="66"/>
      <c r="G424" s="66"/>
      <c r="H424" s="66"/>
      <c r="I424" s="66"/>
      <c r="J424" s="66"/>
    </row>
    <row r="425" spans="1:10">
      <c r="A425" s="66"/>
      <c r="B425" s="66"/>
      <c r="E425" s="66"/>
      <c r="F425" s="66"/>
      <c r="G425" s="66"/>
      <c r="H425" s="66"/>
      <c r="I425" s="66"/>
      <c r="J425" s="66"/>
    </row>
    <row r="426" spans="1:10">
      <c r="A426" s="66"/>
      <c r="B426" s="66"/>
      <c r="E426" s="66"/>
      <c r="F426" s="66"/>
      <c r="G426" s="66"/>
      <c r="H426" s="66"/>
      <c r="I426" s="66"/>
      <c r="J426" s="66"/>
    </row>
    <row r="427" spans="1:10">
      <c r="A427" s="66"/>
      <c r="B427" s="66"/>
      <c r="E427" s="66"/>
      <c r="F427" s="66"/>
      <c r="G427" s="66"/>
      <c r="H427" s="66"/>
      <c r="I427" s="66"/>
      <c r="J427" s="66"/>
    </row>
    <row r="428" spans="1:10">
      <c r="A428" s="66"/>
      <c r="B428" s="66"/>
      <c r="E428" s="66"/>
      <c r="F428" s="66"/>
      <c r="G428" s="66"/>
      <c r="H428" s="66"/>
      <c r="I428" s="66"/>
      <c r="J428" s="66"/>
    </row>
    <row r="429" spans="1:10">
      <c r="A429" s="66"/>
      <c r="B429" s="66"/>
      <c r="E429" s="66"/>
      <c r="F429" s="66"/>
      <c r="G429" s="66"/>
      <c r="H429" s="66"/>
      <c r="I429" s="66"/>
      <c r="J429" s="66"/>
    </row>
    <row r="430" spans="1:10">
      <c r="A430" s="66"/>
      <c r="B430" s="66"/>
      <c r="E430" s="66"/>
      <c r="F430" s="66"/>
      <c r="G430" s="66"/>
      <c r="H430" s="66"/>
      <c r="I430" s="66"/>
      <c r="J430" s="66"/>
    </row>
    <row r="431" spans="1:10">
      <c r="A431" s="66"/>
      <c r="B431" s="66"/>
      <c r="E431" s="66"/>
      <c r="F431" s="66"/>
      <c r="G431" s="66"/>
      <c r="H431" s="66"/>
      <c r="I431" s="66"/>
      <c r="J431" s="66"/>
    </row>
    <row r="432" spans="1:10">
      <c r="A432" s="66"/>
      <c r="B432" s="66"/>
      <c r="E432" s="66"/>
      <c r="F432" s="66"/>
      <c r="G432" s="66"/>
      <c r="H432" s="66"/>
      <c r="I432" s="66"/>
      <c r="J432" s="66"/>
    </row>
    <row r="433" spans="1:10">
      <c r="A433" s="66"/>
      <c r="B433" s="66"/>
      <c r="E433" s="66"/>
      <c r="F433" s="66"/>
      <c r="G433" s="66"/>
      <c r="H433" s="66"/>
      <c r="I433" s="66"/>
      <c r="J433" s="66"/>
    </row>
    <row r="434" spans="1:10">
      <c r="A434" s="66"/>
      <c r="B434" s="66"/>
      <c r="E434" s="66"/>
      <c r="F434" s="66"/>
      <c r="G434" s="66"/>
      <c r="H434" s="66"/>
      <c r="I434" s="66"/>
      <c r="J434" s="66"/>
    </row>
    <row r="435" spans="1:10">
      <c r="A435" s="66"/>
      <c r="B435" s="66"/>
      <c r="E435" s="66"/>
      <c r="F435" s="66"/>
      <c r="G435" s="66"/>
      <c r="H435" s="66"/>
      <c r="I435" s="66"/>
      <c r="J435" s="66"/>
    </row>
    <row r="436" spans="1:10">
      <c r="A436" s="66"/>
      <c r="B436" s="66"/>
      <c r="E436" s="66"/>
      <c r="F436" s="66"/>
      <c r="G436" s="66"/>
      <c r="H436" s="66"/>
      <c r="I436" s="66"/>
      <c r="J436" s="66"/>
    </row>
    <row r="437" spans="1:10">
      <c r="A437" s="66"/>
      <c r="B437" s="66"/>
      <c r="E437" s="66"/>
      <c r="F437" s="66"/>
      <c r="G437" s="66"/>
      <c r="H437" s="66"/>
      <c r="I437" s="66"/>
      <c r="J437" s="66"/>
    </row>
    <row r="438" spans="1:10">
      <c r="A438" s="66"/>
      <c r="B438" s="66"/>
      <c r="E438" s="66"/>
      <c r="F438" s="66"/>
      <c r="G438" s="66"/>
      <c r="H438" s="66"/>
      <c r="I438" s="66"/>
      <c r="J438" s="66"/>
    </row>
    <row r="439" spans="1:10">
      <c r="A439" s="66"/>
      <c r="B439" s="66"/>
      <c r="E439" s="66"/>
      <c r="F439" s="66"/>
      <c r="G439" s="66"/>
      <c r="H439" s="66"/>
      <c r="I439" s="66"/>
      <c r="J439" s="66"/>
    </row>
    <row r="440" spans="1:10">
      <c r="A440" s="66"/>
      <c r="B440" s="66"/>
      <c r="E440" s="66"/>
      <c r="F440" s="66"/>
      <c r="G440" s="66"/>
      <c r="H440" s="66"/>
      <c r="I440" s="66"/>
      <c r="J440" s="66"/>
    </row>
    <row r="441" spans="1:10">
      <c r="A441" s="66"/>
      <c r="B441" s="66"/>
      <c r="E441" s="66"/>
      <c r="F441" s="66"/>
      <c r="G441" s="66"/>
      <c r="H441" s="66"/>
      <c r="I441" s="66"/>
      <c r="J441" s="66"/>
    </row>
    <row r="442" spans="1:10">
      <c r="A442" s="66"/>
      <c r="B442" s="66"/>
      <c r="E442" s="66"/>
      <c r="F442" s="66"/>
      <c r="G442" s="66"/>
      <c r="H442" s="66"/>
      <c r="I442" s="66"/>
      <c r="J442" s="66"/>
    </row>
    <row r="443" spans="1:10">
      <c r="A443" s="66"/>
      <c r="B443" s="66"/>
      <c r="E443" s="66"/>
      <c r="F443" s="66"/>
      <c r="G443" s="66"/>
      <c r="H443" s="66"/>
      <c r="I443" s="66"/>
      <c r="J443" s="66"/>
    </row>
    <row r="444" spans="1:10">
      <c r="A444" s="66"/>
      <c r="B444" s="66"/>
      <c r="E444" s="66"/>
      <c r="F444" s="66"/>
      <c r="G444" s="66"/>
      <c r="H444" s="66"/>
      <c r="I444" s="66"/>
      <c r="J444" s="66"/>
    </row>
    <row r="445" spans="1:10">
      <c r="A445" s="66"/>
      <c r="B445" s="66"/>
      <c r="E445" s="66"/>
      <c r="F445" s="66"/>
      <c r="G445" s="66"/>
      <c r="H445" s="66"/>
      <c r="I445" s="66"/>
      <c r="J445" s="66"/>
    </row>
    <row r="446" spans="1:10">
      <c r="A446" s="66"/>
      <c r="B446" s="66"/>
      <c r="E446" s="66"/>
      <c r="F446" s="66"/>
      <c r="G446" s="66"/>
      <c r="H446" s="66"/>
      <c r="I446" s="66"/>
      <c r="J446" s="66"/>
    </row>
    <row r="447" spans="1:10">
      <c r="A447" s="66"/>
      <c r="B447" s="66"/>
      <c r="E447" s="66"/>
      <c r="F447" s="66"/>
      <c r="G447" s="66"/>
      <c r="H447" s="66"/>
      <c r="I447" s="66"/>
      <c r="J447" s="66"/>
    </row>
    <row r="448" spans="1:10">
      <c r="A448" s="66"/>
      <c r="B448" s="66"/>
      <c r="E448" s="66"/>
      <c r="F448" s="66"/>
      <c r="G448" s="66"/>
      <c r="H448" s="66"/>
      <c r="I448" s="66"/>
      <c r="J448" s="66"/>
    </row>
    <row r="449" spans="1:10">
      <c r="A449" s="66"/>
      <c r="B449" s="66"/>
      <c r="E449" s="66"/>
      <c r="F449" s="66"/>
      <c r="G449" s="66"/>
      <c r="H449" s="66"/>
      <c r="I449" s="66"/>
      <c r="J449" s="66"/>
    </row>
    <row r="450" spans="1:10">
      <c r="A450" s="66"/>
      <c r="B450" s="66"/>
      <c r="E450" s="66"/>
      <c r="F450" s="66"/>
      <c r="G450" s="66"/>
      <c r="H450" s="66"/>
      <c r="I450" s="66"/>
      <c r="J450" s="66"/>
    </row>
    <row r="451" spans="1:10">
      <c r="A451" s="66"/>
      <c r="B451" s="66"/>
      <c r="E451" s="66"/>
      <c r="F451" s="66"/>
      <c r="G451" s="66"/>
      <c r="H451" s="66"/>
      <c r="I451" s="66"/>
      <c r="J451" s="66"/>
    </row>
    <row r="452" spans="1:10">
      <c r="A452" s="66"/>
      <c r="B452" s="66"/>
      <c r="E452" s="66"/>
      <c r="F452" s="66"/>
      <c r="G452" s="66"/>
      <c r="H452" s="66"/>
      <c r="I452" s="66"/>
      <c r="J452" s="66"/>
    </row>
    <row r="453" spans="1:10">
      <c r="A453" s="66"/>
      <c r="B453" s="66"/>
      <c r="E453" s="66"/>
      <c r="F453" s="66"/>
      <c r="G453" s="66"/>
      <c r="H453" s="66"/>
      <c r="I453" s="66"/>
      <c r="J453" s="66"/>
    </row>
    <row r="454" spans="1:10">
      <c r="A454" s="66"/>
      <c r="B454" s="66"/>
      <c r="E454" s="66"/>
      <c r="F454" s="66"/>
      <c r="G454" s="66"/>
      <c r="H454" s="66"/>
      <c r="I454" s="66"/>
      <c r="J454" s="66"/>
    </row>
    <row r="455" spans="1:10">
      <c r="A455" s="66"/>
      <c r="B455" s="66"/>
      <c r="E455" s="66"/>
      <c r="F455" s="66"/>
      <c r="G455" s="66"/>
      <c r="H455" s="66"/>
      <c r="I455" s="66"/>
      <c r="J455" s="66"/>
    </row>
    <row r="456" spans="1:10">
      <c r="A456" s="66"/>
      <c r="B456" s="66"/>
      <c r="E456" s="66"/>
      <c r="F456" s="66"/>
      <c r="G456" s="66"/>
      <c r="H456" s="66"/>
      <c r="I456" s="66"/>
      <c r="J456" s="66"/>
    </row>
    <row r="457" spans="1:10">
      <c r="A457" s="66"/>
      <c r="B457" s="66"/>
      <c r="E457" s="66"/>
      <c r="F457" s="66"/>
      <c r="G457" s="66"/>
      <c r="H457" s="66"/>
      <c r="I457" s="66"/>
      <c r="J457" s="66"/>
    </row>
    <row r="458" spans="1:10">
      <c r="A458" s="66"/>
      <c r="B458" s="66"/>
      <c r="E458" s="66"/>
      <c r="F458" s="66"/>
      <c r="G458" s="66"/>
      <c r="H458" s="66"/>
      <c r="I458" s="66"/>
      <c r="J458" s="66"/>
    </row>
    <row r="459" spans="1:10">
      <c r="A459" s="66"/>
      <c r="B459" s="66"/>
      <c r="E459" s="66"/>
      <c r="F459" s="66"/>
      <c r="G459" s="66"/>
      <c r="H459" s="66"/>
      <c r="I459" s="66"/>
      <c r="J459" s="66"/>
    </row>
    <row r="460" spans="1:10">
      <c r="A460" s="66"/>
      <c r="B460" s="66"/>
      <c r="E460" s="66"/>
      <c r="F460" s="66"/>
      <c r="G460" s="66"/>
      <c r="H460" s="66"/>
      <c r="I460" s="66"/>
      <c r="J460" s="66"/>
    </row>
    <row r="461" spans="1:10">
      <c r="A461" s="66"/>
      <c r="B461" s="66"/>
      <c r="E461" s="66"/>
      <c r="F461" s="66"/>
      <c r="G461" s="66"/>
      <c r="H461" s="66"/>
      <c r="I461" s="66"/>
      <c r="J461" s="66"/>
    </row>
    <row r="462" spans="1:10">
      <c r="A462" s="66"/>
      <c r="B462" s="66"/>
      <c r="E462" s="66"/>
      <c r="F462" s="66"/>
      <c r="G462" s="66"/>
      <c r="H462" s="66"/>
      <c r="I462" s="66"/>
      <c r="J462" s="66"/>
    </row>
    <row r="463" spans="1:10">
      <c r="A463" s="66"/>
      <c r="B463" s="66"/>
      <c r="E463" s="66"/>
      <c r="F463" s="66"/>
      <c r="G463" s="66"/>
      <c r="H463" s="66"/>
      <c r="I463" s="66"/>
      <c r="J463" s="66"/>
    </row>
    <row r="464" spans="1:10">
      <c r="A464" s="66"/>
      <c r="B464" s="66"/>
      <c r="E464" s="66"/>
      <c r="F464" s="66"/>
      <c r="G464" s="66"/>
      <c r="H464" s="66"/>
      <c r="I464" s="66"/>
      <c r="J464" s="66"/>
    </row>
    <row r="465" spans="1:10">
      <c r="A465" s="66"/>
      <c r="B465" s="66"/>
      <c r="E465" s="66"/>
      <c r="F465" s="66"/>
      <c r="G465" s="66"/>
      <c r="H465" s="66"/>
      <c r="I465" s="66"/>
      <c r="J465" s="66"/>
    </row>
    <row r="466" spans="1:10">
      <c r="A466" s="66"/>
      <c r="B466" s="66"/>
      <c r="E466" s="66"/>
      <c r="F466" s="66"/>
      <c r="G466" s="66"/>
      <c r="H466" s="66"/>
      <c r="I466" s="66"/>
      <c r="J466" s="66"/>
    </row>
    <row r="467" spans="1:10">
      <c r="A467" s="66"/>
      <c r="B467" s="66"/>
      <c r="E467" s="66"/>
      <c r="F467" s="66"/>
      <c r="G467" s="66"/>
      <c r="H467" s="66"/>
      <c r="I467" s="66"/>
      <c r="J467" s="66"/>
    </row>
    <row r="468" spans="1:10">
      <c r="A468" s="66"/>
      <c r="B468" s="66"/>
      <c r="E468" s="66"/>
      <c r="F468" s="66"/>
      <c r="G468" s="66"/>
      <c r="H468" s="66"/>
      <c r="I468" s="66"/>
      <c r="J468" s="66"/>
    </row>
    <row r="469" spans="1:10">
      <c r="A469" s="66"/>
      <c r="B469" s="66"/>
      <c r="E469" s="66"/>
      <c r="F469" s="66"/>
      <c r="G469" s="66"/>
      <c r="H469" s="66"/>
      <c r="I469" s="66"/>
      <c r="J469" s="66"/>
    </row>
    <row r="470" spans="1:10">
      <c r="A470" s="66"/>
      <c r="B470" s="66"/>
      <c r="E470" s="66"/>
      <c r="F470" s="66"/>
      <c r="G470" s="66"/>
      <c r="H470" s="66"/>
      <c r="I470" s="66"/>
      <c r="J470" s="66"/>
    </row>
    <row r="471" spans="1:10">
      <c r="A471" s="66"/>
      <c r="B471" s="66"/>
      <c r="E471" s="66"/>
      <c r="F471" s="66"/>
      <c r="G471" s="66"/>
      <c r="H471" s="66"/>
      <c r="I471" s="66"/>
      <c r="J471" s="66"/>
    </row>
    <row r="472" spans="1:10">
      <c r="A472" s="66"/>
      <c r="B472" s="66"/>
      <c r="E472" s="66"/>
      <c r="F472" s="66"/>
      <c r="G472" s="66"/>
      <c r="H472" s="66"/>
      <c r="I472" s="66"/>
      <c r="J472" s="66"/>
    </row>
    <row r="473" spans="1:10">
      <c r="A473" s="66"/>
      <c r="B473" s="66"/>
      <c r="E473" s="66"/>
      <c r="F473" s="66"/>
      <c r="G473" s="66"/>
      <c r="H473" s="66"/>
      <c r="I473" s="66"/>
      <c r="J473" s="66"/>
    </row>
    <row r="474" spans="1:10">
      <c r="A474" s="66"/>
      <c r="B474" s="66"/>
      <c r="E474" s="66"/>
      <c r="F474" s="66"/>
      <c r="G474" s="66"/>
      <c r="H474" s="66"/>
      <c r="I474" s="66"/>
      <c r="J474" s="66"/>
    </row>
    <row r="475" spans="1:10">
      <c r="A475" s="66"/>
      <c r="B475" s="66"/>
      <c r="E475" s="66"/>
      <c r="F475" s="66"/>
      <c r="G475" s="66"/>
      <c r="H475" s="66"/>
      <c r="I475" s="66"/>
      <c r="J475" s="66"/>
    </row>
    <row r="476" spans="1:10">
      <c r="A476" s="66"/>
      <c r="B476" s="66"/>
      <c r="E476" s="66"/>
      <c r="F476" s="66"/>
      <c r="G476" s="66"/>
      <c r="H476" s="66"/>
      <c r="I476" s="66"/>
      <c r="J476" s="66"/>
    </row>
    <row r="477" spans="1:10">
      <c r="A477" s="66"/>
      <c r="B477" s="66"/>
      <c r="E477" s="66"/>
      <c r="F477" s="66"/>
      <c r="G477" s="66"/>
      <c r="H477" s="66"/>
      <c r="I477" s="66"/>
      <c r="J477" s="66"/>
    </row>
    <row r="478" spans="1:10">
      <c r="A478" s="66"/>
      <c r="B478" s="66"/>
      <c r="E478" s="66"/>
      <c r="F478" s="66"/>
      <c r="G478" s="66"/>
      <c r="H478" s="66"/>
      <c r="I478" s="66"/>
      <c r="J478" s="66"/>
    </row>
    <row r="479" spans="1:10">
      <c r="A479" s="66"/>
      <c r="B479" s="66"/>
      <c r="E479" s="66"/>
      <c r="F479" s="66"/>
      <c r="G479" s="66"/>
      <c r="H479" s="66"/>
      <c r="I479" s="66"/>
      <c r="J479" s="66"/>
    </row>
    <row r="480" spans="1:10">
      <c r="A480" s="66"/>
      <c r="B480" s="66"/>
      <c r="E480" s="66"/>
      <c r="F480" s="66"/>
      <c r="G480" s="66"/>
      <c r="H480" s="66"/>
      <c r="I480" s="66"/>
      <c r="J480" s="66"/>
    </row>
    <row r="481" spans="1:10">
      <c r="A481" s="66"/>
      <c r="B481" s="66"/>
      <c r="E481" s="66"/>
      <c r="F481" s="66"/>
      <c r="G481" s="66"/>
      <c r="H481" s="66"/>
      <c r="I481" s="66"/>
      <c r="J481" s="66"/>
    </row>
    <row r="482" spans="1:10">
      <c r="A482" s="66"/>
      <c r="B482" s="66"/>
      <c r="E482" s="66"/>
      <c r="F482" s="66"/>
      <c r="G482" s="66"/>
      <c r="H482" s="66"/>
      <c r="I482" s="66"/>
      <c r="J482" s="66"/>
    </row>
    <row r="483" spans="1:10">
      <c r="A483" s="66"/>
      <c r="B483" s="66"/>
      <c r="E483" s="66"/>
      <c r="F483" s="66"/>
      <c r="G483" s="66"/>
      <c r="H483" s="66"/>
      <c r="I483" s="66"/>
      <c r="J483" s="66"/>
    </row>
    <row r="484" spans="1:10">
      <c r="A484" s="66"/>
      <c r="B484" s="66"/>
      <c r="E484" s="66"/>
      <c r="F484" s="66"/>
      <c r="G484" s="66"/>
      <c r="H484" s="66"/>
      <c r="I484" s="66"/>
      <c r="J484" s="66"/>
    </row>
    <row r="485" spans="1:10">
      <c r="A485" s="66"/>
      <c r="B485" s="66"/>
      <c r="E485" s="66"/>
      <c r="F485" s="66"/>
      <c r="G485" s="66"/>
      <c r="H485" s="66"/>
      <c r="I485" s="66"/>
      <c r="J485" s="66"/>
    </row>
    <row r="486" spans="1:10">
      <c r="A486" s="66"/>
      <c r="B486" s="66"/>
      <c r="E486" s="66"/>
      <c r="F486" s="66"/>
      <c r="G486" s="66"/>
      <c r="H486" s="66"/>
      <c r="I486" s="66"/>
      <c r="J486" s="66"/>
    </row>
    <row r="487" spans="1:10">
      <c r="A487" s="66"/>
      <c r="B487" s="66"/>
      <c r="E487" s="66"/>
      <c r="F487" s="66"/>
      <c r="G487" s="66"/>
      <c r="H487" s="66"/>
      <c r="I487" s="66"/>
      <c r="J487" s="66"/>
    </row>
    <row r="488" spans="1:10">
      <c r="A488" s="66"/>
      <c r="B488" s="66"/>
      <c r="E488" s="66"/>
      <c r="F488" s="66"/>
      <c r="G488" s="66"/>
      <c r="H488" s="66"/>
      <c r="I488" s="66"/>
      <c r="J488" s="66"/>
    </row>
    <row r="489" spans="1:10">
      <c r="A489" s="66"/>
      <c r="B489" s="66"/>
      <c r="E489" s="66"/>
      <c r="F489" s="66"/>
      <c r="G489" s="66"/>
      <c r="H489" s="66"/>
      <c r="I489" s="66"/>
      <c r="J489" s="66"/>
    </row>
    <row r="490" spans="1:10">
      <c r="A490" s="66"/>
      <c r="B490" s="66"/>
      <c r="E490" s="66"/>
      <c r="F490" s="66"/>
      <c r="G490" s="66"/>
      <c r="H490" s="66"/>
      <c r="I490" s="66"/>
      <c r="J490" s="66"/>
    </row>
    <row r="491" spans="1:10">
      <c r="A491" s="66"/>
      <c r="B491" s="66"/>
      <c r="E491" s="66"/>
      <c r="F491" s="66"/>
      <c r="G491" s="66"/>
      <c r="H491" s="66"/>
      <c r="I491" s="66"/>
      <c r="J491" s="66"/>
    </row>
    <row r="492" spans="1:10">
      <c r="A492" s="66"/>
      <c r="B492" s="66"/>
      <c r="E492" s="66"/>
      <c r="F492" s="66"/>
      <c r="G492" s="66"/>
      <c r="H492" s="66"/>
      <c r="I492" s="66"/>
      <c r="J492" s="66"/>
    </row>
    <row r="493" spans="1:10">
      <c r="A493" s="66"/>
      <c r="B493" s="66"/>
      <c r="E493" s="66"/>
      <c r="F493" s="66"/>
      <c r="G493" s="66"/>
      <c r="H493" s="66"/>
      <c r="I493" s="66"/>
      <c r="J493" s="66"/>
    </row>
    <row r="494" spans="1:10">
      <c r="A494" s="66"/>
      <c r="B494" s="66"/>
      <c r="E494" s="66"/>
      <c r="F494" s="66"/>
      <c r="G494" s="66"/>
      <c r="H494" s="66"/>
      <c r="I494" s="66"/>
      <c r="J494" s="66"/>
    </row>
    <row r="495" spans="1:10">
      <c r="A495" s="66"/>
      <c r="B495" s="66"/>
      <c r="E495" s="66"/>
      <c r="F495" s="66"/>
      <c r="G495" s="66"/>
      <c r="H495" s="66"/>
      <c r="I495" s="66"/>
      <c r="J495" s="66"/>
    </row>
    <row r="496" spans="1:10">
      <c r="A496" s="66"/>
      <c r="B496" s="66"/>
      <c r="E496" s="66"/>
      <c r="F496" s="66"/>
      <c r="G496" s="66"/>
      <c r="H496" s="66"/>
      <c r="I496" s="66"/>
      <c r="J496" s="66"/>
    </row>
    <row r="497" spans="1:10">
      <c r="A497" s="66"/>
      <c r="B497" s="66"/>
      <c r="E497" s="66"/>
      <c r="F497" s="66"/>
      <c r="G497" s="66"/>
      <c r="H497" s="66"/>
      <c r="I497" s="66"/>
      <c r="J497" s="66"/>
    </row>
    <row r="498" spans="1:10">
      <c r="A498" s="66"/>
      <c r="B498" s="66"/>
      <c r="E498" s="66"/>
      <c r="F498" s="66"/>
      <c r="G498" s="66"/>
      <c r="H498" s="66"/>
      <c r="I498" s="66"/>
      <c r="J498" s="66"/>
    </row>
    <row r="499" spans="1:10">
      <c r="A499" s="66"/>
      <c r="B499" s="66"/>
      <c r="E499" s="66"/>
      <c r="F499" s="66"/>
      <c r="G499" s="66"/>
      <c r="H499" s="66"/>
      <c r="I499" s="66"/>
      <c r="J499" s="66"/>
    </row>
    <row r="500" spans="1:10">
      <c r="A500" s="66"/>
      <c r="B500" s="66"/>
      <c r="E500" s="66"/>
      <c r="F500" s="66"/>
      <c r="G500" s="66"/>
      <c r="H500" s="66"/>
      <c r="I500" s="66"/>
      <c r="J500" s="66"/>
    </row>
    <row r="501" spans="1:10">
      <c r="A501" s="66"/>
      <c r="B501" s="66"/>
      <c r="E501" s="66"/>
      <c r="F501" s="66"/>
      <c r="G501" s="66"/>
      <c r="H501" s="66"/>
      <c r="I501" s="66"/>
      <c r="J501" s="66"/>
    </row>
    <row r="502" spans="1:10">
      <c r="A502" s="66"/>
      <c r="B502" s="66"/>
      <c r="E502" s="66"/>
      <c r="F502" s="66"/>
      <c r="G502" s="66"/>
      <c r="H502" s="66"/>
      <c r="I502" s="66"/>
      <c r="J502" s="66"/>
    </row>
    <row r="503" spans="1:10">
      <c r="A503" s="66"/>
      <c r="B503" s="66"/>
      <c r="E503" s="66"/>
      <c r="F503" s="66"/>
      <c r="G503" s="66"/>
      <c r="H503" s="66"/>
      <c r="I503" s="66"/>
      <c r="J503" s="66"/>
    </row>
    <row r="504" spans="1:10">
      <c r="A504" s="66"/>
      <c r="B504" s="66"/>
      <c r="E504" s="66"/>
      <c r="F504" s="66"/>
      <c r="G504" s="66"/>
      <c r="H504" s="66"/>
      <c r="I504" s="66"/>
      <c r="J504" s="66"/>
    </row>
    <row r="505" spans="1:10">
      <c r="A505" s="66"/>
      <c r="B505" s="66"/>
      <c r="E505" s="66"/>
      <c r="F505" s="66"/>
      <c r="G505" s="66"/>
      <c r="H505" s="66"/>
      <c r="I505" s="66"/>
      <c r="J505" s="66"/>
    </row>
    <row r="506" spans="1:10">
      <c r="A506" s="66"/>
      <c r="B506" s="66"/>
      <c r="E506" s="66"/>
      <c r="F506" s="66"/>
      <c r="G506" s="66"/>
      <c r="H506" s="66"/>
      <c r="I506" s="66"/>
      <c r="J506" s="66"/>
    </row>
    <row r="507" spans="1:10">
      <c r="A507" s="66"/>
      <c r="B507" s="66"/>
      <c r="E507" s="66"/>
      <c r="F507" s="66"/>
      <c r="G507" s="66"/>
      <c r="H507" s="66"/>
      <c r="I507" s="66"/>
      <c r="J507" s="66"/>
    </row>
    <row r="508" spans="1:10">
      <c r="A508" s="66"/>
      <c r="B508" s="66"/>
      <c r="E508" s="66"/>
      <c r="F508" s="66"/>
      <c r="G508" s="66"/>
      <c r="H508" s="66"/>
      <c r="I508" s="66"/>
      <c r="J508" s="66"/>
    </row>
    <row r="509" spans="1:10">
      <c r="A509" s="66"/>
      <c r="B509" s="66"/>
      <c r="E509" s="66"/>
      <c r="F509" s="66"/>
      <c r="G509" s="66"/>
      <c r="H509" s="66"/>
      <c r="I509" s="66"/>
      <c r="J509" s="66"/>
    </row>
    <row r="510" spans="1:10">
      <c r="A510" s="66"/>
      <c r="B510" s="66"/>
      <c r="E510" s="66"/>
      <c r="F510" s="66"/>
      <c r="G510" s="66"/>
      <c r="H510" s="66"/>
      <c r="I510" s="66"/>
      <c r="J510" s="66"/>
    </row>
    <row r="511" spans="1:10">
      <c r="A511" s="66"/>
      <c r="B511" s="66"/>
      <c r="E511" s="66"/>
      <c r="F511" s="66"/>
      <c r="G511" s="66"/>
      <c r="H511" s="66"/>
      <c r="I511" s="66"/>
      <c r="J511" s="66"/>
    </row>
    <row r="512" spans="1:10">
      <c r="A512" s="66"/>
      <c r="B512" s="66"/>
      <c r="E512" s="66"/>
      <c r="F512" s="66"/>
      <c r="G512" s="66"/>
      <c r="H512" s="66"/>
      <c r="I512" s="66"/>
      <c r="J512" s="66"/>
    </row>
    <row r="513" spans="1:10">
      <c r="A513" s="66"/>
      <c r="B513" s="66"/>
      <c r="E513" s="66"/>
      <c r="F513" s="66"/>
      <c r="G513" s="66"/>
      <c r="H513" s="66"/>
      <c r="I513" s="66"/>
      <c r="J513" s="66"/>
    </row>
    <row r="514" spans="1:10">
      <c r="A514" s="66"/>
      <c r="B514" s="66"/>
      <c r="E514" s="66"/>
      <c r="F514" s="66"/>
      <c r="G514" s="66"/>
      <c r="H514" s="66"/>
      <c r="I514" s="66"/>
      <c r="J514" s="66"/>
    </row>
    <row r="515" spans="1:10">
      <c r="A515" s="66"/>
      <c r="B515" s="66"/>
      <c r="E515" s="66"/>
      <c r="F515" s="66"/>
      <c r="G515" s="66"/>
      <c r="H515" s="66"/>
      <c r="I515" s="66"/>
      <c r="J515" s="66"/>
    </row>
    <row r="516" spans="1:10">
      <c r="A516" s="66"/>
      <c r="B516" s="66"/>
      <c r="E516" s="66"/>
      <c r="F516" s="66"/>
      <c r="G516" s="66"/>
      <c r="H516" s="66"/>
      <c r="I516" s="66"/>
      <c r="J516" s="66"/>
    </row>
    <row r="517" spans="1:10">
      <c r="A517" s="66"/>
      <c r="B517" s="66"/>
      <c r="E517" s="66"/>
      <c r="F517" s="66"/>
      <c r="G517" s="66"/>
      <c r="H517" s="66"/>
      <c r="I517" s="66"/>
      <c r="J517" s="66"/>
    </row>
    <row r="518" spans="1:10">
      <c r="A518" s="66"/>
      <c r="B518" s="66"/>
      <c r="E518" s="66"/>
      <c r="F518" s="66"/>
      <c r="G518" s="66"/>
      <c r="H518" s="66"/>
      <c r="I518" s="66"/>
      <c r="J518" s="66"/>
    </row>
    <row r="519" spans="1:10">
      <c r="A519" s="66"/>
      <c r="B519" s="66"/>
      <c r="E519" s="66"/>
      <c r="F519" s="66"/>
      <c r="G519" s="66"/>
      <c r="H519" s="66"/>
      <c r="I519" s="66"/>
      <c r="J519" s="66"/>
    </row>
    <row r="520" spans="1:10">
      <c r="A520" s="66"/>
      <c r="B520" s="66"/>
      <c r="E520" s="66"/>
      <c r="F520" s="66"/>
      <c r="G520" s="66"/>
      <c r="H520" s="66"/>
      <c r="I520" s="66"/>
      <c r="J520" s="66"/>
    </row>
    <row r="521" spans="1:10">
      <c r="A521" s="66"/>
      <c r="B521" s="66"/>
      <c r="E521" s="66"/>
      <c r="F521" s="66"/>
      <c r="G521" s="66"/>
      <c r="H521" s="66"/>
      <c r="I521" s="66"/>
      <c r="J521" s="66"/>
    </row>
    <row r="522" spans="1:10">
      <c r="A522" s="66"/>
      <c r="B522" s="66"/>
      <c r="E522" s="66"/>
      <c r="F522" s="66"/>
      <c r="G522" s="66"/>
      <c r="H522" s="66"/>
      <c r="I522" s="66"/>
      <c r="J522" s="66"/>
    </row>
    <row r="523" spans="1:10">
      <c r="A523" s="66"/>
      <c r="B523" s="66"/>
      <c r="E523" s="66"/>
      <c r="F523" s="66"/>
      <c r="G523" s="66"/>
      <c r="H523" s="66"/>
      <c r="I523" s="66"/>
      <c r="J523" s="66"/>
    </row>
    <row r="524" spans="1:10">
      <c r="A524" s="66"/>
      <c r="B524" s="66"/>
      <c r="E524" s="66"/>
      <c r="F524" s="66"/>
      <c r="G524" s="66"/>
      <c r="H524" s="66"/>
      <c r="I524" s="66"/>
      <c r="J524" s="66"/>
    </row>
    <row r="525" spans="1:10">
      <c r="A525" s="66"/>
      <c r="B525" s="66"/>
      <c r="E525" s="66"/>
      <c r="F525" s="66"/>
      <c r="G525" s="66"/>
      <c r="H525" s="66"/>
      <c r="I525" s="66"/>
      <c r="J525" s="66"/>
    </row>
    <row r="526" spans="1:10">
      <c r="A526" s="66"/>
      <c r="B526" s="66"/>
      <c r="E526" s="66"/>
      <c r="F526" s="66"/>
      <c r="G526" s="66"/>
      <c r="H526" s="66"/>
      <c r="I526" s="66"/>
      <c r="J526" s="66"/>
    </row>
    <row r="527" spans="1:10">
      <c r="A527" s="66"/>
      <c r="B527" s="66"/>
      <c r="E527" s="66"/>
      <c r="F527" s="66"/>
      <c r="G527" s="66"/>
      <c r="H527" s="66"/>
      <c r="I527" s="66"/>
      <c r="J527" s="66"/>
    </row>
    <row r="528" spans="1:10">
      <c r="A528" s="66"/>
      <c r="B528" s="66"/>
      <c r="E528" s="66"/>
      <c r="F528" s="66"/>
      <c r="G528" s="66"/>
      <c r="H528" s="66"/>
      <c r="I528" s="66"/>
      <c r="J528" s="66"/>
    </row>
    <row r="529" spans="1:10">
      <c r="A529" s="66"/>
      <c r="B529" s="66"/>
      <c r="E529" s="66"/>
      <c r="F529" s="66"/>
      <c r="G529" s="66"/>
      <c r="H529" s="66"/>
      <c r="I529" s="66"/>
      <c r="J529" s="66"/>
    </row>
    <row r="530" spans="1:10">
      <c r="A530" s="66"/>
      <c r="B530" s="66"/>
      <c r="E530" s="66"/>
      <c r="F530" s="66"/>
      <c r="G530" s="66"/>
      <c r="H530" s="66"/>
      <c r="I530" s="66"/>
      <c r="J530" s="66"/>
    </row>
    <row r="531" spans="1:10">
      <c r="A531" s="66"/>
      <c r="B531" s="66"/>
      <c r="E531" s="66"/>
      <c r="F531" s="66"/>
      <c r="G531" s="66"/>
      <c r="H531" s="66"/>
      <c r="I531" s="66"/>
      <c r="J531" s="66"/>
    </row>
    <row r="532" spans="1:10">
      <c r="A532" s="66"/>
      <c r="B532" s="66"/>
      <c r="E532" s="66"/>
      <c r="F532" s="66"/>
      <c r="G532" s="66"/>
      <c r="H532" s="66"/>
      <c r="I532" s="66"/>
      <c r="J532" s="66"/>
    </row>
    <row r="533" spans="1:10">
      <c r="A533" s="66"/>
      <c r="B533" s="66"/>
      <c r="E533" s="66"/>
      <c r="F533" s="66"/>
      <c r="G533" s="66"/>
      <c r="H533" s="66"/>
      <c r="I533" s="66"/>
      <c r="J533" s="66"/>
    </row>
    <row r="534" spans="1:10">
      <c r="A534" s="66"/>
      <c r="B534" s="66"/>
      <c r="E534" s="66"/>
      <c r="F534" s="66"/>
      <c r="G534" s="66"/>
      <c r="H534" s="66"/>
      <c r="I534" s="66"/>
      <c r="J534" s="66"/>
    </row>
    <row r="535" spans="1:10">
      <c r="A535" s="66"/>
      <c r="B535" s="66"/>
      <c r="E535" s="66"/>
      <c r="F535" s="66"/>
      <c r="G535" s="66"/>
      <c r="H535" s="66"/>
      <c r="I535" s="66"/>
      <c r="J535" s="66"/>
    </row>
    <row r="536" spans="1:10">
      <c r="A536" s="66"/>
      <c r="B536" s="66"/>
      <c r="E536" s="66"/>
      <c r="F536" s="66"/>
      <c r="G536" s="66"/>
      <c r="H536" s="66"/>
      <c r="I536" s="66"/>
      <c r="J536" s="66"/>
    </row>
    <row r="537" spans="1:10">
      <c r="A537" s="66"/>
      <c r="B537" s="66"/>
      <c r="E537" s="66"/>
      <c r="F537" s="66"/>
      <c r="G537" s="66"/>
      <c r="H537" s="66"/>
      <c r="I537" s="66"/>
      <c r="J537" s="66"/>
    </row>
    <row r="538" spans="1:10">
      <c r="A538" s="66"/>
      <c r="B538" s="66"/>
      <c r="E538" s="66"/>
      <c r="F538" s="66"/>
      <c r="G538" s="66"/>
      <c r="H538" s="66"/>
      <c r="I538" s="66"/>
      <c r="J538" s="66"/>
    </row>
    <row r="539" spans="1:10">
      <c r="A539" s="66"/>
      <c r="B539" s="66"/>
      <c r="E539" s="66"/>
      <c r="F539" s="66"/>
      <c r="G539" s="66"/>
      <c r="H539" s="66"/>
      <c r="I539" s="66"/>
      <c r="J539" s="66"/>
    </row>
    <row r="540" spans="1:10">
      <c r="A540" s="66"/>
      <c r="B540" s="66"/>
      <c r="E540" s="66"/>
      <c r="F540" s="66"/>
      <c r="G540" s="66"/>
      <c r="H540" s="66"/>
      <c r="I540" s="66"/>
      <c r="J540" s="66"/>
    </row>
    <row r="541" spans="1:10">
      <c r="A541" s="66"/>
      <c r="B541" s="66"/>
      <c r="E541" s="66"/>
      <c r="F541" s="66"/>
      <c r="G541" s="66"/>
      <c r="H541" s="66"/>
      <c r="I541" s="66"/>
      <c r="J541" s="66"/>
    </row>
    <row r="542" spans="1:10">
      <c r="A542" s="66"/>
      <c r="B542" s="66"/>
      <c r="E542" s="66"/>
      <c r="F542" s="66"/>
      <c r="G542" s="66"/>
      <c r="H542" s="66"/>
      <c r="I542" s="66"/>
      <c r="J542" s="66"/>
    </row>
    <row r="543" spans="1:10">
      <c r="A543" s="66"/>
      <c r="B543" s="66"/>
      <c r="E543" s="66"/>
      <c r="F543" s="66"/>
      <c r="G543" s="66"/>
      <c r="H543" s="66"/>
      <c r="I543" s="66"/>
      <c r="J543" s="66"/>
    </row>
    <row r="544" spans="1:10">
      <c r="A544" s="66"/>
      <c r="B544" s="66"/>
      <c r="E544" s="66"/>
      <c r="F544" s="66"/>
      <c r="G544" s="66"/>
      <c r="H544" s="66"/>
      <c r="I544" s="66"/>
      <c r="J544" s="66"/>
    </row>
    <row r="545" spans="1:10">
      <c r="A545" s="66"/>
      <c r="B545" s="66"/>
      <c r="E545" s="66"/>
      <c r="F545" s="66"/>
      <c r="G545" s="66"/>
      <c r="H545" s="66"/>
      <c r="I545" s="66"/>
      <c r="J545" s="66"/>
    </row>
    <row r="546" spans="1:10">
      <c r="A546" s="66"/>
      <c r="B546" s="66"/>
      <c r="E546" s="66"/>
      <c r="F546" s="66"/>
      <c r="G546" s="66"/>
      <c r="H546" s="66"/>
      <c r="I546" s="66"/>
      <c r="J546" s="66"/>
    </row>
    <row r="547" spans="1:10">
      <c r="A547" s="66"/>
      <c r="B547" s="66"/>
      <c r="E547" s="66"/>
      <c r="F547" s="66"/>
      <c r="G547" s="66"/>
      <c r="H547" s="66"/>
      <c r="I547" s="66"/>
      <c r="J547" s="66"/>
    </row>
    <row r="548" spans="1:10">
      <c r="A548" s="66"/>
      <c r="B548" s="66"/>
      <c r="E548" s="66"/>
      <c r="F548" s="66"/>
      <c r="G548" s="66"/>
      <c r="H548" s="66"/>
      <c r="I548" s="66"/>
      <c r="J548" s="66"/>
    </row>
    <row r="549" spans="1:10">
      <c r="A549" s="66"/>
      <c r="B549" s="66"/>
      <c r="E549" s="66"/>
      <c r="F549" s="66"/>
      <c r="G549" s="66"/>
      <c r="H549" s="66"/>
      <c r="I549" s="66"/>
      <c r="J549" s="66"/>
    </row>
    <row r="550" spans="1:10">
      <c r="A550" s="66"/>
      <c r="B550" s="66"/>
      <c r="E550" s="66"/>
      <c r="F550" s="66"/>
      <c r="G550" s="66"/>
      <c r="H550" s="66"/>
      <c r="I550" s="66"/>
      <c r="J550" s="66"/>
    </row>
    <row r="551" spans="1:10">
      <c r="A551" s="66"/>
      <c r="B551" s="66"/>
      <c r="E551" s="66"/>
      <c r="F551" s="66"/>
      <c r="G551" s="66"/>
      <c r="H551" s="66"/>
      <c r="I551" s="66"/>
      <c r="J551" s="66"/>
    </row>
    <row r="552" spans="1:10">
      <c r="A552" s="66"/>
      <c r="B552" s="66"/>
      <c r="E552" s="66"/>
      <c r="F552" s="66"/>
      <c r="G552" s="66"/>
      <c r="H552" s="66"/>
      <c r="I552" s="66"/>
      <c r="J552" s="66"/>
    </row>
    <row r="553" spans="1:10">
      <c r="A553" s="66"/>
      <c r="B553" s="66"/>
      <c r="E553" s="66"/>
      <c r="F553" s="66"/>
      <c r="G553" s="66"/>
      <c r="H553" s="66"/>
      <c r="I553" s="66"/>
      <c r="J553" s="66"/>
    </row>
    <row r="554" spans="1:10">
      <c r="A554" s="66"/>
      <c r="B554" s="66"/>
      <c r="E554" s="66"/>
      <c r="F554" s="66"/>
      <c r="G554" s="66"/>
      <c r="H554" s="66"/>
      <c r="I554" s="66"/>
      <c r="J554" s="66"/>
    </row>
    <row r="555" spans="1:10">
      <c r="A555" s="66"/>
      <c r="B555" s="66"/>
      <c r="E555" s="66"/>
      <c r="F555" s="66"/>
      <c r="G555" s="66"/>
      <c r="H555" s="66"/>
      <c r="I555" s="66"/>
      <c r="J555" s="66"/>
    </row>
    <row r="556" spans="1:10">
      <c r="A556" s="66"/>
      <c r="B556" s="66"/>
      <c r="E556" s="66"/>
      <c r="F556" s="66"/>
      <c r="G556" s="66"/>
      <c r="H556" s="66"/>
      <c r="I556" s="66"/>
      <c r="J556" s="66"/>
    </row>
    <row r="557" spans="1:10">
      <c r="A557" s="66"/>
      <c r="B557" s="66"/>
      <c r="E557" s="66"/>
      <c r="F557" s="66"/>
      <c r="G557" s="66"/>
      <c r="H557" s="66"/>
      <c r="I557" s="66"/>
      <c r="J557" s="66"/>
    </row>
    <row r="558" spans="1:10">
      <c r="A558" s="66"/>
      <c r="B558" s="66"/>
      <c r="E558" s="66"/>
      <c r="F558" s="66"/>
      <c r="G558" s="66"/>
      <c r="H558" s="66"/>
      <c r="I558" s="66"/>
      <c r="J558" s="66"/>
    </row>
    <row r="559" spans="1:10">
      <c r="A559" s="66"/>
      <c r="B559" s="66"/>
      <c r="E559" s="66"/>
      <c r="F559" s="66"/>
      <c r="G559" s="66"/>
      <c r="H559" s="66"/>
      <c r="I559" s="66"/>
      <c r="J559" s="66"/>
    </row>
    <row r="560" spans="1:10">
      <c r="A560" s="66"/>
      <c r="B560" s="66"/>
      <c r="E560" s="66"/>
      <c r="F560" s="66"/>
      <c r="G560" s="66"/>
      <c r="H560" s="66"/>
      <c r="I560" s="66"/>
      <c r="J560" s="66"/>
    </row>
    <row r="561" spans="1:10">
      <c r="A561" s="66"/>
      <c r="B561" s="66"/>
      <c r="E561" s="66"/>
      <c r="F561" s="66"/>
      <c r="G561" s="66"/>
      <c r="H561" s="66"/>
      <c r="I561" s="66"/>
      <c r="J561" s="66"/>
    </row>
    <row r="562" spans="1:10">
      <c r="A562" s="66"/>
      <c r="B562" s="66"/>
      <c r="E562" s="66"/>
      <c r="F562" s="66"/>
      <c r="G562" s="66"/>
      <c r="H562" s="66"/>
      <c r="I562" s="66"/>
      <c r="J562" s="66"/>
    </row>
    <row r="563" spans="1:10">
      <c r="A563" s="66"/>
      <c r="B563" s="66"/>
      <c r="E563" s="66"/>
      <c r="F563" s="66"/>
      <c r="G563" s="66"/>
      <c r="H563" s="66"/>
      <c r="I563" s="66"/>
      <c r="J563" s="66"/>
    </row>
    <row r="564" spans="1:10">
      <c r="A564" s="66"/>
      <c r="B564" s="66"/>
      <c r="E564" s="66"/>
      <c r="F564" s="66"/>
      <c r="G564" s="66"/>
      <c r="H564" s="66"/>
      <c r="I564" s="66"/>
      <c r="J564" s="66"/>
    </row>
    <row r="565" spans="1:10">
      <c r="A565" s="66"/>
      <c r="B565" s="66"/>
      <c r="E565" s="66"/>
      <c r="F565" s="66"/>
      <c r="G565" s="66"/>
      <c r="H565" s="66"/>
      <c r="I565" s="66"/>
      <c r="J565" s="66"/>
    </row>
    <row r="566" spans="1:10">
      <c r="A566" s="66"/>
      <c r="B566" s="66"/>
      <c r="E566" s="66"/>
      <c r="F566" s="66"/>
      <c r="G566" s="66"/>
      <c r="H566" s="66"/>
      <c r="I566" s="66"/>
      <c r="J566" s="66"/>
    </row>
    <row r="567" spans="1:10">
      <c r="A567" s="66"/>
      <c r="B567" s="66"/>
      <c r="E567" s="66"/>
      <c r="F567" s="66"/>
      <c r="G567" s="66"/>
      <c r="H567" s="66"/>
      <c r="I567" s="66"/>
      <c r="J567" s="66"/>
    </row>
    <row r="568" spans="1:10">
      <c r="A568" s="66"/>
      <c r="B568" s="66"/>
      <c r="E568" s="66"/>
      <c r="F568" s="66"/>
      <c r="G568" s="66"/>
      <c r="H568" s="66"/>
      <c r="I568" s="66"/>
      <c r="J568" s="66"/>
    </row>
    <row r="569" spans="1:10">
      <c r="A569" s="66"/>
      <c r="B569" s="66"/>
      <c r="E569" s="66"/>
      <c r="F569" s="66"/>
      <c r="G569" s="66"/>
      <c r="H569" s="66"/>
      <c r="I569" s="66"/>
      <c r="J569" s="66"/>
    </row>
    <row r="570" spans="1:10">
      <c r="A570" s="66"/>
      <c r="B570" s="66"/>
      <c r="E570" s="66"/>
      <c r="F570" s="66"/>
      <c r="G570" s="66"/>
      <c r="H570" s="66"/>
      <c r="I570" s="66"/>
      <c r="J570" s="66"/>
    </row>
    <row r="571" spans="1:10">
      <c r="A571" s="66"/>
      <c r="B571" s="66"/>
      <c r="E571" s="66"/>
      <c r="F571" s="66"/>
      <c r="G571" s="66"/>
      <c r="H571" s="66"/>
      <c r="I571" s="66"/>
      <c r="J571" s="66"/>
    </row>
    <row r="572" spans="1:10">
      <c r="A572" s="66"/>
      <c r="B572" s="66"/>
      <c r="E572" s="66"/>
      <c r="F572" s="66"/>
      <c r="G572" s="66"/>
      <c r="H572" s="66"/>
      <c r="I572" s="66"/>
      <c r="J572" s="66"/>
    </row>
    <row r="573" spans="1:10">
      <c r="A573" s="66"/>
      <c r="B573" s="66"/>
      <c r="E573" s="66"/>
      <c r="F573" s="66"/>
      <c r="G573" s="66"/>
      <c r="H573" s="66"/>
      <c r="I573" s="66"/>
      <c r="J573" s="66"/>
    </row>
    <row r="574" spans="1:10">
      <c r="A574" s="66"/>
      <c r="B574" s="66"/>
      <c r="E574" s="66"/>
      <c r="F574" s="66"/>
      <c r="G574" s="66"/>
      <c r="H574" s="66"/>
      <c r="I574" s="66"/>
      <c r="J574" s="66"/>
    </row>
    <row r="575" spans="1:10">
      <c r="A575" s="66"/>
      <c r="B575" s="66"/>
      <c r="E575" s="66"/>
      <c r="F575" s="66"/>
      <c r="G575" s="66"/>
      <c r="H575" s="66"/>
      <c r="I575" s="66"/>
      <c r="J575" s="66"/>
    </row>
    <row r="576" spans="1:10">
      <c r="A576" s="66"/>
      <c r="B576" s="66"/>
      <c r="E576" s="66"/>
      <c r="F576" s="66"/>
      <c r="G576" s="66"/>
      <c r="H576" s="66"/>
      <c r="I576" s="66"/>
      <c r="J576" s="66"/>
    </row>
    <row r="577" spans="1:10">
      <c r="A577" s="66"/>
      <c r="B577" s="66"/>
      <c r="E577" s="66"/>
      <c r="F577" s="66"/>
      <c r="G577" s="66"/>
      <c r="H577" s="66"/>
      <c r="I577" s="66"/>
      <c r="J577" s="66"/>
    </row>
    <row r="578" spans="1:10">
      <c r="A578" s="66"/>
      <c r="B578" s="66"/>
      <c r="E578" s="66"/>
      <c r="F578" s="66"/>
      <c r="G578" s="66"/>
      <c r="H578" s="66"/>
      <c r="I578" s="66"/>
      <c r="J578" s="66"/>
    </row>
    <row r="579" spans="1:10">
      <c r="A579" s="66"/>
      <c r="B579" s="66"/>
      <c r="E579" s="66"/>
      <c r="F579" s="66"/>
      <c r="G579" s="66"/>
      <c r="H579" s="66"/>
      <c r="I579" s="66"/>
      <c r="J579" s="66"/>
    </row>
    <row r="580" spans="1:10">
      <c r="A580" s="66"/>
      <c r="B580" s="66"/>
      <c r="E580" s="66"/>
      <c r="F580" s="66"/>
      <c r="G580" s="66"/>
      <c r="H580" s="66"/>
      <c r="I580" s="66"/>
      <c r="J580" s="66"/>
    </row>
    <row r="581" spans="1:10">
      <c r="A581" s="66"/>
      <c r="B581" s="66"/>
      <c r="E581" s="66"/>
      <c r="F581" s="66"/>
      <c r="G581" s="66"/>
      <c r="H581" s="66"/>
      <c r="I581" s="66"/>
      <c r="J581" s="66"/>
    </row>
    <row r="582" spans="1:10">
      <c r="A582" s="66"/>
      <c r="B582" s="66"/>
      <c r="E582" s="66"/>
      <c r="F582" s="66"/>
      <c r="G582" s="66"/>
      <c r="H582" s="66"/>
      <c r="I582" s="66"/>
      <c r="J582" s="66"/>
    </row>
    <row r="583" spans="1:10">
      <c r="A583" s="66"/>
      <c r="B583" s="66"/>
      <c r="E583" s="66"/>
      <c r="F583" s="66"/>
      <c r="G583" s="66"/>
      <c r="H583" s="66"/>
      <c r="I583" s="66"/>
      <c r="J583" s="66"/>
    </row>
    <row r="584" spans="1:10">
      <c r="A584" s="66"/>
      <c r="B584" s="66"/>
      <c r="E584" s="66"/>
      <c r="F584" s="66"/>
      <c r="G584" s="66"/>
      <c r="H584" s="66"/>
      <c r="I584" s="66"/>
      <c r="J584" s="66"/>
    </row>
    <row r="585" spans="1:10">
      <c r="A585" s="66"/>
      <c r="B585" s="66"/>
      <c r="E585" s="66"/>
      <c r="F585" s="66"/>
      <c r="G585" s="66"/>
      <c r="H585" s="66"/>
      <c r="I585" s="66"/>
      <c r="J585" s="66"/>
    </row>
    <row r="586" spans="1:10">
      <c r="A586" s="66"/>
      <c r="B586" s="66"/>
      <c r="E586" s="66"/>
      <c r="F586" s="66"/>
      <c r="G586" s="66"/>
      <c r="H586" s="66"/>
      <c r="I586" s="66"/>
      <c r="J586" s="66"/>
    </row>
    <row r="587" spans="1:10">
      <c r="A587" s="66"/>
      <c r="B587" s="66"/>
      <c r="E587" s="66"/>
      <c r="F587" s="66"/>
      <c r="G587" s="66"/>
      <c r="H587" s="66"/>
      <c r="I587" s="66"/>
      <c r="J587" s="66"/>
    </row>
    <row r="588" spans="1:10">
      <c r="A588" s="66"/>
      <c r="B588" s="66"/>
      <c r="E588" s="66"/>
      <c r="F588" s="66"/>
      <c r="G588" s="66"/>
      <c r="H588" s="66"/>
      <c r="I588" s="66"/>
      <c r="J588" s="66"/>
    </row>
    <row r="589" spans="1:10">
      <c r="A589" s="66"/>
      <c r="B589" s="66"/>
      <c r="E589" s="66"/>
      <c r="F589" s="66"/>
      <c r="G589" s="66"/>
      <c r="H589" s="66"/>
      <c r="I589" s="66"/>
      <c r="J589" s="66"/>
    </row>
    <row r="590" spans="1:10">
      <c r="A590" s="66"/>
      <c r="B590" s="66"/>
      <c r="E590" s="66"/>
      <c r="F590" s="66"/>
      <c r="G590" s="66"/>
      <c r="H590" s="66"/>
      <c r="I590" s="66"/>
      <c r="J590" s="66"/>
    </row>
    <row r="591" spans="1:10">
      <c r="A591" s="66"/>
      <c r="B591" s="66"/>
      <c r="E591" s="66"/>
      <c r="F591" s="66"/>
      <c r="G591" s="66"/>
      <c r="H591" s="66"/>
      <c r="I591" s="66"/>
      <c r="J591" s="66"/>
    </row>
    <row r="592" spans="1:10">
      <c r="A592" s="66"/>
      <c r="B592" s="66"/>
      <c r="E592" s="66"/>
      <c r="F592" s="66"/>
      <c r="G592" s="66"/>
      <c r="H592" s="66"/>
      <c r="I592" s="66"/>
      <c r="J592" s="66"/>
    </row>
    <row r="593" spans="1:10">
      <c r="A593" s="66"/>
      <c r="B593" s="66"/>
      <c r="E593" s="66"/>
      <c r="F593" s="66"/>
      <c r="G593" s="66"/>
      <c r="H593" s="66"/>
      <c r="I593" s="66"/>
      <c r="J593" s="66"/>
    </row>
    <row r="594" spans="1:10">
      <c r="A594" s="66"/>
      <c r="B594" s="66"/>
      <c r="E594" s="66"/>
      <c r="F594" s="66"/>
      <c r="G594" s="66"/>
      <c r="H594" s="66"/>
      <c r="I594" s="66"/>
      <c r="J594" s="66"/>
    </row>
    <row r="595" spans="1:10">
      <c r="A595" s="66"/>
      <c r="B595" s="66"/>
      <c r="E595" s="66"/>
      <c r="F595" s="66"/>
      <c r="G595" s="66"/>
      <c r="H595" s="66"/>
      <c r="I595" s="66"/>
      <c r="J595" s="66"/>
    </row>
    <row r="596" spans="1:10">
      <c r="A596" s="66"/>
      <c r="B596" s="66"/>
      <c r="E596" s="66"/>
      <c r="F596" s="66"/>
      <c r="G596" s="66"/>
      <c r="H596" s="66"/>
      <c r="I596" s="66"/>
      <c r="J596" s="66"/>
    </row>
    <row r="597" spans="1:10">
      <c r="A597" s="66"/>
      <c r="B597" s="66"/>
      <c r="E597" s="66"/>
      <c r="F597" s="66"/>
      <c r="G597" s="66"/>
      <c r="H597" s="66"/>
      <c r="I597" s="66"/>
      <c r="J597" s="66"/>
    </row>
    <row r="598" spans="1:10">
      <c r="A598" s="66"/>
      <c r="B598" s="66"/>
      <c r="E598" s="66"/>
      <c r="F598" s="66"/>
      <c r="G598" s="66"/>
      <c r="H598" s="66"/>
      <c r="I598" s="66"/>
      <c r="J598" s="66"/>
    </row>
    <row r="599" spans="1:10">
      <c r="A599" s="66"/>
      <c r="B599" s="66"/>
      <c r="E599" s="66"/>
      <c r="F599" s="66"/>
      <c r="G599" s="66"/>
      <c r="H599" s="66"/>
      <c r="I599" s="66"/>
      <c r="J599" s="66"/>
    </row>
    <row r="600" spans="1:10">
      <c r="A600" s="66"/>
      <c r="B600" s="66"/>
      <c r="E600" s="66"/>
      <c r="F600" s="66"/>
      <c r="G600" s="66"/>
      <c r="H600" s="66"/>
      <c r="I600" s="66"/>
      <c r="J600" s="66"/>
    </row>
    <row r="601" spans="1:10">
      <c r="A601" s="66"/>
      <c r="B601" s="66"/>
      <c r="E601" s="66"/>
      <c r="F601" s="66"/>
      <c r="G601" s="66"/>
      <c r="H601" s="66"/>
      <c r="I601" s="66"/>
      <c r="J601" s="66"/>
    </row>
    <row r="602" spans="1:10">
      <c r="A602" s="66"/>
      <c r="B602" s="66"/>
      <c r="E602" s="66"/>
      <c r="F602" s="66"/>
      <c r="G602" s="66"/>
      <c r="H602" s="66"/>
      <c r="I602" s="66"/>
      <c r="J602" s="66"/>
    </row>
    <row r="603" spans="1:10">
      <c r="A603" s="66"/>
      <c r="B603" s="66"/>
      <c r="E603" s="66"/>
      <c r="F603" s="66"/>
      <c r="G603" s="66"/>
      <c r="H603" s="66"/>
      <c r="I603" s="66"/>
      <c r="J603" s="66"/>
    </row>
    <row r="604" spans="1:10">
      <c r="A604" s="66"/>
      <c r="B604" s="66"/>
      <c r="E604" s="66"/>
      <c r="F604" s="66"/>
      <c r="G604" s="66"/>
      <c r="H604" s="66"/>
      <c r="I604" s="66"/>
      <c r="J604" s="66"/>
    </row>
    <row r="605" spans="1:10">
      <c r="A605" s="66"/>
      <c r="B605" s="66"/>
      <c r="E605" s="66"/>
      <c r="F605" s="66"/>
      <c r="G605" s="66"/>
      <c r="H605" s="66"/>
      <c r="I605" s="66"/>
      <c r="J605" s="66"/>
    </row>
    <row r="606" spans="1:10">
      <c r="A606" s="66"/>
      <c r="B606" s="66"/>
      <c r="E606" s="66"/>
      <c r="F606" s="66"/>
      <c r="G606" s="66"/>
      <c r="H606" s="66"/>
      <c r="I606" s="66"/>
      <c r="J606" s="66"/>
    </row>
    <row r="607" spans="1:10">
      <c r="A607" s="66"/>
      <c r="B607" s="66"/>
      <c r="E607" s="66"/>
      <c r="F607" s="66"/>
      <c r="G607" s="66"/>
      <c r="H607" s="66"/>
      <c r="I607" s="66"/>
      <c r="J607" s="66"/>
    </row>
    <row r="608" spans="1:10">
      <c r="A608" s="66"/>
      <c r="B608" s="66"/>
      <c r="E608" s="66"/>
      <c r="F608" s="66"/>
      <c r="G608" s="66"/>
      <c r="H608" s="66"/>
      <c r="I608" s="66"/>
      <c r="J608" s="66"/>
    </row>
    <row r="609" spans="1:10">
      <c r="A609" s="66"/>
      <c r="B609" s="66"/>
      <c r="E609" s="66"/>
      <c r="F609" s="66"/>
      <c r="G609" s="66"/>
      <c r="H609" s="66"/>
      <c r="I609" s="66"/>
      <c r="J609" s="66"/>
    </row>
    <row r="610" spans="1:10">
      <c r="A610" s="66"/>
      <c r="B610" s="66"/>
      <c r="E610" s="66"/>
      <c r="F610" s="66"/>
      <c r="G610" s="66"/>
      <c r="H610" s="66"/>
      <c r="I610" s="66"/>
      <c r="J610" s="66"/>
    </row>
    <row r="611" spans="1:10">
      <c r="A611" s="66"/>
      <c r="B611" s="66"/>
      <c r="E611" s="66"/>
      <c r="F611" s="66"/>
      <c r="G611" s="66"/>
      <c r="H611" s="66"/>
      <c r="I611" s="66"/>
      <c r="J611" s="66"/>
    </row>
    <row r="612" spans="1:10">
      <c r="A612" s="66"/>
      <c r="B612" s="66"/>
      <c r="E612" s="66"/>
      <c r="F612" s="66"/>
      <c r="G612" s="66"/>
      <c r="H612" s="66"/>
      <c r="I612" s="66"/>
      <c r="J612" s="66"/>
    </row>
    <row r="613" spans="1:10">
      <c r="A613" s="66"/>
      <c r="B613" s="66"/>
      <c r="E613" s="66"/>
      <c r="F613" s="66"/>
      <c r="G613" s="66"/>
      <c r="H613" s="66"/>
      <c r="I613" s="66"/>
      <c r="J613" s="66"/>
    </row>
    <row r="614" spans="1:10">
      <c r="A614" s="66"/>
      <c r="B614" s="66"/>
      <c r="E614" s="66"/>
      <c r="F614" s="66"/>
      <c r="G614" s="66"/>
      <c r="H614" s="66"/>
      <c r="I614" s="66"/>
      <c r="J614" s="66"/>
    </row>
    <row r="615" spans="1:10">
      <c r="A615" s="66"/>
      <c r="B615" s="66"/>
      <c r="E615" s="66"/>
      <c r="F615" s="66"/>
      <c r="G615" s="66"/>
      <c r="H615" s="66"/>
      <c r="I615" s="66"/>
      <c r="J615" s="66"/>
    </row>
    <row r="616" spans="1:10">
      <c r="A616" s="66"/>
      <c r="B616" s="66"/>
      <c r="E616" s="66"/>
      <c r="F616" s="66"/>
      <c r="G616" s="66"/>
      <c r="H616" s="66"/>
      <c r="I616" s="66"/>
      <c r="J616" s="66"/>
    </row>
    <row r="617" spans="1:10">
      <c r="A617" s="66"/>
      <c r="B617" s="66"/>
      <c r="E617" s="66"/>
      <c r="F617" s="66"/>
      <c r="G617" s="66"/>
      <c r="H617" s="66"/>
      <c r="I617" s="66"/>
      <c r="J617" s="66"/>
    </row>
    <row r="618" spans="1:10">
      <c r="A618" s="66"/>
      <c r="B618" s="66"/>
      <c r="E618" s="66"/>
      <c r="F618" s="66"/>
      <c r="G618" s="66"/>
      <c r="H618" s="66"/>
      <c r="I618" s="66"/>
      <c r="J618" s="66"/>
    </row>
    <row r="619" spans="1:10">
      <c r="A619" s="66"/>
      <c r="B619" s="66"/>
      <c r="E619" s="66"/>
      <c r="F619" s="66"/>
      <c r="G619" s="66"/>
      <c r="H619" s="66"/>
      <c r="I619" s="66"/>
      <c r="J619" s="66"/>
    </row>
    <row r="620" spans="1:10">
      <c r="A620" s="66"/>
      <c r="B620" s="66"/>
      <c r="E620" s="66"/>
      <c r="F620" s="66"/>
      <c r="G620" s="66"/>
      <c r="H620" s="66"/>
      <c r="I620" s="66"/>
      <c r="J620" s="66"/>
    </row>
    <row r="621" spans="1:10">
      <c r="A621" s="66"/>
      <c r="B621" s="66"/>
      <c r="E621" s="66"/>
      <c r="F621" s="66"/>
      <c r="G621" s="66"/>
      <c r="H621" s="66"/>
      <c r="I621" s="66"/>
      <c r="J621" s="66"/>
    </row>
    <row r="622" spans="1:10">
      <c r="A622" s="66"/>
      <c r="B622" s="66"/>
      <c r="E622" s="66"/>
      <c r="F622" s="66"/>
      <c r="G622" s="66"/>
      <c r="H622" s="66"/>
      <c r="I622" s="66"/>
      <c r="J622" s="66"/>
    </row>
    <row r="623" spans="1:10">
      <c r="A623" s="66"/>
      <c r="B623" s="66"/>
      <c r="E623" s="66"/>
      <c r="F623" s="66"/>
      <c r="G623" s="66"/>
      <c r="H623" s="66"/>
      <c r="I623" s="66"/>
      <c r="J623" s="66"/>
    </row>
    <row r="624" spans="1:10">
      <c r="A624" s="66"/>
      <c r="B624" s="66"/>
      <c r="E624" s="66"/>
      <c r="F624" s="66"/>
      <c r="G624" s="66"/>
      <c r="H624" s="66"/>
      <c r="I624" s="66"/>
      <c r="J624" s="66"/>
    </row>
    <row r="625" spans="1:10">
      <c r="A625" s="66"/>
      <c r="B625" s="66"/>
      <c r="E625" s="66"/>
      <c r="F625" s="66"/>
      <c r="G625" s="66"/>
      <c r="H625" s="66"/>
      <c r="I625" s="66"/>
      <c r="J625" s="66"/>
    </row>
    <row r="626" spans="1:10">
      <c r="A626" s="66"/>
      <c r="B626" s="66"/>
      <c r="E626" s="66"/>
      <c r="F626" s="66"/>
      <c r="G626" s="66"/>
      <c r="H626" s="66"/>
      <c r="I626" s="66"/>
      <c r="J626" s="66"/>
    </row>
    <row r="627" spans="1:10">
      <c r="A627" s="66"/>
      <c r="B627" s="66"/>
      <c r="E627" s="66"/>
      <c r="F627" s="66"/>
      <c r="G627" s="66"/>
      <c r="H627" s="66"/>
      <c r="I627" s="66"/>
      <c r="J627" s="66"/>
    </row>
    <row r="628" spans="1:10">
      <c r="A628" s="66"/>
      <c r="B628" s="66"/>
      <c r="E628" s="66"/>
      <c r="F628" s="66"/>
      <c r="G628" s="66"/>
      <c r="H628" s="66"/>
      <c r="I628" s="66"/>
      <c r="J628" s="66"/>
    </row>
    <row r="629" spans="1:10">
      <c r="A629" s="66"/>
      <c r="B629" s="66"/>
      <c r="E629" s="66"/>
      <c r="F629" s="66"/>
      <c r="G629" s="66"/>
      <c r="H629" s="66"/>
      <c r="I629" s="66"/>
      <c r="J629" s="66"/>
    </row>
    <row r="630" spans="1:10">
      <c r="A630" s="66"/>
      <c r="B630" s="66"/>
      <c r="E630" s="66"/>
      <c r="F630" s="66"/>
      <c r="G630" s="66"/>
      <c r="H630" s="66"/>
      <c r="I630" s="66"/>
      <c r="J630" s="66"/>
    </row>
    <row r="631" spans="1:10">
      <c r="A631" s="66"/>
      <c r="B631" s="66"/>
      <c r="E631" s="66"/>
      <c r="F631" s="66"/>
      <c r="G631" s="66"/>
      <c r="H631" s="66"/>
      <c r="I631" s="66"/>
      <c r="J631" s="66"/>
    </row>
    <row r="632" spans="1:10">
      <c r="A632" s="66"/>
      <c r="B632" s="66"/>
      <c r="E632" s="66"/>
      <c r="F632" s="66"/>
      <c r="G632" s="66"/>
      <c r="H632" s="66"/>
      <c r="I632" s="66"/>
      <c r="J632" s="66"/>
    </row>
    <row r="633" spans="1:10">
      <c r="A633" s="66"/>
      <c r="B633" s="66"/>
      <c r="E633" s="66"/>
      <c r="F633" s="66"/>
      <c r="G633" s="66"/>
      <c r="H633" s="66"/>
      <c r="I633" s="66"/>
      <c r="J633" s="66"/>
    </row>
    <row r="634" spans="1:10">
      <c r="A634" s="66"/>
      <c r="B634" s="66"/>
      <c r="E634" s="66"/>
      <c r="F634" s="66"/>
      <c r="G634" s="66"/>
      <c r="H634" s="66"/>
      <c r="I634" s="66"/>
      <c r="J634" s="66"/>
    </row>
    <row r="635" spans="1:10">
      <c r="A635" s="66"/>
      <c r="B635" s="66"/>
      <c r="E635" s="66"/>
      <c r="F635" s="66"/>
      <c r="G635" s="66"/>
      <c r="H635" s="66"/>
      <c r="I635" s="66"/>
      <c r="J635" s="66"/>
    </row>
    <row r="636" spans="1:10">
      <c r="A636" s="66"/>
      <c r="B636" s="66"/>
      <c r="E636" s="66"/>
      <c r="F636" s="66"/>
      <c r="G636" s="66"/>
      <c r="H636" s="66"/>
      <c r="I636" s="66"/>
      <c r="J636" s="66"/>
    </row>
    <row r="637" spans="1:10">
      <c r="A637" s="66"/>
      <c r="B637" s="66"/>
      <c r="E637" s="66"/>
      <c r="F637" s="66"/>
      <c r="G637" s="66"/>
      <c r="H637" s="66"/>
      <c r="I637" s="66"/>
      <c r="J637" s="66"/>
    </row>
    <row r="638" spans="1:10">
      <c r="A638" s="66"/>
      <c r="B638" s="66"/>
      <c r="E638" s="66"/>
      <c r="F638" s="66"/>
      <c r="G638" s="66"/>
      <c r="H638" s="66"/>
      <c r="I638" s="66"/>
      <c r="J638" s="66"/>
    </row>
    <row r="639" spans="1:10">
      <c r="A639" s="66"/>
      <c r="B639" s="66"/>
      <c r="E639" s="66"/>
      <c r="F639" s="66"/>
      <c r="G639" s="66"/>
      <c r="H639" s="66"/>
      <c r="I639" s="66"/>
      <c r="J639" s="66"/>
    </row>
    <row r="640" spans="1:10">
      <c r="A640" s="66"/>
      <c r="B640" s="66"/>
      <c r="E640" s="66"/>
      <c r="F640" s="66"/>
      <c r="G640" s="66"/>
      <c r="H640" s="66"/>
      <c r="I640" s="66"/>
      <c r="J640" s="66"/>
    </row>
    <row r="641" spans="1:10">
      <c r="A641" s="66"/>
      <c r="B641" s="66"/>
      <c r="E641" s="66"/>
      <c r="F641" s="66"/>
      <c r="G641" s="66"/>
      <c r="H641" s="66"/>
      <c r="I641" s="66"/>
      <c r="J641" s="66"/>
    </row>
    <row r="642" spans="1:10">
      <c r="A642" s="66"/>
      <c r="B642" s="66"/>
      <c r="E642" s="66"/>
      <c r="F642" s="66"/>
      <c r="G642" s="66"/>
      <c r="H642" s="66"/>
      <c r="I642" s="66"/>
      <c r="J642" s="66"/>
    </row>
    <row r="643" spans="1:10">
      <c r="A643" s="66"/>
      <c r="B643" s="66"/>
      <c r="E643" s="66"/>
      <c r="F643" s="66"/>
      <c r="G643" s="66"/>
      <c r="H643" s="66"/>
      <c r="I643" s="66"/>
      <c r="J643" s="66"/>
    </row>
    <row r="644" spans="1:10">
      <c r="A644" s="66"/>
      <c r="B644" s="66"/>
      <c r="E644" s="66"/>
      <c r="F644" s="66"/>
      <c r="G644" s="66"/>
      <c r="H644" s="66"/>
      <c r="I644" s="66"/>
      <c r="J644" s="66"/>
    </row>
    <row r="645" spans="1:10">
      <c r="A645" s="66"/>
      <c r="B645" s="66"/>
      <c r="E645" s="66"/>
      <c r="F645" s="66"/>
      <c r="G645" s="66"/>
      <c r="H645" s="66"/>
      <c r="I645" s="66"/>
      <c r="J645" s="66"/>
    </row>
    <row r="646" spans="1:10">
      <c r="A646" s="66"/>
      <c r="B646" s="66"/>
      <c r="E646" s="66"/>
      <c r="F646" s="66"/>
      <c r="G646" s="66"/>
      <c r="H646" s="66"/>
      <c r="I646" s="66"/>
      <c r="J646" s="66"/>
    </row>
    <row r="647" spans="1:10">
      <c r="A647" s="66"/>
      <c r="B647" s="66"/>
      <c r="E647" s="66"/>
      <c r="F647" s="66"/>
      <c r="G647" s="66"/>
      <c r="H647" s="66"/>
      <c r="I647" s="66"/>
      <c r="J647" s="66"/>
    </row>
    <row r="648" spans="1:10">
      <c r="A648" s="66"/>
      <c r="B648" s="66"/>
      <c r="E648" s="66"/>
      <c r="F648" s="66"/>
      <c r="G648" s="66"/>
      <c r="H648" s="66"/>
      <c r="I648" s="66"/>
      <c r="J648" s="66"/>
    </row>
    <row r="649" spans="1:10">
      <c r="A649" s="66"/>
      <c r="B649" s="66"/>
      <c r="E649" s="66"/>
      <c r="F649" s="66"/>
      <c r="G649" s="66"/>
      <c r="H649" s="66"/>
      <c r="I649" s="66"/>
      <c r="J649" s="66"/>
    </row>
    <row r="650" spans="1:10">
      <c r="A650" s="66"/>
      <c r="B650" s="66"/>
      <c r="E650" s="66"/>
      <c r="F650" s="66"/>
      <c r="G650" s="66"/>
      <c r="H650" s="66"/>
      <c r="I650" s="66"/>
      <c r="J650" s="66"/>
    </row>
    <row r="651" spans="1:10">
      <c r="A651" s="66"/>
      <c r="B651" s="66"/>
      <c r="E651" s="66"/>
      <c r="F651" s="66"/>
      <c r="G651" s="66"/>
      <c r="H651" s="66"/>
      <c r="I651" s="66"/>
      <c r="J651" s="66"/>
    </row>
    <row r="652" spans="1:10">
      <c r="A652" s="66"/>
      <c r="B652" s="66"/>
      <c r="E652" s="66"/>
      <c r="F652" s="66"/>
      <c r="G652" s="66"/>
      <c r="H652" s="66"/>
      <c r="I652" s="66"/>
      <c r="J652" s="66"/>
    </row>
    <row r="653" spans="1:10">
      <c r="A653" s="66"/>
      <c r="B653" s="66"/>
      <c r="E653" s="66"/>
      <c r="F653" s="66"/>
      <c r="G653" s="66"/>
      <c r="H653" s="66"/>
      <c r="I653" s="66"/>
      <c r="J653" s="66"/>
    </row>
    <row r="654" spans="1:10">
      <c r="A654" s="66"/>
      <c r="B654" s="66"/>
      <c r="E654" s="66"/>
      <c r="F654" s="66"/>
      <c r="G654" s="66"/>
      <c r="H654" s="66"/>
      <c r="I654" s="66"/>
      <c r="J654" s="66"/>
    </row>
    <row r="655" spans="1:10">
      <c r="A655" s="66"/>
      <c r="B655" s="66"/>
      <c r="E655" s="66"/>
      <c r="F655" s="66"/>
      <c r="G655" s="66"/>
      <c r="H655" s="66"/>
      <c r="I655" s="66"/>
      <c r="J655" s="66"/>
    </row>
    <row r="656" spans="1:10">
      <c r="A656" s="66"/>
      <c r="B656" s="66"/>
      <c r="E656" s="66"/>
      <c r="F656" s="66"/>
      <c r="G656" s="66"/>
      <c r="H656" s="66"/>
      <c r="I656" s="66"/>
      <c r="J656" s="66"/>
    </row>
    <row r="657" spans="1:10">
      <c r="A657" s="66"/>
      <c r="B657" s="66"/>
      <c r="E657" s="66"/>
      <c r="F657" s="66"/>
      <c r="G657" s="66"/>
      <c r="H657" s="66"/>
      <c r="I657" s="66"/>
      <c r="J657" s="66"/>
    </row>
    <row r="658" spans="1:10">
      <c r="A658" s="66"/>
      <c r="B658" s="66"/>
      <c r="E658" s="66"/>
      <c r="F658" s="66"/>
      <c r="G658" s="66"/>
      <c r="H658" s="66"/>
      <c r="I658" s="66"/>
      <c r="J658" s="66"/>
    </row>
    <row r="659" spans="1:10">
      <c r="A659" s="66"/>
      <c r="B659" s="66"/>
      <c r="E659" s="66"/>
      <c r="F659" s="66"/>
      <c r="G659" s="66"/>
      <c r="H659" s="66"/>
      <c r="I659" s="66"/>
      <c r="J659" s="66"/>
    </row>
    <row r="660" spans="1:10">
      <c r="A660" s="66"/>
      <c r="B660" s="66"/>
      <c r="E660" s="66"/>
      <c r="F660" s="66"/>
      <c r="G660" s="66"/>
      <c r="H660" s="66"/>
      <c r="I660" s="66"/>
      <c r="J660" s="66"/>
    </row>
    <row r="661" spans="1:10">
      <c r="A661" s="66"/>
      <c r="B661" s="66"/>
      <c r="E661" s="66"/>
      <c r="F661" s="66"/>
      <c r="G661" s="66"/>
      <c r="H661" s="66"/>
      <c r="I661" s="66"/>
      <c r="J661" s="66"/>
    </row>
    <row r="662" spans="1:10">
      <c r="A662" s="66"/>
      <c r="B662" s="66"/>
      <c r="E662" s="66"/>
      <c r="F662" s="66"/>
      <c r="G662" s="66"/>
      <c r="H662" s="66"/>
      <c r="I662" s="66"/>
      <c r="J662" s="66"/>
    </row>
    <row r="663" spans="1:10">
      <c r="A663" s="66"/>
      <c r="B663" s="66"/>
      <c r="E663" s="66"/>
      <c r="F663" s="66"/>
      <c r="G663" s="66"/>
      <c r="H663" s="66"/>
      <c r="I663" s="66"/>
      <c r="J663" s="66"/>
    </row>
    <row r="664" spans="1:10">
      <c r="A664" s="66"/>
      <c r="B664" s="66"/>
      <c r="E664" s="66"/>
      <c r="F664" s="66"/>
      <c r="G664" s="66"/>
      <c r="H664" s="66"/>
      <c r="I664" s="66"/>
      <c r="J664" s="66"/>
    </row>
    <row r="665" spans="1:10">
      <c r="A665" s="66"/>
      <c r="B665" s="66"/>
      <c r="E665" s="66"/>
      <c r="F665" s="66"/>
      <c r="G665" s="66"/>
      <c r="H665" s="66"/>
      <c r="I665" s="66"/>
      <c r="J665" s="66"/>
    </row>
    <row r="666" spans="1:10">
      <c r="A666" s="66"/>
      <c r="B666" s="66"/>
      <c r="E666" s="66"/>
      <c r="F666" s="66"/>
      <c r="G666" s="66"/>
      <c r="H666" s="66"/>
      <c r="I666" s="66"/>
      <c r="J666" s="66"/>
    </row>
    <row r="667" spans="1:10">
      <c r="A667" s="66"/>
      <c r="B667" s="66"/>
      <c r="E667" s="66"/>
      <c r="F667" s="66"/>
      <c r="G667" s="66"/>
      <c r="H667" s="66"/>
      <c r="I667" s="66"/>
      <c r="J667" s="66"/>
    </row>
    <row r="668" spans="1:10">
      <c r="A668" s="66"/>
      <c r="B668" s="66"/>
      <c r="E668" s="66"/>
      <c r="F668" s="66"/>
      <c r="G668" s="66"/>
      <c r="H668" s="66"/>
      <c r="I668" s="66"/>
      <c r="J668" s="66"/>
    </row>
    <row r="669" spans="1:10">
      <c r="A669" s="66"/>
      <c r="B669" s="66"/>
      <c r="E669" s="66"/>
      <c r="F669" s="66"/>
      <c r="G669" s="66"/>
      <c r="H669" s="66"/>
      <c r="I669" s="66"/>
      <c r="J669" s="66"/>
    </row>
    <row r="670" spans="1:10">
      <c r="A670" s="66"/>
      <c r="B670" s="66"/>
      <c r="E670" s="66"/>
      <c r="F670" s="66"/>
      <c r="G670" s="66"/>
      <c r="H670" s="66"/>
      <c r="I670" s="66"/>
      <c r="J670" s="66"/>
    </row>
    <row r="671" spans="1:10">
      <c r="A671" s="66"/>
      <c r="B671" s="66"/>
      <c r="E671" s="66"/>
      <c r="F671" s="66"/>
      <c r="G671" s="66"/>
      <c r="H671" s="66"/>
      <c r="I671" s="66"/>
      <c r="J671" s="66"/>
    </row>
    <row r="672" spans="1:10">
      <c r="A672" s="66"/>
      <c r="B672" s="66"/>
      <c r="E672" s="66"/>
      <c r="F672" s="66"/>
      <c r="G672" s="66"/>
      <c r="H672" s="66"/>
      <c r="I672" s="66"/>
      <c r="J672" s="66"/>
    </row>
    <row r="673" spans="1:10">
      <c r="A673" s="66"/>
      <c r="B673" s="66"/>
      <c r="E673" s="66"/>
      <c r="F673" s="66"/>
      <c r="G673" s="66"/>
      <c r="H673" s="66"/>
      <c r="I673" s="66"/>
      <c r="J673" s="66"/>
    </row>
    <row r="674" spans="1:10">
      <c r="A674" s="66"/>
      <c r="B674" s="66"/>
      <c r="E674" s="66"/>
      <c r="F674" s="66"/>
      <c r="G674" s="66"/>
      <c r="H674" s="66"/>
      <c r="I674" s="66"/>
      <c r="J674" s="66"/>
    </row>
    <row r="675" spans="1:10">
      <c r="A675" s="66"/>
      <c r="B675" s="66"/>
      <c r="E675" s="66"/>
      <c r="F675" s="66"/>
      <c r="G675" s="66"/>
      <c r="H675" s="66"/>
      <c r="I675" s="66"/>
      <c r="J675" s="66"/>
    </row>
    <row r="676" spans="1:10">
      <c r="A676" s="66"/>
      <c r="B676" s="66"/>
      <c r="E676" s="66"/>
      <c r="F676" s="66"/>
      <c r="G676" s="66"/>
      <c r="H676" s="66"/>
      <c r="I676" s="66"/>
      <c r="J676" s="66"/>
    </row>
    <row r="677" spans="1:10">
      <c r="A677" s="66"/>
      <c r="B677" s="66"/>
      <c r="E677" s="66"/>
      <c r="F677" s="66"/>
      <c r="G677" s="66"/>
      <c r="H677" s="66"/>
      <c r="I677" s="66"/>
      <c r="J677" s="66"/>
    </row>
    <row r="678" spans="1:10">
      <c r="A678" s="66"/>
      <c r="B678" s="66"/>
      <c r="E678" s="66"/>
      <c r="F678" s="66"/>
      <c r="G678" s="66"/>
      <c r="H678" s="66"/>
      <c r="I678" s="66"/>
      <c r="J678" s="66"/>
    </row>
    <row r="679" spans="1:10">
      <c r="A679" s="66"/>
      <c r="B679" s="66"/>
      <c r="E679" s="66"/>
      <c r="F679" s="66"/>
      <c r="G679" s="66"/>
      <c r="H679" s="66"/>
      <c r="I679" s="66"/>
      <c r="J679" s="66"/>
    </row>
    <row r="680" spans="1:10">
      <c r="A680" s="66"/>
      <c r="B680" s="66"/>
      <c r="E680" s="66"/>
      <c r="F680" s="66"/>
      <c r="G680" s="66"/>
      <c r="H680" s="66"/>
      <c r="I680" s="66"/>
      <c r="J680" s="66"/>
    </row>
    <row r="681" spans="1:10">
      <c r="A681" s="66"/>
      <c r="B681" s="66"/>
      <c r="E681" s="66"/>
      <c r="F681" s="66"/>
      <c r="G681" s="66"/>
      <c r="H681" s="66"/>
      <c r="I681" s="66"/>
      <c r="J681" s="66"/>
    </row>
    <row r="682" spans="1:10">
      <c r="A682" s="66"/>
      <c r="B682" s="66"/>
      <c r="E682" s="66"/>
      <c r="F682" s="66"/>
      <c r="G682" s="66"/>
      <c r="H682" s="66"/>
      <c r="I682" s="66"/>
      <c r="J682" s="66"/>
    </row>
    <row r="683" spans="1:10">
      <c r="A683" s="66"/>
      <c r="B683" s="66"/>
      <c r="E683" s="66"/>
      <c r="F683" s="66"/>
      <c r="G683" s="66"/>
      <c r="H683" s="66"/>
      <c r="I683" s="66"/>
      <c r="J683" s="66"/>
    </row>
    <row r="684" spans="1:10">
      <c r="A684" s="66"/>
      <c r="B684" s="66"/>
      <c r="E684" s="66"/>
      <c r="F684" s="66"/>
      <c r="G684" s="66"/>
      <c r="H684" s="66"/>
      <c r="I684" s="66"/>
      <c r="J684" s="66"/>
    </row>
    <row r="685" spans="1:10">
      <c r="A685" s="66"/>
      <c r="B685" s="66"/>
      <c r="E685" s="66"/>
      <c r="F685" s="66"/>
      <c r="G685" s="66"/>
      <c r="H685" s="66"/>
      <c r="I685" s="66"/>
      <c r="J685" s="66"/>
    </row>
    <row r="686" spans="1:10">
      <c r="A686" s="66"/>
      <c r="B686" s="66"/>
      <c r="E686" s="66"/>
      <c r="F686" s="66"/>
      <c r="G686" s="66"/>
      <c r="H686" s="66"/>
      <c r="I686" s="66"/>
      <c r="J686" s="66"/>
    </row>
    <row r="687" spans="1:10">
      <c r="A687" s="66"/>
      <c r="B687" s="66"/>
      <c r="E687" s="66"/>
      <c r="F687" s="66"/>
      <c r="G687" s="66"/>
      <c r="H687" s="66"/>
      <c r="I687" s="66"/>
      <c r="J687" s="66"/>
    </row>
    <row r="688" spans="1:10">
      <c r="A688" s="66"/>
      <c r="B688" s="66"/>
      <c r="E688" s="66"/>
      <c r="F688" s="66"/>
      <c r="G688" s="66"/>
      <c r="H688" s="66"/>
      <c r="I688" s="66"/>
      <c r="J688" s="66"/>
    </row>
    <row r="689" spans="1:10">
      <c r="A689" s="66"/>
      <c r="B689" s="66"/>
      <c r="E689" s="66"/>
      <c r="F689" s="66"/>
      <c r="G689" s="66"/>
      <c r="H689" s="66"/>
      <c r="I689" s="66"/>
      <c r="J689" s="66"/>
    </row>
    <row r="690" spans="1:10">
      <c r="A690" s="66"/>
      <c r="B690" s="66"/>
      <c r="E690" s="66"/>
      <c r="F690" s="66"/>
      <c r="G690" s="66"/>
      <c r="H690" s="66"/>
      <c r="I690" s="66"/>
      <c r="J690" s="66"/>
    </row>
    <row r="691" spans="1:10">
      <c r="A691" s="66"/>
      <c r="B691" s="66"/>
      <c r="E691" s="66"/>
      <c r="F691" s="66"/>
      <c r="G691" s="66"/>
      <c r="H691" s="66"/>
      <c r="I691" s="66"/>
      <c r="J691" s="66"/>
    </row>
    <row r="692" spans="1:10">
      <c r="A692" s="66"/>
      <c r="B692" s="66"/>
      <c r="E692" s="66"/>
      <c r="F692" s="66"/>
      <c r="G692" s="66"/>
      <c r="H692" s="66"/>
      <c r="I692" s="66"/>
      <c r="J692" s="66"/>
    </row>
    <row r="693" spans="1:10">
      <c r="A693" s="66"/>
      <c r="B693" s="66"/>
      <c r="E693" s="66"/>
      <c r="F693" s="66"/>
      <c r="G693" s="66"/>
      <c r="H693" s="66"/>
      <c r="I693" s="66"/>
      <c r="J693" s="66"/>
    </row>
    <row r="694" spans="1:10">
      <c r="A694" s="66"/>
      <c r="B694" s="66"/>
      <c r="E694" s="66"/>
      <c r="F694" s="66"/>
      <c r="G694" s="66"/>
      <c r="H694" s="66"/>
      <c r="I694" s="66"/>
      <c r="J694" s="66"/>
    </row>
    <row r="695" spans="1:10">
      <c r="A695" s="66"/>
      <c r="B695" s="66"/>
      <c r="E695" s="66"/>
      <c r="F695" s="66"/>
      <c r="G695" s="66"/>
      <c r="H695" s="66"/>
      <c r="I695" s="66"/>
      <c r="J695" s="66"/>
    </row>
    <row r="696" spans="1:10">
      <c r="A696" s="66"/>
      <c r="B696" s="66"/>
      <c r="E696" s="66"/>
      <c r="F696" s="66"/>
      <c r="G696" s="66"/>
      <c r="H696" s="66"/>
      <c r="I696" s="66"/>
      <c r="J696" s="66"/>
    </row>
    <row r="697" spans="1:10">
      <c r="A697" s="66"/>
      <c r="B697" s="66"/>
      <c r="E697" s="66"/>
      <c r="F697" s="66"/>
      <c r="G697" s="66"/>
      <c r="H697" s="66"/>
      <c r="I697" s="66"/>
      <c r="J697" s="66"/>
    </row>
    <row r="698" spans="1:10">
      <c r="A698" s="66"/>
      <c r="B698" s="66"/>
      <c r="E698" s="66"/>
      <c r="F698" s="66"/>
      <c r="G698" s="66"/>
      <c r="H698" s="66"/>
      <c r="I698" s="66"/>
      <c r="J698" s="66"/>
    </row>
    <row r="699" spans="1:10">
      <c r="A699" s="66"/>
      <c r="B699" s="66"/>
      <c r="E699" s="66"/>
      <c r="F699" s="66"/>
      <c r="G699" s="66"/>
      <c r="H699" s="66"/>
      <c r="I699" s="66"/>
      <c r="J699" s="66"/>
    </row>
    <row r="700" spans="1:10">
      <c r="A700" s="66"/>
      <c r="B700" s="66"/>
      <c r="E700" s="66"/>
      <c r="F700" s="66"/>
      <c r="G700" s="66"/>
      <c r="H700" s="66"/>
      <c r="I700" s="66"/>
      <c r="J700" s="66"/>
    </row>
    <row r="701" spans="1:10">
      <c r="A701" s="66"/>
      <c r="B701" s="66"/>
      <c r="E701" s="66"/>
      <c r="F701" s="66"/>
      <c r="G701" s="66"/>
      <c r="H701" s="66"/>
      <c r="I701" s="66"/>
      <c r="J701" s="66"/>
    </row>
    <row r="702" spans="1:10">
      <c r="A702" s="66"/>
      <c r="B702" s="66"/>
      <c r="E702" s="66"/>
      <c r="F702" s="66"/>
      <c r="G702" s="66"/>
      <c r="H702" s="66"/>
      <c r="I702" s="66"/>
      <c r="J702" s="66"/>
    </row>
    <row r="703" spans="1:10">
      <c r="A703" s="66"/>
      <c r="B703" s="66"/>
      <c r="E703" s="66"/>
      <c r="F703" s="66"/>
      <c r="G703" s="66"/>
      <c r="H703" s="66"/>
      <c r="I703" s="66"/>
      <c r="J703" s="66"/>
    </row>
    <row r="704" spans="1:10">
      <c r="A704" s="66"/>
      <c r="B704" s="66"/>
      <c r="E704" s="66"/>
      <c r="F704" s="66"/>
      <c r="G704" s="66"/>
      <c r="H704" s="66"/>
      <c r="I704" s="66"/>
      <c r="J704" s="66"/>
    </row>
    <row r="705" spans="1:10">
      <c r="A705" s="66"/>
      <c r="B705" s="66"/>
      <c r="E705" s="66"/>
      <c r="F705" s="66"/>
      <c r="G705" s="66"/>
      <c r="H705" s="66"/>
      <c r="I705" s="66"/>
      <c r="J705" s="66"/>
    </row>
    <row r="706" spans="1:10">
      <c r="A706" s="66"/>
      <c r="B706" s="66"/>
      <c r="E706" s="66"/>
      <c r="F706" s="66"/>
      <c r="G706" s="66"/>
      <c r="H706" s="66"/>
      <c r="I706" s="66"/>
      <c r="J706" s="66"/>
    </row>
    <row r="707" spans="1:10">
      <c r="A707" s="66"/>
      <c r="B707" s="66"/>
      <c r="E707" s="66"/>
      <c r="F707" s="66"/>
      <c r="G707" s="66"/>
      <c r="H707" s="66"/>
      <c r="I707" s="66"/>
      <c r="J707" s="66"/>
    </row>
    <row r="708" spans="1:10">
      <c r="A708" s="66"/>
      <c r="B708" s="66"/>
      <c r="E708" s="66"/>
      <c r="F708" s="66"/>
      <c r="G708" s="66"/>
      <c r="H708" s="66"/>
      <c r="I708" s="66"/>
      <c r="J708" s="66"/>
    </row>
    <row r="709" spans="1:10">
      <c r="A709" s="66"/>
      <c r="B709" s="66"/>
      <c r="E709" s="66"/>
      <c r="F709" s="66"/>
      <c r="G709" s="66"/>
      <c r="H709" s="66"/>
      <c r="I709" s="66"/>
      <c r="J709" s="66"/>
    </row>
    <row r="710" spans="1:10">
      <c r="A710" s="66"/>
      <c r="B710" s="66"/>
      <c r="E710" s="66"/>
      <c r="F710" s="66"/>
      <c r="G710" s="66"/>
      <c r="H710" s="66"/>
      <c r="I710" s="66"/>
      <c r="J710" s="66"/>
    </row>
    <row r="711" spans="1:10">
      <c r="A711" s="66"/>
      <c r="B711" s="66"/>
      <c r="E711" s="66"/>
      <c r="F711" s="66"/>
      <c r="G711" s="66"/>
      <c r="H711" s="66"/>
      <c r="I711" s="66"/>
      <c r="J711" s="66"/>
    </row>
    <row r="712" spans="1:10">
      <c r="A712" s="66"/>
      <c r="B712" s="66"/>
      <c r="E712" s="66"/>
      <c r="F712" s="66"/>
      <c r="G712" s="66"/>
      <c r="H712" s="66"/>
      <c r="I712" s="66"/>
      <c r="J712" s="66"/>
    </row>
    <row r="713" spans="1:10">
      <c r="A713" s="66"/>
      <c r="B713" s="66"/>
      <c r="E713" s="66"/>
      <c r="F713" s="66"/>
      <c r="G713" s="66"/>
      <c r="H713" s="66"/>
      <c r="I713" s="66"/>
      <c r="J713" s="66"/>
    </row>
    <row r="714" spans="1:10">
      <c r="A714" s="66"/>
      <c r="B714" s="66"/>
      <c r="E714" s="66"/>
      <c r="F714" s="66"/>
      <c r="G714" s="66"/>
      <c r="H714" s="66"/>
      <c r="I714" s="66"/>
      <c r="J714" s="66"/>
    </row>
    <row r="715" spans="1:10">
      <c r="A715" s="66"/>
      <c r="B715" s="66"/>
      <c r="E715" s="66"/>
      <c r="F715" s="66"/>
      <c r="G715" s="66"/>
      <c r="H715" s="66"/>
      <c r="I715" s="66"/>
      <c r="J715" s="66"/>
    </row>
    <row r="716" spans="1:10">
      <c r="A716" s="66"/>
      <c r="B716" s="66"/>
      <c r="E716" s="66"/>
      <c r="F716" s="66"/>
      <c r="G716" s="66"/>
      <c r="H716" s="66"/>
      <c r="I716" s="66"/>
      <c r="J716" s="66"/>
    </row>
    <row r="717" spans="1:10">
      <c r="A717" s="66"/>
      <c r="B717" s="66"/>
      <c r="E717" s="66"/>
      <c r="F717" s="66"/>
      <c r="G717" s="66"/>
      <c r="H717" s="66"/>
      <c r="I717" s="66"/>
      <c r="J717" s="66"/>
    </row>
    <row r="718" spans="1:10">
      <c r="A718" s="66"/>
      <c r="B718" s="66"/>
      <c r="E718" s="66"/>
      <c r="F718" s="66"/>
      <c r="G718" s="66"/>
      <c r="H718" s="66"/>
      <c r="I718" s="66"/>
      <c r="J718" s="66"/>
    </row>
    <row r="719" spans="1:10">
      <c r="A719" s="66"/>
      <c r="B719" s="66"/>
      <c r="E719" s="66"/>
      <c r="F719" s="66"/>
      <c r="G719" s="66"/>
      <c r="H719" s="66"/>
      <c r="I719" s="66"/>
      <c r="J719" s="66"/>
    </row>
    <row r="720" spans="1:10">
      <c r="A720" s="66"/>
      <c r="B720" s="66"/>
      <c r="E720" s="66"/>
      <c r="F720" s="66"/>
      <c r="G720" s="66"/>
      <c r="H720" s="66"/>
      <c r="I720" s="66"/>
      <c r="J720" s="66"/>
    </row>
    <row r="721" spans="1:10">
      <c r="A721" s="66"/>
      <c r="B721" s="66"/>
      <c r="E721" s="66"/>
      <c r="F721" s="66"/>
      <c r="G721" s="66"/>
      <c r="H721" s="66"/>
      <c r="I721" s="66"/>
      <c r="J721" s="66"/>
    </row>
    <row r="722" spans="1:10">
      <c r="A722" s="66"/>
      <c r="B722" s="66"/>
      <c r="E722" s="66"/>
      <c r="F722" s="66"/>
      <c r="G722" s="66"/>
      <c r="H722" s="66"/>
      <c r="I722" s="66"/>
      <c r="J722" s="66"/>
    </row>
    <row r="723" spans="1:10">
      <c r="A723" s="66"/>
      <c r="B723" s="66"/>
      <c r="E723" s="66"/>
      <c r="F723" s="66"/>
      <c r="G723" s="66"/>
      <c r="H723" s="66"/>
      <c r="I723" s="66"/>
      <c r="J723" s="66"/>
    </row>
    <row r="724" spans="1:10">
      <c r="A724" s="66"/>
      <c r="B724" s="66"/>
      <c r="E724" s="66"/>
      <c r="F724" s="66"/>
      <c r="G724" s="66"/>
      <c r="H724" s="66"/>
      <c r="I724" s="66"/>
      <c r="J724" s="66"/>
    </row>
    <row r="725" spans="1:10">
      <c r="A725" s="66"/>
      <c r="B725" s="66"/>
      <c r="E725" s="66"/>
      <c r="F725" s="66"/>
      <c r="G725" s="66"/>
      <c r="H725" s="66"/>
      <c r="I725" s="66"/>
      <c r="J725" s="66"/>
    </row>
    <row r="726" spans="1:10">
      <c r="A726" s="66"/>
      <c r="B726" s="66"/>
      <c r="E726" s="66"/>
      <c r="F726" s="66"/>
      <c r="G726" s="66"/>
      <c r="H726" s="66"/>
      <c r="I726" s="66"/>
      <c r="J726" s="66"/>
    </row>
    <row r="727" spans="1:10">
      <c r="A727" s="66"/>
      <c r="B727" s="66"/>
      <c r="E727" s="66"/>
      <c r="F727" s="66"/>
      <c r="G727" s="66"/>
      <c r="H727" s="66"/>
      <c r="I727" s="66"/>
      <c r="J727" s="66"/>
    </row>
    <row r="728" spans="1:10">
      <c r="A728" s="66"/>
      <c r="B728" s="66"/>
      <c r="E728" s="66"/>
      <c r="F728" s="66"/>
      <c r="G728" s="66"/>
      <c r="H728" s="66"/>
      <c r="I728" s="66"/>
      <c r="J728" s="66"/>
    </row>
    <row r="729" spans="1:10">
      <c r="A729" s="66"/>
      <c r="B729" s="66"/>
      <c r="E729" s="66"/>
      <c r="F729" s="66"/>
      <c r="G729" s="66"/>
      <c r="H729" s="66"/>
      <c r="I729" s="66"/>
      <c r="J729" s="66"/>
    </row>
    <row r="730" spans="1:10">
      <c r="A730" s="66"/>
      <c r="B730" s="66"/>
      <c r="E730" s="66"/>
      <c r="F730" s="66"/>
      <c r="G730" s="66"/>
      <c r="H730" s="66"/>
      <c r="I730" s="66"/>
      <c r="J730" s="66"/>
    </row>
    <row r="731" spans="1:10">
      <c r="A731" s="66"/>
      <c r="B731" s="66"/>
      <c r="E731" s="66"/>
      <c r="F731" s="66"/>
      <c r="G731" s="66"/>
      <c r="H731" s="66"/>
      <c r="I731" s="66"/>
      <c r="J731" s="66"/>
    </row>
    <row r="732" spans="1:10">
      <c r="A732" s="66"/>
      <c r="B732" s="66"/>
      <c r="E732" s="66"/>
      <c r="F732" s="66"/>
      <c r="G732" s="66"/>
      <c r="H732" s="66"/>
      <c r="I732" s="66"/>
      <c r="J732" s="66"/>
    </row>
    <row r="733" spans="1:10">
      <c r="A733" s="66"/>
      <c r="B733" s="66"/>
      <c r="E733" s="66"/>
      <c r="F733" s="66"/>
      <c r="G733" s="66"/>
      <c r="H733" s="66"/>
      <c r="I733" s="66"/>
      <c r="J733" s="66"/>
    </row>
    <row r="734" spans="1:10">
      <c r="A734" s="66"/>
      <c r="B734" s="66"/>
      <c r="E734" s="66"/>
      <c r="F734" s="66"/>
      <c r="G734" s="66"/>
      <c r="H734" s="66"/>
      <c r="I734" s="66"/>
      <c r="J734" s="66"/>
    </row>
    <row r="735" spans="1:10">
      <c r="A735" s="66"/>
      <c r="B735" s="66"/>
      <c r="E735" s="66"/>
      <c r="F735" s="66"/>
      <c r="G735" s="66"/>
      <c r="H735" s="66"/>
      <c r="I735" s="66"/>
      <c r="J735" s="66"/>
    </row>
    <row r="736" spans="1:10">
      <c r="A736" s="66"/>
      <c r="B736" s="66"/>
      <c r="E736" s="66"/>
      <c r="F736" s="66"/>
      <c r="G736" s="66"/>
      <c r="H736" s="66"/>
      <c r="I736" s="66"/>
      <c r="J736" s="66"/>
    </row>
    <row r="737" spans="1:10">
      <c r="A737" s="66"/>
      <c r="B737" s="66"/>
      <c r="E737" s="66"/>
      <c r="F737" s="66"/>
      <c r="G737" s="66"/>
      <c r="H737" s="66"/>
      <c r="I737" s="66"/>
      <c r="J737" s="66"/>
    </row>
    <row r="738" spans="1:10">
      <c r="A738" s="66"/>
      <c r="B738" s="66"/>
      <c r="E738" s="66"/>
      <c r="F738" s="66"/>
      <c r="G738" s="66"/>
      <c r="H738" s="66"/>
      <c r="I738" s="66"/>
      <c r="J738" s="66"/>
    </row>
    <row r="739" spans="1:10">
      <c r="A739" s="66"/>
      <c r="B739" s="66"/>
      <c r="E739" s="66"/>
      <c r="F739" s="66"/>
      <c r="G739" s="66"/>
      <c r="H739" s="66"/>
      <c r="I739" s="66"/>
      <c r="J739" s="66"/>
    </row>
    <row r="740" spans="1:10">
      <c r="A740" s="66"/>
      <c r="B740" s="66"/>
      <c r="E740" s="66"/>
      <c r="F740" s="66"/>
      <c r="G740" s="66"/>
      <c r="H740" s="66"/>
      <c r="I740" s="66"/>
      <c r="J740" s="66"/>
    </row>
    <row r="741" spans="1:10">
      <c r="A741" s="66"/>
      <c r="B741" s="66"/>
      <c r="E741" s="66"/>
      <c r="F741" s="66"/>
      <c r="G741" s="66"/>
      <c r="H741" s="66"/>
      <c r="I741" s="66"/>
      <c r="J741" s="66"/>
    </row>
    <row r="742" spans="1:10">
      <c r="A742" s="66"/>
      <c r="B742" s="66"/>
      <c r="E742" s="66"/>
      <c r="F742" s="66"/>
      <c r="G742" s="66"/>
      <c r="H742" s="66"/>
      <c r="I742" s="66"/>
      <c r="J742" s="66"/>
    </row>
    <row r="743" spans="1:10">
      <c r="A743" s="66"/>
      <c r="B743" s="66"/>
      <c r="E743" s="66"/>
      <c r="F743" s="66"/>
      <c r="G743" s="66"/>
      <c r="H743" s="66"/>
      <c r="I743" s="66"/>
      <c r="J743" s="66"/>
    </row>
    <row r="744" spans="1:10">
      <c r="A744" s="66"/>
      <c r="B744" s="66"/>
      <c r="E744" s="66"/>
      <c r="F744" s="66"/>
      <c r="G744" s="66"/>
      <c r="H744" s="66"/>
      <c r="I744" s="66"/>
      <c r="J744" s="66"/>
    </row>
    <row r="745" spans="1:10">
      <c r="A745" s="66"/>
      <c r="B745" s="66"/>
      <c r="E745" s="66"/>
      <c r="F745" s="66"/>
      <c r="G745" s="66"/>
      <c r="H745" s="66"/>
      <c r="I745" s="66"/>
      <c r="J745" s="66"/>
    </row>
    <row r="746" spans="1:10">
      <c r="A746" s="66"/>
      <c r="B746" s="66"/>
      <c r="E746" s="66"/>
      <c r="F746" s="66"/>
      <c r="G746" s="66"/>
      <c r="H746" s="66"/>
      <c r="I746" s="66"/>
      <c r="J746" s="66"/>
    </row>
    <row r="747" spans="1:10">
      <c r="A747" s="66"/>
      <c r="B747" s="66"/>
      <c r="E747" s="66"/>
      <c r="F747" s="66"/>
      <c r="G747" s="66"/>
      <c r="H747" s="66"/>
      <c r="I747" s="66"/>
      <c r="J747" s="66"/>
    </row>
    <row r="748" spans="1:10">
      <c r="A748" s="66"/>
      <c r="B748" s="66"/>
      <c r="E748" s="66"/>
      <c r="F748" s="66"/>
      <c r="G748" s="66"/>
      <c r="H748" s="66"/>
      <c r="I748" s="66"/>
      <c r="J748" s="66"/>
    </row>
    <row r="749" spans="1:10">
      <c r="A749" s="66"/>
      <c r="B749" s="66"/>
      <c r="E749" s="66"/>
      <c r="F749" s="66"/>
      <c r="G749" s="66"/>
      <c r="H749" s="66"/>
      <c r="I749" s="66"/>
      <c r="J749" s="66"/>
    </row>
    <row r="750" spans="1:10">
      <c r="A750" s="66"/>
      <c r="B750" s="66"/>
      <c r="E750" s="66"/>
      <c r="F750" s="66"/>
      <c r="G750" s="66"/>
      <c r="H750" s="66"/>
      <c r="I750" s="66"/>
      <c r="J750" s="66"/>
    </row>
    <row r="751" spans="1:10">
      <c r="A751" s="66"/>
      <c r="B751" s="66"/>
      <c r="E751" s="66"/>
      <c r="F751" s="66"/>
      <c r="G751" s="66"/>
      <c r="H751" s="66"/>
      <c r="I751" s="66"/>
      <c r="J751" s="66"/>
    </row>
    <row r="752" spans="1:10">
      <c r="A752" s="66"/>
      <c r="B752" s="66"/>
      <c r="E752" s="66"/>
      <c r="F752" s="66"/>
      <c r="G752" s="66"/>
      <c r="H752" s="66"/>
      <c r="I752" s="66"/>
      <c r="J752" s="66"/>
    </row>
    <row r="753" spans="1:10">
      <c r="A753" s="66"/>
      <c r="B753" s="66"/>
      <c r="E753" s="66"/>
      <c r="F753" s="66"/>
      <c r="G753" s="66"/>
      <c r="H753" s="66"/>
      <c r="I753" s="66"/>
      <c r="J753" s="66"/>
    </row>
    <row r="754" spans="1:10">
      <c r="A754" s="66"/>
      <c r="B754" s="66"/>
      <c r="E754" s="66"/>
      <c r="F754" s="66"/>
      <c r="G754" s="66"/>
      <c r="H754" s="66"/>
      <c r="I754" s="66"/>
      <c r="J754" s="66"/>
    </row>
    <row r="755" spans="1:10">
      <c r="A755" s="66"/>
      <c r="B755" s="66"/>
      <c r="E755" s="66"/>
      <c r="F755" s="66"/>
      <c r="G755" s="66"/>
      <c r="H755" s="66"/>
      <c r="I755" s="66"/>
      <c r="J755" s="66"/>
    </row>
    <row r="756" spans="1:10">
      <c r="A756" s="66"/>
      <c r="B756" s="66"/>
      <c r="E756" s="66"/>
      <c r="F756" s="66"/>
      <c r="G756" s="66"/>
      <c r="H756" s="66"/>
      <c r="I756" s="66"/>
      <c r="J756" s="66"/>
    </row>
    <row r="757" spans="1:10">
      <c r="A757" s="66"/>
      <c r="B757" s="66"/>
      <c r="E757" s="66"/>
      <c r="F757" s="66"/>
      <c r="G757" s="66"/>
      <c r="H757" s="66"/>
      <c r="I757" s="66"/>
      <c r="J757" s="66"/>
    </row>
    <row r="758" spans="1:10">
      <c r="A758" s="66"/>
      <c r="B758" s="66"/>
      <c r="E758" s="66"/>
      <c r="F758" s="66"/>
      <c r="G758" s="66"/>
      <c r="H758" s="66"/>
      <c r="I758" s="66"/>
      <c r="J758" s="66"/>
    </row>
    <row r="759" spans="1:10">
      <c r="A759" s="66"/>
      <c r="B759" s="66"/>
      <c r="E759" s="66"/>
      <c r="F759" s="66"/>
      <c r="G759" s="66"/>
      <c r="H759" s="66"/>
      <c r="I759" s="66"/>
      <c r="J759" s="66"/>
    </row>
    <row r="760" spans="1:10">
      <c r="A760" s="66"/>
      <c r="B760" s="66"/>
      <c r="E760" s="66"/>
      <c r="F760" s="66"/>
      <c r="G760" s="66"/>
      <c r="H760" s="66"/>
      <c r="I760" s="66"/>
      <c r="J760" s="66"/>
    </row>
    <row r="761" spans="1:10">
      <c r="A761" s="66"/>
      <c r="B761" s="66"/>
      <c r="E761" s="66"/>
      <c r="F761" s="66"/>
      <c r="G761" s="66"/>
      <c r="H761" s="66"/>
      <c r="I761" s="66"/>
      <c r="J761" s="66"/>
    </row>
    <row r="762" spans="1:10">
      <c r="A762" s="66"/>
      <c r="B762" s="66"/>
      <c r="E762" s="66"/>
      <c r="F762" s="66"/>
      <c r="G762" s="66"/>
      <c r="H762" s="66"/>
      <c r="I762" s="66"/>
      <c r="J762" s="66"/>
    </row>
    <row r="763" spans="1:10">
      <c r="A763" s="66"/>
      <c r="B763" s="66"/>
      <c r="E763" s="66"/>
      <c r="F763" s="66"/>
      <c r="G763" s="66"/>
      <c r="H763" s="66"/>
      <c r="I763" s="66"/>
      <c r="J763" s="66"/>
    </row>
    <row r="764" spans="1:10">
      <c r="A764" s="66"/>
      <c r="B764" s="66"/>
      <c r="E764" s="66"/>
      <c r="F764" s="66"/>
      <c r="G764" s="66"/>
      <c r="H764" s="66"/>
      <c r="I764" s="66"/>
      <c r="J764" s="66"/>
    </row>
    <row r="765" spans="1:10">
      <c r="A765" s="66"/>
      <c r="B765" s="66"/>
      <c r="E765" s="66"/>
      <c r="F765" s="66"/>
      <c r="G765" s="66"/>
      <c r="H765" s="66"/>
      <c r="I765" s="66"/>
      <c r="J765" s="66"/>
    </row>
    <row r="766" spans="1:10">
      <c r="A766" s="66"/>
      <c r="B766" s="66"/>
      <c r="E766" s="66"/>
      <c r="F766" s="66"/>
      <c r="G766" s="66"/>
      <c r="H766" s="66"/>
      <c r="I766" s="66"/>
      <c r="J766" s="66"/>
    </row>
    <row r="767" spans="1:10">
      <c r="A767" s="66"/>
      <c r="B767" s="66"/>
      <c r="E767" s="66"/>
      <c r="F767" s="66"/>
      <c r="G767" s="66"/>
      <c r="H767" s="66"/>
      <c r="I767" s="66"/>
      <c r="J767" s="66"/>
    </row>
    <row r="768" spans="1:10">
      <c r="A768" s="66"/>
      <c r="B768" s="66"/>
      <c r="E768" s="66"/>
      <c r="F768" s="66"/>
      <c r="G768" s="66"/>
      <c r="H768" s="66"/>
      <c r="I768" s="66"/>
      <c r="J768" s="66"/>
    </row>
    <row r="769" spans="1:10">
      <c r="A769" s="66"/>
      <c r="B769" s="66"/>
      <c r="E769" s="66"/>
      <c r="F769" s="66"/>
      <c r="G769" s="66"/>
      <c r="H769" s="66"/>
      <c r="I769" s="66"/>
      <c r="J769" s="66"/>
    </row>
    <row r="770" spans="1:10">
      <c r="A770" s="66"/>
      <c r="B770" s="66"/>
      <c r="E770" s="66"/>
      <c r="F770" s="66"/>
      <c r="G770" s="66"/>
      <c r="H770" s="66"/>
      <c r="I770" s="66"/>
      <c r="J770" s="66"/>
    </row>
    <row r="771" spans="1:10">
      <c r="A771" s="66"/>
      <c r="B771" s="66"/>
      <c r="E771" s="66"/>
      <c r="F771" s="66"/>
      <c r="G771" s="66"/>
      <c r="H771" s="66"/>
      <c r="I771" s="66"/>
      <c r="J771" s="66"/>
    </row>
    <row r="772" spans="1:10">
      <c r="A772" s="66"/>
      <c r="B772" s="66"/>
      <c r="E772" s="66"/>
      <c r="F772" s="66"/>
      <c r="G772" s="66"/>
      <c r="H772" s="66"/>
      <c r="I772" s="66"/>
      <c r="J772" s="66"/>
    </row>
    <row r="773" spans="1:10">
      <c r="A773" s="66"/>
      <c r="B773" s="66"/>
      <c r="E773" s="66"/>
      <c r="F773" s="66"/>
      <c r="G773" s="66"/>
      <c r="H773" s="66"/>
      <c r="I773" s="66"/>
      <c r="J773" s="66"/>
    </row>
    <row r="774" spans="1:10">
      <c r="A774" s="66"/>
      <c r="B774" s="66"/>
      <c r="E774" s="66"/>
      <c r="F774" s="66"/>
      <c r="G774" s="66"/>
      <c r="H774" s="66"/>
      <c r="I774" s="66"/>
      <c r="J774" s="66"/>
    </row>
    <row r="775" spans="1:10">
      <c r="A775" s="66"/>
      <c r="B775" s="66"/>
      <c r="E775" s="66"/>
      <c r="F775" s="66"/>
      <c r="G775" s="66"/>
      <c r="H775" s="66"/>
      <c r="I775" s="66"/>
      <c r="J775" s="66"/>
    </row>
    <row r="776" spans="1:10">
      <c r="A776" s="66"/>
      <c r="B776" s="66"/>
      <c r="E776" s="66"/>
      <c r="F776" s="66"/>
      <c r="G776" s="66"/>
      <c r="H776" s="66"/>
      <c r="I776" s="66"/>
      <c r="J776" s="66"/>
    </row>
    <row r="777" spans="1:10">
      <c r="A777" s="66"/>
      <c r="B777" s="66"/>
      <c r="E777" s="66"/>
      <c r="F777" s="66"/>
      <c r="G777" s="66"/>
      <c r="H777" s="66"/>
      <c r="I777" s="66"/>
      <c r="J777" s="66"/>
    </row>
    <row r="778" spans="1:10">
      <c r="A778" s="66"/>
      <c r="B778" s="66"/>
      <c r="E778" s="66"/>
      <c r="F778" s="66"/>
      <c r="G778" s="66"/>
      <c r="H778" s="66"/>
      <c r="I778" s="66"/>
      <c r="J778" s="66"/>
    </row>
    <row r="779" spans="1:10">
      <c r="A779" s="66"/>
      <c r="B779" s="66"/>
      <c r="E779" s="66"/>
      <c r="F779" s="66"/>
      <c r="G779" s="66"/>
      <c r="H779" s="66"/>
      <c r="I779" s="66"/>
      <c r="J779" s="66"/>
    </row>
    <row r="780" spans="1:10">
      <c r="A780" s="66"/>
      <c r="B780" s="66"/>
      <c r="E780" s="66"/>
      <c r="F780" s="66"/>
      <c r="G780" s="66"/>
      <c r="H780" s="66"/>
      <c r="I780" s="66"/>
      <c r="J780" s="66"/>
    </row>
    <row r="781" spans="1:10">
      <c r="A781" s="66"/>
      <c r="B781" s="66"/>
      <c r="E781" s="66"/>
      <c r="F781" s="66"/>
      <c r="G781" s="66"/>
      <c r="H781" s="66"/>
      <c r="I781" s="66"/>
      <c r="J781" s="66"/>
    </row>
    <row r="782" spans="1:10">
      <c r="A782" s="66"/>
      <c r="B782" s="66"/>
      <c r="E782" s="66"/>
      <c r="F782" s="66"/>
      <c r="G782" s="66"/>
      <c r="H782" s="66"/>
      <c r="I782" s="66"/>
      <c r="J782" s="66"/>
    </row>
    <row r="783" spans="1:10">
      <c r="A783" s="66"/>
      <c r="B783" s="66"/>
      <c r="E783" s="66"/>
      <c r="F783" s="66"/>
      <c r="G783" s="66"/>
      <c r="H783" s="66"/>
      <c r="I783" s="66"/>
      <c r="J783" s="66"/>
    </row>
    <row r="784" spans="1:10">
      <c r="A784" s="66"/>
      <c r="B784" s="66"/>
      <c r="E784" s="66"/>
      <c r="F784" s="66"/>
      <c r="G784" s="66"/>
      <c r="H784" s="66"/>
      <c r="I784" s="66"/>
      <c r="J784" s="66"/>
    </row>
    <row r="785" spans="1:10">
      <c r="A785" s="66"/>
      <c r="B785" s="66"/>
      <c r="E785" s="66"/>
      <c r="F785" s="66"/>
      <c r="G785" s="66"/>
      <c r="H785" s="66"/>
      <c r="I785" s="66"/>
      <c r="J785" s="66"/>
    </row>
    <row r="786" spans="1:10">
      <c r="A786" s="66"/>
      <c r="B786" s="66"/>
      <c r="E786" s="66"/>
      <c r="F786" s="66"/>
      <c r="G786" s="66"/>
      <c r="H786" s="66"/>
      <c r="I786" s="66"/>
      <c r="J786" s="66"/>
    </row>
    <row r="787" spans="1:10">
      <c r="A787" s="66"/>
      <c r="B787" s="66"/>
      <c r="E787" s="66"/>
      <c r="F787" s="66"/>
      <c r="G787" s="66"/>
      <c r="H787" s="66"/>
      <c r="I787" s="66"/>
      <c r="J787" s="66"/>
    </row>
    <row r="788" spans="1:10">
      <c r="A788" s="66"/>
      <c r="B788" s="66"/>
      <c r="E788" s="66"/>
      <c r="F788" s="66"/>
      <c r="G788" s="66"/>
      <c r="H788" s="66"/>
      <c r="I788" s="66"/>
      <c r="J788" s="66"/>
    </row>
    <row r="789" spans="1:10">
      <c r="A789" s="66"/>
      <c r="B789" s="66"/>
      <c r="E789" s="66"/>
      <c r="F789" s="66"/>
      <c r="G789" s="66"/>
      <c r="H789" s="66"/>
      <c r="I789" s="66"/>
      <c r="J789" s="66"/>
    </row>
    <row r="790" spans="1:10">
      <c r="A790" s="66"/>
      <c r="B790" s="66"/>
      <c r="E790" s="66"/>
      <c r="F790" s="66"/>
      <c r="G790" s="66"/>
      <c r="H790" s="66"/>
      <c r="I790" s="66"/>
      <c r="J790" s="66"/>
    </row>
    <row r="791" spans="1:10">
      <c r="A791" s="66"/>
      <c r="B791" s="66"/>
      <c r="E791" s="66"/>
      <c r="F791" s="66"/>
      <c r="G791" s="66"/>
      <c r="H791" s="66"/>
      <c r="I791" s="66"/>
      <c r="J791" s="66"/>
    </row>
    <row r="792" spans="1:10">
      <c r="A792" s="66"/>
      <c r="B792" s="66"/>
      <c r="E792" s="66"/>
      <c r="F792" s="66"/>
      <c r="G792" s="66"/>
      <c r="H792" s="66"/>
      <c r="I792" s="66"/>
      <c r="J792" s="66"/>
    </row>
    <row r="793" spans="1:10">
      <c r="A793" s="66"/>
      <c r="B793" s="66"/>
      <c r="E793" s="66"/>
      <c r="F793" s="66"/>
      <c r="G793" s="66"/>
      <c r="H793" s="66"/>
      <c r="I793" s="66"/>
      <c r="J793" s="66"/>
    </row>
    <row r="794" spans="1:10">
      <c r="A794" s="66"/>
      <c r="B794" s="66"/>
      <c r="E794" s="66"/>
      <c r="F794" s="66"/>
      <c r="G794" s="66"/>
      <c r="H794" s="66"/>
      <c r="I794" s="66"/>
      <c r="J794" s="66"/>
    </row>
    <row r="795" spans="1:10">
      <c r="A795" s="66"/>
      <c r="B795" s="66"/>
      <c r="E795" s="66"/>
      <c r="F795" s="66"/>
      <c r="G795" s="66"/>
      <c r="H795" s="66"/>
      <c r="I795" s="66"/>
      <c r="J795" s="66"/>
    </row>
    <row r="796" spans="1:10">
      <c r="A796" s="66"/>
      <c r="B796" s="66"/>
      <c r="E796" s="66"/>
      <c r="F796" s="66"/>
      <c r="G796" s="66"/>
      <c r="H796" s="66"/>
      <c r="I796" s="66"/>
      <c r="J796" s="66"/>
    </row>
    <row r="797" spans="1:10">
      <c r="A797" s="66"/>
      <c r="B797" s="66"/>
      <c r="E797" s="66"/>
      <c r="F797" s="66"/>
      <c r="G797" s="66"/>
      <c r="H797" s="66"/>
      <c r="I797" s="66"/>
      <c r="J797" s="66"/>
    </row>
    <row r="798" spans="1:10">
      <c r="A798" s="66"/>
      <c r="B798" s="66"/>
      <c r="E798" s="66"/>
      <c r="F798" s="66"/>
      <c r="G798" s="66"/>
      <c r="H798" s="66"/>
      <c r="I798" s="66"/>
      <c r="J798" s="66"/>
    </row>
    <row r="799" spans="1:10">
      <c r="A799" s="66"/>
      <c r="B799" s="66"/>
      <c r="E799" s="66"/>
      <c r="F799" s="66"/>
      <c r="G799" s="66"/>
      <c r="H799" s="66"/>
      <c r="I799" s="66"/>
      <c r="J799" s="66"/>
    </row>
    <row r="800" spans="1:10">
      <c r="A800" s="66"/>
      <c r="B800" s="66"/>
      <c r="E800" s="66"/>
      <c r="F800" s="66"/>
      <c r="G800" s="66"/>
      <c r="H800" s="66"/>
      <c r="I800" s="66"/>
      <c r="J800" s="66"/>
    </row>
    <row r="801" spans="1:10">
      <c r="A801" s="66"/>
      <c r="B801" s="66"/>
      <c r="E801" s="66"/>
      <c r="F801" s="66"/>
      <c r="G801" s="66"/>
      <c r="H801" s="66"/>
      <c r="I801" s="66"/>
      <c r="J801" s="66"/>
    </row>
    <row r="802" spans="1:10">
      <c r="A802" s="66"/>
      <c r="B802" s="66"/>
      <c r="E802" s="66"/>
      <c r="F802" s="66"/>
      <c r="G802" s="66"/>
      <c r="H802" s="66"/>
      <c r="I802" s="66"/>
      <c r="J802" s="66"/>
    </row>
    <row r="803" spans="1:10">
      <c r="A803" s="66"/>
      <c r="B803" s="66"/>
      <c r="E803" s="66"/>
      <c r="F803" s="66"/>
      <c r="G803" s="66"/>
      <c r="H803" s="66"/>
      <c r="I803" s="66"/>
      <c r="J803" s="66"/>
    </row>
    <row r="804" spans="1:10">
      <c r="A804" s="66"/>
      <c r="B804" s="66"/>
      <c r="E804" s="66"/>
      <c r="F804" s="66"/>
      <c r="G804" s="66"/>
      <c r="H804" s="66"/>
      <c r="I804" s="66"/>
      <c r="J804" s="66"/>
    </row>
    <row r="805" spans="1:10">
      <c r="A805" s="66"/>
      <c r="B805" s="66"/>
      <c r="E805" s="66"/>
      <c r="F805" s="66"/>
      <c r="G805" s="66"/>
      <c r="H805" s="66"/>
      <c r="I805" s="66"/>
      <c r="J805" s="66"/>
    </row>
    <row r="806" spans="1:10">
      <c r="A806" s="66"/>
      <c r="B806" s="66"/>
      <c r="E806" s="66"/>
      <c r="F806" s="66"/>
      <c r="G806" s="66"/>
      <c r="H806" s="66"/>
      <c r="I806" s="66"/>
      <c r="J806" s="66"/>
    </row>
    <row r="807" spans="1:10">
      <c r="A807" s="66"/>
      <c r="B807" s="66"/>
      <c r="E807" s="66"/>
      <c r="F807" s="66"/>
      <c r="G807" s="66"/>
      <c r="H807" s="66"/>
      <c r="I807" s="66"/>
      <c r="J807" s="66"/>
    </row>
    <row r="808" spans="1:10">
      <c r="A808" s="66"/>
      <c r="B808" s="66"/>
      <c r="E808" s="66"/>
      <c r="F808" s="66"/>
      <c r="G808" s="66"/>
      <c r="H808" s="66"/>
      <c r="I808" s="66"/>
      <c r="J808" s="66"/>
    </row>
    <row r="809" spans="1:10">
      <c r="A809" s="66"/>
      <c r="B809" s="66"/>
      <c r="E809" s="66"/>
      <c r="F809" s="66"/>
      <c r="G809" s="66"/>
      <c r="H809" s="66"/>
      <c r="I809" s="66"/>
      <c r="J809" s="66"/>
    </row>
    <row r="810" spans="1:10">
      <c r="A810" s="66"/>
      <c r="B810" s="66"/>
      <c r="E810" s="66"/>
      <c r="F810" s="66"/>
      <c r="G810" s="66"/>
      <c r="H810" s="66"/>
      <c r="I810" s="66"/>
      <c r="J810" s="66"/>
    </row>
    <row r="811" spans="1:10">
      <c r="A811" s="66"/>
      <c r="B811" s="66"/>
      <c r="E811" s="66"/>
      <c r="F811" s="66"/>
      <c r="G811" s="66"/>
      <c r="H811" s="66"/>
      <c r="I811" s="66"/>
      <c r="J811" s="66"/>
    </row>
    <row r="812" spans="1:10">
      <c r="A812" s="66"/>
      <c r="B812" s="66"/>
      <c r="E812" s="66"/>
      <c r="F812" s="66"/>
      <c r="G812" s="66"/>
      <c r="H812" s="66"/>
      <c r="I812" s="66"/>
      <c r="J812" s="66"/>
    </row>
    <row r="813" spans="1:10">
      <c r="A813" s="66"/>
      <c r="B813" s="66"/>
      <c r="E813" s="66"/>
      <c r="F813" s="66"/>
      <c r="G813" s="66"/>
      <c r="H813" s="66"/>
      <c r="I813" s="66"/>
      <c r="J813" s="66"/>
    </row>
    <row r="814" spans="1:10">
      <c r="A814" s="66"/>
      <c r="B814" s="66"/>
      <c r="E814" s="66"/>
      <c r="F814" s="66"/>
      <c r="G814" s="66"/>
      <c r="H814" s="66"/>
      <c r="I814" s="66"/>
      <c r="J814" s="66"/>
    </row>
    <row r="815" spans="1:10">
      <c r="A815" s="66"/>
      <c r="B815" s="66"/>
      <c r="E815" s="66"/>
      <c r="F815" s="66"/>
      <c r="G815" s="66"/>
      <c r="H815" s="66"/>
      <c r="I815" s="66"/>
      <c r="J815" s="66"/>
    </row>
    <row r="816" spans="1:10">
      <c r="A816" s="66"/>
      <c r="B816" s="66"/>
      <c r="E816" s="66"/>
      <c r="F816" s="66"/>
      <c r="G816" s="66"/>
      <c r="H816" s="66"/>
      <c r="I816" s="66"/>
      <c r="J816" s="66"/>
    </row>
    <row r="817" spans="1:10">
      <c r="A817" s="66"/>
      <c r="B817" s="66"/>
      <c r="E817" s="66"/>
      <c r="F817" s="66"/>
      <c r="G817" s="66"/>
      <c r="H817" s="66"/>
      <c r="I817" s="66"/>
      <c r="J817" s="66"/>
    </row>
    <row r="818" spans="1:10">
      <c r="A818" s="66"/>
      <c r="B818" s="66"/>
      <c r="E818" s="66"/>
      <c r="F818" s="66"/>
      <c r="G818" s="66"/>
      <c r="H818" s="66"/>
      <c r="I818" s="66"/>
      <c r="J818" s="66"/>
    </row>
    <row r="819" spans="1:10">
      <c r="A819" s="66"/>
      <c r="B819" s="66"/>
      <c r="E819" s="66"/>
      <c r="F819" s="66"/>
      <c r="G819" s="66"/>
      <c r="H819" s="66"/>
      <c r="I819" s="66"/>
      <c r="J819" s="66"/>
    </row>
    <row r="820" spans="1:10">
      <c r="A820" s="66"/>
      <c r="B820" s="66"/>
      <c r="E820" s="66"/>
      <c r="F820" s="66"/>
      <c r="G820" s="66"/>
      <c r="H820" s="66"/>
      <c r="I820" s="66"/>
      <c r="J820" s="66"/>
    </row>
    <row r="821" spans="1:10">
      <c r="A821" s="66"/>
      <c r="B821" s="66"/>
      <c r="E821" s="66"/>
      <c r="F821" s="66"/>
      <c r="G821" s="66"/>
      <c r="H821" s="66"/>
      <c r="I821" s="66"/>
      <c r="J821" s="66"/>
    </row>
    <row r="822" spans="1:10">
      <c r="A822" s="66"/>
      <c r="B822" s="66"/>
      <c r="E822" s="66"/>
      <c r="F822" s="66"/>
      <c r="G822" s="66"/>
      <c r="H822" s="66"/>
      <c r="I822" s="66"/>
      <c r="J822" s="66"/>
    </row>
    <row r="823" spans="1:10">
      <c r="A823" s="66"/>
      <c r="B823" s="66"/>
      <c r="E823" s="66"/>
      <c r="F823" s="66"/>
      <c r="G823" s="66"/>
      <c r="H823" s="66"/>
      <c r="I823" s="66"/>
      <c r="J823" s="66"/>
    </row>
    <row r="824" spans="1:10">
      <c r="A824" s="66"/>
      <c r="B824" s="66"/>
      <c r="E824" s="66"/>
      <c r="F824" s="66"/>
      <c r="G824" s="66"/>
      <c r="H824" s="66"/>
      <c r="I824" s="66"/>
      <c r="J824" s="66"/>
    </row>
    <row r="825" spans="1:10">
      <c r="A825" s="66"/>
      <c r="B825" s="66"/>
      <c r="E825" s="66"/>
      <c r="F825" s="66"/>
      <c r="G825" s="66"/>
      <c r="H825" s="66"/>
      <c r="I825" s="66"/>
      <c r="J825" s="66"/>
    </row>
    <row r="826" spans="1:10">
      <c r="A826" s="66"/>
      <c r="B826" s="66"/>
      <c r="E826" s="66"/>
      <c r="F826" s="66"/>
      <c r="G826" s="66"/>
      <c r="H826" s="66"/>
      <c r="I826" s="66"/>
      <c r="J826" s="66"/>
    </row>
    <row r="827" spans="1:10">
      <c r="A827" s="66"/>
      <c r="B827" s="66"/>
      <c r="E827" s="66"/>
      <c r="F827" s="66"/>
      <c r="G827" s="66"/>
      <c r="H827" s="66"/>
      <c r="I827" s="66"/>
      <c r="J827" s="66"/>
    </row>
    <row r="828" spans="1:10">
      <c r="A828" s="66"/>
      <c r="B828" s="66"/>
      <c r="E828" s="66"/>
      <c r="F828" s="66"/>
      <c r="G828" s="66"/>
      <c r="H828" s="66"/>
      <c r="I828" s="66"/>
      <c r="J828" s="66"/>
    </row>
    <row r="829" spans="1:10">
      <c r="A829" s="66"/>
      <c r="B829" s="66"/>
      <c r="E829" s="66"/>
      <c r="F829" s="66"/>
      <c r="G829" s="66"/>
      <c r="H829" s="66"/>
      <c r="I829" s="66"/>
      <c r="J829" s="66"/>
    </row>
    <row r="830" spans="1:10">
      <c r="A830" s="66"/>
      <c r="B830" s="66"/>
      <c r="E830" s="66"/>
      <c r="F830" s="66"/>
      <c r="G830" s="66"/>
      <c r="H830" s="66"/>
      <c r="I830" s="66"/>
      <c r="J830" s="66"/>
    </row>
    <row r="831" spans="1:10">
      <c r="A831" s="66"/>
      <c r="B831" s="66"/>
      <c r="E831" s="66"/>
      <c r="F831" s="66"/>
      <c r="G831" s="66"/>
      <c r="H831" s="66"/>
      <c r="I831" s="66"/>
      <c r="J831" s="66"/>
    </row>
    <row r="832" spans="1:10">
      <c r="A832" s="66"/>
      <c r="B832" s="66"/>
      <c r="E832" s="66"/>
      <c r="F832" s="66"/>
      <c r="G832" s="66"/>
      <c r="H832" s="66"/>
      <c r="I832" s="66"/>
      <c r="J832" s="66"/>
    </row>
    <row r="833" spans="1:10">
      <c r="A833" s="66"/>
      <c r="B833" s="66"/>
      <c r="E833" s="66"/>
      <c r="F833" s="66"/>
      <c r="G833" s="66"/>
      <c r="H833" s="66"/>
      <c r="I833" s="66"/>
      <c r="J833" s="66"/>
    </row>
    <row r="834" spans="1:10">
      <c r="A834" s="66"/>
      <c r="B834" s="66"/>
      <c r="E834" s="66"/>
      <c r="F834" s="66"/>
      <c r="G834" s="66"/>
      <c r="H834" s="66"/>
      <c r="I834" s="66"/>
      <c r="J834" s="66"/>
    </row>
    <row r="835" spans="1:10">
      <c r="A835" s="66"/>
      <c r="B835" s="66"/>
      <c r="E835" s="66"/>
      <c r="F835" s="66"/>
      <c r="G835" s="66"/>
      <c r="H835" s="66"/>
      <c r="I835" s="66"/>
      <c r="J835" s="66"/>
    </row>
    <row r="836" spans="1:10">
      <c r="A836" s="66"/>
      <c r="B836" s="66"/>
      <c r="E836" s="66"/>
      <c r="F836" s="66"/>
      <c r="G836" s="66"/>
      <c r="H836" s="66"/>
      <c r="I836" s="66"/>
      <c r="J836" s="66"/>
    </row>
    <row r="837" spans="1:10">
      <c r="A837" s="66"/>
      <c r="B837" s="66"/>
      <c r="E837" s="66"/>
      <c r="F837" s="66"/>
      <c r="G837" s="66"/>
      <c r="H837" s="66"/>
      <c r="I837" s="66"/>
      <c r="J837" s="66"/>
    </row>
    <row r="838" spans="1:10">
      <c r="A838" s="66"/>
      <c r="B838" s="66"/>
      <c r="E838" s="66"/>
      <c r="F838" s="66"/>
      <c r="G838" s="66"/>
      <c r="H838" s="66"/>
      <c r="I838" s="66"/>
      <c r="J838" s="66"/>
    </row>
    <row r="839" spans="1:10">
      <c r="A839" s="66"/>
      <c r="B839" s="66"/>
      <c r="E839" s="66"/>
      <c r="F839" s="66"/>
      <c r="G839" s="66"/>
      <c r="H839" s="66"/>
      <c r="I839" s="66"/>
      <c r="J839" s="66"/>
    </row>
    <row r="840" spans="1:10">
      <c r="A840" s="66"/>
      <c r="B840" s="66"/>
      <c r="E840" s="66"/>
      <c r="F840" s="66"/>
      <c r="G840" s="66"/>
      <c r="H840" s="66"/>
      <c r="I840" s="66"/>
      <c r="J840" s="66"/>
    </row>
    <row r="841" spans="1:10">
      <c r="A841" s="66"/>
      <c r="B841" s="66"/>
      <c r="E841" s="66"/>
      <c r="F841" s="66"/>
      <c r="G841" s="66"/>
      <c r="H841" s="66"/>
      <c r="I841" s="66"/>
      <c r="J841" s="66"/>
    </row>
    <row r="842" spans="1:10">
      <c r="A842" s="66"/>
      <c r="B842" s="66"/>
      <c r="E842" s="66"/>
      <c r="F842" s="66"/>
      <c r="G842" s="66"/>
      <c r="H842" s="66"/>
      <c r="I842" s="66"/>
      <c r="J842" s="66"/>
    </row>
    <row r="843" spans="1:10">
      <c r="A843" s="66"/>
      <c r="B843" s="66"/>
      <c r="E843" s="66"/>
      <c r="F843" s="66"/>
      <c r="G843" s="66"/>
      <c r="H843" s="66"/>
      <c r="I843" s="66"/>
      <c r="J843" s="66"/>
    </row>
    <row r="844" spans="1:10">
      <c r="A844" s="66"/>
      <c r="B844" s="66"/>
      <c r="E844" s="66"/>
      <c r="F844" s="66"/>
      <c r="G844" s="66"/>
      <c r="H844" s="66"/>
      <c r="I844" s="66"/>
      <c r="J844" s="66"/>
    </row>
    <row r="845" spans="1:10">
      <c r="A845" s="66"/>
      <c r="B845" s="66"/>
      <c r="E845" s="66"/>
      <c r="F845" s="66"/>
      <c r="G845" s="66"/>
      <c r="H845" s="66"/>
      <c r="I845" s="66"/>
      <c r="J845" s="66"/>
    </row>
    <row r="846" spans="1:10">
      <c r="A846" s="66"/>
      <c r="B846" s="66"/>
      <c r="E846" s="66"/>
      <c r="F846" s="66"/>
      <c r="G846" s="66"/>
      <c r="H846" s="66"/>
      <c r="I846" s="66"/>
      <c r="J846" s="66"/>
    </row>
    <row r="847" spans="1:10">
      <c r="A847" s="66"/>
      <c r="B847" s="66"/>
      <c r="E847" s="66"/>
      <c r="F847" s="66"/>
      <c r="G847" s="66"/>
      <c r="H847" s="66"/>
      <c r="I847" s="66"/>
      <c r="J847" s="66"/>
    </row>
    <row r="848" spans="1:10">
      <c r="A848" s="66"/>
      <c r="B848" s="66"/>
      <c r="E848" s="66"/>
      <c r="F848" s="66"/>
      <c r="G848" s="66"/>
      <c r="H848" s="66"/>
      <c r="I848" s="66"/>
      <c r="J848" s="66"/>
    </row>
    <row r="849" spans="1:10">
      <c r="A849" s="66"/>
      <c r="B849" s="66"/>
      <c r="E849" s="66"/>
      <c r="F849" s="66"/>
      <c r="G849" s="66"/>
      <c r="H849" s="66"/>
      <c r="I849" s="66"/>
      <c r="J849" s="66"/>
    </row>
    <row r="850" spans="1:10">
      <c r="A850" s="66"/>
      <c r="B850" s="66"/>
      <c r="E850" s="66"/>
      <c r="F850" s="66"/>
      <c r="G850" s="66"/>
      <c r="H850" s="66"/>
      <c r="I850" s="66"/>
      <c r="J850" s="66"/>
    </row>
    <row r="851" spans="1:10">
      <c r="A851" s="66"/>
      <c r="B851" s="66"/>
      <c r="E851" s="66"/>
      <c r="F851" s="66"/>
      <c r="G851" s="66"/>
      <c r="H851" s="66"/>
      <c r="I851" s="66"/>
      <c r="J851" s="66"/>
    </row>
    <row r="852" spans="1:10">
      <c r="A852" s="66"/>
      <c r="B852" s="66"/>
      <c r="E852" s="66"/>
      <c r="F852" s="66"/>
      <c r="G852" s="66"/>
      <c r="H852" s="66"/>
      <c r="I852" s="66"/>
      <c r="J852" s="66"/>
    </row>
    <row r="853" spans="1:10">
      <c r="A853" s="66"/>
      <c r="B853" s="66"/>
      <c r="E853" s="66"/>
      <c r="F853" s="66"/>
      <c r="G853" s="66"/>
      <c r="H853" s="66"/>
      <c r="I853" s="66"/>
      <c r="J853" s="66"/>
    </row>
    <row r="854" spans="1:10">
      <c r="A854" s="66"/>
      <c r="B854" s="66"/>
      <c r="E854" s="66"/>
      <c r="F854" s="66"/>
      <c r="G854" s="66"/>
      <c r="H854" s="66"/>
      <c r="I854" s="66"/>
      <c r="J854" s="66"/>
    </row>
    <row r="855" spans="1:10">
      <c r="A855" s="66"/>
      <c r="B855" s="66"/>
      <c r="E855" s="66"/>
      <c r="F855" s="66"/>
      <c r="G855" s="66"/>
      <c r="H855" s="66"/>
      <c r="I855" s="66"/>
      <c r="J855" s="66"/>
    </row>
    <row r="856" spans="1:10">
      <c r="A856" s="66"/>
      <c r="B856" s="66"/>
      <c r="E856" s="66"/>
      <c r="F856" s="66"/>
      <c r="G856" s="66"/>
      <c r="H856" s="66"/>
      <c r="I856" s="66"/>
      <c r="J856" s="66"/>
    </row>
    <row r="857" spans="1:10">
      <c r="A857" s="66"/>
      <c r="B857" s="66"/>
      <c r="E857" s="66"/>
      <c r="F857" s="66"/>
      <c r="G857" s="66"/>
      <c r="H857" s="66"/>
      <c r="I857" s="66"/>
      <c r="J857" s="66"/>
    </row>
    <row r="858" spans="1:10">
      <c r="A858" s="66"/>
      <c r="B858" s="66"/>
      <c r="E858" s="66"/>
      <c r="F858" s="66"/>
      <c r="G858" s="66"/>
      <c r="H858" s="66"/>
      <c r="I858" s="66"/>
      <c r="J858" s="66"/>
    </row>
    <row r="859" spans="1:10">
      <c r="A859" s="66"/>
      <c r="B859" s="66"/>
      <c r="E859" s="66"/>
      <c r="F859" s="66"/>
      <c r="G859" s="66"/>
      <c r="H859" s="66"/>
      <c r="I859" s="66"/>
      <c r="J859" s="66"/>
    </row>
    <row r="860" spans="1:10">
      <c r="A860" s="66"/>
      <c r="B860" s="66"/>
      <c r="E860" s="66"/>
      <c r="F860" s="66"/>
      <c r="G860" s="66"/>
      <c r="H860" s="66"/>
      <c r="I860" s="66"/>
      <c r="J860" s="66"/>
    </row>
    <row r="861" spans="1:10">
      <c r="A861" s="66"/>
      <c r="B861" s="66"/>
      <c r="E861" s="66"/>
      <c r="F861" s="66"/>
      <c r="G861" s="66"/>
      <c r="H861" s="66"/>
      <c r="I861" s="66"/>
      <c r="J861" s="66"/>
    </row>
    <row r="862" spans="1:10">
      <c r="A862" s="66"/>
      <c r="B862" s="66"/>
      <c r="E862" s="66"/>
      <c r="F862" s="66"/>
      <c r="G862" s="66"/>
      <c r="H862" s="66"/>
      <c r="I862" s="66"/>
      <c r="J862" s="66"/>
    </row>
    <row r="863" spans="1:10">
      <c r="A863" s="66"/>
      <c r="B863" s="66"/>
      <c r="E863" s="66"/>
      <c r="F863" s="66"/>
      <c r="G863" s="66"/>
      <c r="H863" s="66"/>
      <c r="I863" s="66"/>
      <c r="J863" s="66"/>
    </row>
    <row r="864" spans="1:10">
      <c r="A864" s="66"/>
      <c r="B864" s="66"/>
      <c r="E864" s="66"/>
      <c r="F864" s="66"/>
      <c r="G864" s="66"/>
      <c r="H864" s="66"/>
      <c r="I864" s="66"/>
      <c r="J864" s="66"/>
    </row>
    <row r="865" spans="1:10">
      <c r="A865" s="66"/>
      <c r="B865" s="66"/>
      <c r="E865" s="66"/>
      <c r="F865" s="66"/>
      <c r="G865" s="66"/>
      <c r="H865" s="66"/>
      <c r="I865" s="66"/>
      <c r="J865" s="66"/>
    </row>
    <row r="866" spans="1:10">
      <c r="A866" s="66"/>
      <c r="B866" s="66"/>
      <c r="E866" s="66"/>
      <c r="F866" s="66"/>
      <c r="G866" s="66"/>
      <c r="H866" s="66"/>
      <c r="I866" s="66"/>
      <c r="J866" s="66"/>
    </row>
    <row r="867" spans="1:10">
      <c r="A867" s="66"/>
      <c r="B867" s="66"/>
      <c r="E867" s="66"/>
      <c r="F867" s="66"/>
      <c r="G867" s="66"/>
      <c r="H867" s="66"/>
      <c r="I867" s="66"/>
      <c r="J867" s="66"/>
    </row>
    <row r="868" spans="1:10">
      <c r="A868" s="66"/>
      <c r="B868" s="66"/>
      <c r="E868" s="66"/>
      <c r="F868" s="66"/>
      <c r="G868" s="66"/>
      <c r="H868" s="66"/>
      <c r="I868" s="66"/>
      <c r="J868" s="66"/>
    </row>
    <row r="869" spans="1:10">
      <c r="A869" s="66"/>
      <c r="B869" s="66"/>
      <c r="E869" s="66"/>
      <c r="F869" s="66"/>
      <c r="G869" s="66"/>
      <c r="H869" s="66"/>
      <c r="I869" s="66"/>
      <c r="J869" s="66"/>
    </row>
    <row r="870" spans="1:10">
      <c r="A870" s="66"/>
      <c r="B870" s="66"/>
      <c r="E870" s="66"/>
      <c r="F870" s="66"/>
      <c r="G870" s="66"/>
      <c r="H870" s="66"/>
      <c r="I870" s="66"/>
      <c r="J870" s="66"/>
    </row>
    <row r="871" spans="1:10">
      <c r="A871" s="66"/>
      <c r="B871" s="66"/>
      <c r="E871" s="66"/>
      <c r="F871" s="66"/>
      <c r="G871" s="66"/>
      <c r="H871" s="66"/>
      <c r="I871" s="66"/>
      <c r="J871" s="66"/>
    </row>
    <row r="872" spans="1:10">
      <c r="A872" s="66"/>
      <c r="B872" s="66"/>
      <c r="E872" s="66"/>
      <c r="F872" s="66"/>
      <c r="G872" s="66"/>
      <c r="H872" s="66"/>
      <c r="I872" s="66"/>
      <c r="J872" s="66"/>
    </row>
    <row r="873" spans="1:10">
      <c r="A873" s="66"/>
      <c r="B873" s="66"/>
      <c r="E873" s="66"/>
      <c r="F873" s="66"/>
      <c r="G873" s="66"/>
      <c r="H873" s="66"/>
      <c r="I873" s="66"/>
      <c r="J873" s="66"/>
    </row>
    <row r="874" spans="1:10">
      <c r="A874" s="66"/>
      <c r="B874" s="66"/>
      <c r="E874" s="66"/>
      <c r="F874" s="66"/>
      <c r="G874" s="66"/>
      <c r="H874" s="66"/>
      <c r="I874" s="66"/>
      <c r="J874" s="66"/>
    </row>
    <row r="875" spans="1:10">
      <c r="A875" s="66"/>
      <c r="B875" s="66"/>
      <c r="E875" s="66"/>
      <c r="F875" s="66"/>
      <c r="G875" s="66"/>
      <c r="H875" s="66"/>
      <c r="I875" s="66"/>
      <c r="J875" s="66"/>
    </row>
    <row r="876" spans="1:10">
      <c r="A876" s="66"/>
      <c r="B876" s="66"/>
      <c r="E876" s="66"/>
      <c r="F876" s="66"/>
      <c r="G876" s="66"/>
      <c r="H876" s="66"/>
      <c r="I876" s="66"/>
      <c r="J876" s="66"/>
    </row>
    <row r="877" spans="1:10">
      <c r="A877" s="66"/>
      <c r="B877" s="66"/>
      <c r="E877" s="66"/>
      <c r="F877" s="66"/>
      <c r="G877" s="66"/>
      <c r="H877" s="66"/>
      <c r="I877" s="66"/>
      <c r="J877" s="66"/>
    </row>
    <row r="878" spans="1:10">
      <c r="A878" s="66"/>
      <c r="B878" s="66"/>
      <c r="E878" s="66"/>
      <c r="F878" s="66"/>
      <c r="G878" s="66"/>
      <c r="H878" s="66"/>
      <c r="I878" s="66"/>
      <c r="J878" s="66"/>
    </row>
    <row r="879" spans="1:10">
      <c r="A879" s="66"/>
      <c r="B879" s="66"/>
      <c r="E879" s="66"/>
      <c r="F879" s="66"/>
      <c r="G879" s="66"/>
      <c r="H879" s="66"/>
      <c r="I879" s="66"/>
      <c r="J879" s="66"/>
    </row>
    <row r="880" spans="1:10">
      <c r="A880" s="66"/>
      <c r="B880" s="66"/>
      <c r="E880" s="66"/>
      <c r="F880" s="66"/>
      <c r="G880" s="66"/>
      <c r="H880" s="66"/>
      <c r="I880" s="66"/>
      <c r="J880" s="66"/>
    </row>
    <row r="881" spans="1:10">
      <c r="A881" s="66"/>
      <c r="B881" s="66"/>
      <c r="E881" s="66"/>
      <c r="F881" s="66"/>
      <c r="G881" s="66"/>
      <c r="H881" s="66"/>
      <c r="I881" s="66"/>
      <c r="J881" s="66"/>
    </row>
    <row r="882" spans="1:10">
      <c r="A882" s="66"/>
      <c r="B882" s="66"/>
      <c r="E882" s="66"/>
      <c r="F882" s="66"/>
      <c r="G882" s="66"/>
      <c r="H882" s="66"/>
      <c r="I882" s="66"/>
      <c r="J882" s="66"/>
    </row>
    <row r="883" spans="1:10">
      <c r="A883" s="66"/>
      <c r="B883" s="66"/>
      <c r="E883" s="66"/>
      <c r="F883" s="66"/>
      <c r="G883" s="66"/>
      <c r="H883" s="66"/>
      <c r="I883" s="66"/>
      <c r="J883" s="66"/>
    </row>
    <row r="884" spans="1:10">
      <c r="A884" s="66"/>
      <c r="B884" s="66"/>
      <c r="E884" s="66"/>
      <c r="F884" s="66"/>
      <c r="G884" s="66"/>
      <c r="H884" s="66"/>
      <c r="I884" s="66"/>
      <c r="J884" s="66"/>
    </row>
    <row r="885" spans="1:10">
      <c r="A885" s="66"/>
      <c r="B885" s="66"/>
      <c r="E885" s="66"/>
      <c r="F885" s="66"/>
      <c r="G885" s="66"/>
      <c r="H885" s="66"/>
      <c r="I885" s="66"/>
      <c r="J885" s="66"/>
    </row>
    <row r="886" spans="1:10">
      <c r="A886" s="66"/>
      <c r="B886" s="66"/>
      <c r="E886" s="66"/>
      <c r="F886" s="66"/>
      <c r="G886" s="66"/>
      <c r="H886" s="66"/>
      <c r="I886" s="66"/>
      <c r="J886" s="66"/>
    </row>
    <row r="887" spans="1:10">
      <c r="A887" s="66"/>
      <c r="B887" s="66"/>
      <c r="E887" s="66"/>
      <c r="F887" s="66"/>
      <c r="G887" s="66"/>
      <c r="H887" s="66"/>
      <c r="I887" s="66"/>
      <c r="J887" s="66"/>
    </row>
    <row r="888" spans="1:10">
      <c r="A888" s="66"/>
      <c r="B888" s="66"/>
      <c r="E888" s="66"/>
      <c r="F888" s="66"/>
      <c r="G888" s="66"/>
      <c r="H888" s="66"/>
      <c r="I888" s="66"/>
      <c r="J888" s="66"/>
    </row>
    <row r="889" spans="1:10">
      <c r="A889" s="66"/>
      <c r="B889" s="66"/>
      <c r="E889" s="66"/>
      <c r="F889" s="66"/>
      <c r="G889" s="66"/>
      <c r="H889" s="66"/>
      <c r="I889" s="66"/>
      <c r="J889" s="66"/>
    </row>
    <row r="890" spans="1:10">
      <c r="A890" s="66"/>
      <c r="B890" s="66"/>
      <c r="E890" s="66"/>
      <c r="F890" s="66"/>
      <c r="G890" s="66"/>
      <c r="H890" s="66"/>
      <c r="I890" s="66"/>
      <c r="J890" s="66"/>
    </row>
    <row r="891" spans="1:10">
      <c r="A891" s="66"/>
      <c r="B891" s="66"/>
      <c r="E891" s="66"/>
      <c r="F891" s="66"/>
      <c r="G891" s="66"/>
      <c r="H891" s="66"/>
      <c r="I891" s="66"/>
      <c r="J891" s="66"/>
    </row>
    <row r="892" spans="1:10">
      <c r="A892" s="66"/>
      <c r="B892" s="66"/>
      <c r="E892" s="66"/>
      <c r="F892" s="66"/>
      <c r="G892" s="66"/>
      <c r="H892" s="66"/>
      <c r="I892" s="66"/>
      <c r="J892" s="66"/>
    </row>
    <row r="893" spans="1:10">
      <c r="A893" s="66"/>
      <c r="B893" s="66"/>
      <c r="E893" s="66"/>
      <c r="F893" s="66"/>
      <c r="G893" s="66"/>
      <c r="H893" s="66"/>
      <c r="I893" s="66"/>
      <c r="J893" s="66"/>
    </row>
    <row r="894" spans="1:10">
      <c r="A894" s="66"/>
      <c r="B894" s="66"/>
      <c r="E894" s="66"/>
      <c r="F894" s="66"/>
      <c r="G894" s="66"/>
      <c r="H894" s="66"/>
      <c r="I894" s="66"/>
      <c r="J894" s="66"/>
    </row>
    <row r="895" spans="1:10">
      <c r="A895" s="66"/>
      <c r="B895" s="66"/>
      <c r="E895" s="66"/>
      <c r="F895" s="66"/>
      <c r="G895" s="66"/>
      <c r="H895" s="66"/>
      <c r="I895" s="66"/>
      <c r="J895" s="66"/>
    </row>
    <row r="896" spans="1:10">
      <c r="A896" s="66"/>
      <c r="B896" s="66"/>
      <c r="E896" s="66"/>
      <c r="F896" s="66"/>
      <c r="G896" s="66"/>
      <c r="H896" s="66"/>
      <c r="I896" s="66"/>
      <c r="J896" s="66"/>
    </row>
    <row r="897" spans="1:10">
      <c r="A897" s="66"/>
      <c r="B897" s="66"/>
      <c r="E897" s="66"/>
      <c r="F897" s="66"/>
      <c r="G897" s="66"/>
      <c r="H897" s="66"/>
      <c r="I897" s="66"/>
      <c r="J897" s="66"/>
    </row>
    <row r="898" spans="1:10">
      <c r="A898" s="66"/>
      <c r="B898" s="66"/>
      <c r="E898" s="66"/>
      <c r="F898" s="66"/>
      <c r="G898" s="66"/>
      <c r="H898" s="66"/>
      <c r="I898" s="66"/>
      <c r="J898" s="66"/>
    </row>
    <row r="899" spans="1:10">
      <c r="A899" s="66"/>
      <c r="B899" s="66"/>
      <c r="E899" s="66"/>
      <c r="F899" s="66"/>
      <c r="G899" s="66"/>
      <c r="H899" s="66"/>
      <c r="I899" s="66"/>
      <c r="J899" s="66"/>
    </row>
    <row r="900" spans="1:10">
      <c r="A900" s="66"/>
      <c r="B900" s="66"/>
      <c r="E900" s="66"/>
      <c r="F900" s="66"/>
      <c r="G900" s="66"/>
      <c r="H900" s="66"/>
      <c r="I900" s="66"/>
      <c r="J900" s="66"/>
    </row>
    <row r="901" spans="1:10">
      <c r="A901" s="66"/>
      <c r="B901" s="66"/>
      <c r="E901" s="66"/>
      <c r="F901" s="66"/>
      <c r="G901" s="66"/>
      <c r="H901" s="66"/>
      <c r="I901" s="66"/>
      <c r="J901" s="66"/>
    </row>
    <row r="902" spans="1:10">
      <c r="A902" s="66"/>
      <c r="B902" s="66"/>
      <c r="E902" s="66"/>
      <c r="F902" s="66"/>
      <c r="G902" s="66"/>
      <c r="H902" s="66"/>
      <c r="I902" s="66"/>
      <c r="J902" s="66"/>
    </row>
    <row r="903" spans="1:10">
      <c r="A903" s="66"/>
      <c r="B903" s="66"/>
      <c r="E903" s="66"/>
      <c r="F903" s="66"/>
      <c r="G903" s="66"/>
      <c r="H903" s="66"/>
      <c r="I903" s="66"/>
      <c r="J903" s="66"/>
    </row>
    <row r="904" spans="1:10">
      <c r="A904" s="66"/>
      <c r="B904" s="66"/>
      <c r="E904" s="66"/>
      <c r="F904" s="66"/>
      <c r="G904" s="66"/>
      <c r="H904" s="66"/>
      <c r="I904" s="66"/>
      <c r="J904" s="66"/>
    </row>
    <row r="905" spans="1:10">
      <c r="A905" s="66"/>
      <c r="B905" s="66"/>
      <c r="E905" s="66"/>
      <c r="F905" s="66"/>
      <c r="G905" s="66"/>
      <c r="H905" s="66"/>
      <c r="I905" s="66"/>
      <c r="J905" s="66"/>
    </row>
    <row r="906" spans="1:10">
      <c r="A906" s="66"/>
      <c r="B906" s="66"/>
      <c r="E906" s="66"/>
      <c r="F906" s="66"/>
      <c r="G906" s="66"/>
      <c r="H906" s="66"/>
      <c r="I906" s="66"/>
      <c r="J906" s="66"/>
    </row>
    <row r="907" spans="1:10">
      <c r="A907" s="66"/>
      <c r="B907" s="66"/>
      <c r="E907" s="66"/>
      <c r="F907" s="66"/>
      <c r="G907" s="66"/>
      <c r="H907" s="66"/>
      <c r="I907" s="66"/>
      <c r="J907" s="66"/>
    </row>
    <row r="908" spans="1:10">
      <c r="A908" s="66"/>
      <c r="B908" s="66"/>
      <c r="E908" s="66"/>
      <c r="F908" s="66"/>
      <c r="G908" s="66"/>
      <c r="H908" s="66"/>
      <c r="I908" s="66"/>
      <c r="J908" s="66"/>
    </row>
    <row r="909" spans="1:10">
      <c r="A909" s="66"/>
      <c r="B909" s="66"/>
      <c r="E909" s="66"/>
      <c r="F909" s="66"/>
      <c r="G909" s="66"/>
      <c r="H909" s="66"/>
      <c r="I909" s="66"/>
      <c r="J909" s="66"/>
    </row>
    <row r="910" spans="1:10">
      <c r="A910" s="66"/>
      <c r="B910" s="66"/>
      <c r="E910" s="66"/>
      <c r="F910" s="66"/>
      <c r="G910" s="66"/>
      <c r="H910" s="66"/>
      <c r="I910" s="66"/>
      <c r="J910" s="66"/>
    </row>
    <row r="911" spans="1:10">
      <c r="A911" s="66"/>
      <c r="B911" s="66"/>
      <c r="E911" s="66"/>
      <c r="F911" s="66"/>
      <c r="G911" s="66"/>
      <c r="H911" s="66"/>
      <c r="I911" s="66"/>
      <c r="J911" s="66"/>
    </row>
    <row r="912" spans="1:10">
      <c r="A912" s="66"/>
      <c r="B912" s="66"/>
      <c r="E912" s="66"/>
      <c r="F912" s="66"/>
      <c r="G912" s="66"/>
      <c r="H912" s="66"/>
      <c r="I912" s="66"/>
      <c r="J912" s="66"/>
    </row>
    <row r="913" spans="1:10">
      <c r="A913" s="66"/>
      <c r="B913" s="66"/>
      <c r="E913" s="66"/>
      <c r="F913" s="66"/>
      <c r="G913" s="66"/>
      <c r="H913" s="66"/>
      <c r="I913" s="66"/>
      <c r="J913" s="66"/>
    </row>
    <row r="914" spans="1:10">
      <c r="A914" s="66"/>
      <c r="B914" s="66"/>
      <c r="E914" s="66"/>
      <c r="F914" s="66"/>
      <c r="G914" s="66"/>
      <c r="H914" s="66"/>
      <c r="I914" s="66"/>
      <c r="J914" s="66"/>
    </row>
    <row r="915" spans="1:10">
      <c r="A915" s="66"/>
      <c r="B915" s="66"/>
      <c r="E915" s="66"/>
      <c r="F915" s="66"/>
      <c r="G915" s="66"/>
      <c r="H915" s="66"/>
      <c r="I915" s="66"/>
      <c r="J915" s="66"/>
    </row>
    <row r="916" spans="1:10">
      <c r="A916" s="66"/>
      <c r="B916" s="66"/>
      <c r="E916" s="66"/>
      <c r="F916" s="66"/>
      <c r="G916" s="66"/>
      <c r="H916" s="66"/>
      <c r="I916" s="66"/>
      <c r="J916" s="66"/>
    </row>
    <row r="917" spans="1:10">
      <c r="A917" s="66"/>
      <c r="B917" s="66"/>
      <c r="E917" s="66"/>
      <c r="F917" s="66"/>
      <c r="G917" s="66"/>
      <c r="H917" s="66"/>
      <c r="I917" s="66"/>
      <c r="J917" s="66"/>
    </row>
    <row r="918" spans="1:10">
      <c r="A918" s="66"/>
      <c r="B918" s="66"/>
      <c r="E918" s="66"/>
      <c r="F918" s="66"/>
      <c r="G918" s="66"/>
      <c r="H918" s="66"/>
      <c r="I918" s="66"/>
      <c r="J918" s="66"/>
    </row>
    <row r="919" spans="1:10">
      <c r="A919" s="66"/>
      <c r="B919" s="66"/>
      <c r="E919" s="66"/>
      <c r="F919" s="66"/>
      <c r="G919" s="66"/>
      <c r="H919" s="66"/>
      <c r="I919" s="66"/>
      <c r="J919" s="66"/>
    </row>
    <row r="920" spans="1:10">
      <c r="A920" s="66"/>
      <c r="B920" s="66"/>
      <c r="E920" s="66"/>
      <c r="F920" s="66"/>
      <c r="G920" s="66"/>
      <c r="H920" s="66"/>
      <c r="I920" s="66"/>
      <c r="J920" s="66"/>
    </row>
    <row r="921" spans="1:10">
      <c r="A921" s="66"/>
      <c r="B921" s="66"/>
      <c r="E921" s="66"/>
      <c r="F921" s="66"/>
      <c r="G921" s="66"/>
      <c r="H921" s="66"/>
      <c r="I921" s="66"/>
      <c r="J921" s="66"/>
    </row>
    <row r="922" spans="1:10">
      <c r="A922" s="66"/>
      <c r="B922" s="66"/>
      <c r="E922" s="66"/>
      <c r="F922" s="66"/>
      <c r="G922" s="66"/>
      <c r="H922" s="66"/>
      <c r="I922" s="66"/>
      <c r="J922" s="66"/>
    </row>
    <row r="923" spans="1:10">
      <c r="A923" s="66"/>
      <c r="B923" s="66"/>
      <c r="E923" s="66"/>
      <c r="F923" s="66"/>
      <c r="G923" s="66"/>
      <c r="H923" s="66"/>
      <c r="I923" s="66"/>
      <c r="J923" s="66"/>
    </row>
    <row r="924" spans="1:10">
      <c r="A924" s="66"/>
      <c r="B924" s="66"/>
      <c r="E924" s="66"/>
      <c r="F924" s="66"/>
      <c r="G924" s="66"/>
      <c r="H924" s="66"/>
      <c r="I924" s="66"/>
      <c r="J924" s="66"/>
    </row>
    <row r="925" spans="1:10">
      <c r="A925" s="66"/>
      <c r="B925" s="66"/>
      <c r="E925" s="66"/>
      <c r="F925" s="66"/>
      <c r="G925" s="66"/>
      <c r="H925" s="66"/>
      <c r="I925" s="66"/>
      <c r="J925" s="66"/>
    </row>
    <row r="926" spans="1:10">
      <c r="A926" s="66"/>
      <c r="B926" s="66"/>
      <c r="E926" s="66"/>
      <c r="F926" s="66"/>
      <c r="G926" s="66"/>
      <c r="H926" s="66"/>
      <c r="I926" s="66"/>
      <c r="J926" s="66"/>
    </row>
    <row r="927" spans="1:10">
      <c r="A927" s="66"/>
      <c r="B927" s="66"/>
      <c r="E927" s="66"/>
      <c r="F927" s="66"/>
      <c r="G927" s="66"/>
      <c r="H927" s="66"/>
      <c r="I927" s="66"/>
      <c r="J927" s="66"/>
    </row>
    <row r="928" spans="1:10">
      <c r="A928" s="66"/>
      <c r="B928" s="66"/>
      <c r="E928" s="66"/>
      <c r="F928" s="66"/>
      <c r="G928" s="66"/>
      <c r="H928" s="66"/>
      <c r="I928" s="66"/>
      <c r="J928" s="66"/>
    </row>
    <row r="929" spans="1:10">
      <c r="A929" s="66"/>
      <c r="B929" s="66"/>
      <c r="E929" s="66"/>
      <c r="F929" s="66"/>
      <c r="G929" s="66"/>
      <c r="H929" s="66"/>
      <c r="I929" s="66"/>
      <c r="J929" s="66"/>
    </row>
    <row r="930" spans="1:10">
      <c r="A930" s="66"/>
      <c r="B930" s="66"/>
      <c r="E930" s="66"/>
      <c r="F930" s="66"/>
      <c r="G930" s="66"/>
      <c r="H930" s="66"/>
      <c r="I930" s="66"/>
      <c r="J930" s="66"/>
    </row>
    <row r="931" spans="1:10">
      <c r="A931" s="66"/>
      <c r="B931" s="66"/>
      <c r="E931" s="66"/>
      <c r="F931" s="66"/>
      <c r="G931" s="66"/>
      <c r="H931" s="66"/>
      <c r="I931" s="66"/>
      <c r="J931" s="66"/>
    </row>
    <row r="932" spans="1:10">
      <c r="A932" s="66"/>
      <c r="B932" s="66"/>
      <c r="E932" s="66"/>
      <c r="F932" s="66"/>
      <c r="G932" s="66"/>
      <c r="H932" s="66"/>
      <c r="I932" s="66"/>
      <c r="J932" s="66"/>
    </row>
    <row r="933" spans="1:10">
      <c r="A933" s="66"/>
      <c r="B933" s="66"/>
      <c r="E933" s="66"/>
      <c r="F933" s="66"/>
      <c r="G933" s="66"/>
      <c r="H933" s="66"/>
      <c r="I933" s="66"/>
      <c r="J933" s="66"/>
    </row>
    <row r="934" spans="1:10">
      <c r="A934" s="66"/>
      <c r="B934" s="66"/>
      <c r="E934" s="66"/>
      <c r="F934" s="66"/>
      <c r="G934" s="66"/>
      <c r="H934" s="66"/>
      <c r="I934" s="66"/>
      <c r="J934" s="66"/>
    </row>
    <row r="935" spans="1:10">
      <c r="A935" s="66"/>
      <c r="B935" s="66"/>
      <c r="E935" s="66"/>
      <c r="F935" s="66"/>
      <c r="G935" s="66"/>
      <c r="H935" s="66"/>
      <c r="I935" s="66"/>
      <c r="J935" s="66"/>
    </row>
    <row r="936" spans="1:10">
      <c r="A936" s="66"/>
      <c r="B936" s="66"/>
      <c r="E936" s="66"/>
      <c r="F936" s="66"/>
      <c r="G936" s="66"/>
      <c r="H936" s="66"/>
      <c r="I936" s="66"/>
      <c r="J936" s="66"/>
    </row>
    <row r="937" spans="1:10">
      <c r="A937" s="66"/>
      <c r="B937" s="66"/>
      <c r="E937" s="66"/>
      <c r="F937" s="66"/>
      <c r="G937" s="66"/>
      <c r="H937" s="66"/>
      <c r="I937" s="66"/>
      <c r="J937" s="66"/>
    </row>
    <row r="938" spans="1:10">
      <c r="A938" s="66"/>
      <c r="B938" s="66"/>
      <c r="E938" s="66"/>
      <c r="F938" s="66"/>
      <c r="G938" s="66"/>
      <c r="H938" s="66"/>
      <c r="I938" s="66"/>
      <c r="J938" s="66"/>
    </row>
    <row r="939" spans="1:10">
      <c r="A939" s="66"/>
      <c r="B939" s="66"/>
      <c r="E939" s="66"/>
      <c r="F939" s="66"/>
      <c r="G939" s="66"/>
      <c r="H939" s="66"/>
      <c r="I939" s="66"/>
      <c r="J939" s="66"/>
    </row>
    <row r="940" spans="1:10">
      <c r="A940" s="66"/>
      <c r="B940" s="66"/>
      <c r="E940" s="66"/>
      <c r="F940" s="66"/>
      <c r="G940" s="66"/>
      <c r="H940" s="66"/>
      <c r="I940" s="66"/>
      <c r="J940" s="66"/>
    </row>
    <row r="941" spans="1:10">
      <c r="A941" s="66"/>
      <c r="B941" s="66"/>
      <c r="E941" s="66"/>
      <c r="F941" s="66"/>
      <c r="G941" s="66"/>
      <c r="H941" s="66"/>
      <c r="I941" s="66"/>
      <c r="J941" s="66"/>
    </row>
    <row r="942" spans="1:10">
      <c r="A942" s="66"/>
      <c r="B942" s="66"/>
      <c r="E942" s="66"/>
      <c r="F942" s="66"/>
      <c r="G942" s="66"/>
      <c r="H942" s="66"/>
      <c r="I942" s="66"/>
      <c r="J942" s="66"/>
    </row>
    <row r="943" spans="1:10">
      <c r="A943" s="66"/>
      <c r="B943" s="66"/>
      <c r="E943" s="66"/>
      <c r="F943" s="66"/>
      <c r="G943" s="66"/>
      <c r="H943" s="66"/>
      <c r="I943" s="66"/>
      <c r="J943" s="66"/>
    </row>
    <row r="944" spans="1:10">
      <c r="A944" s="66"/>
      <c r="B944" s="66"/>
      <c r="E944" s="66"/>
      <c r="F944" s="66"/>
      <c r="G944" s="66"/>
      <c r="H944" s="66"/>
      <c r="I944" s="66"/>
      <c r="J944" s="66"/>
    </row>
    <row r="945" spans="1:10">
      <c r="A945" s="66"/>
      <c r="B945" s="66"/>
      <c r="E945" s="66"/>
      <c r="F945" s="66"/>
      <c r="G945" s="66"/>
      <c r="H945" s="66"/>
      <c r="I945" s="66"/>
      <c r="J945" s="66"/>
    </row>
    <row r="946" spans="1:10">
      <c r="A946" s="66"/>
      <c r="B946" s="66"/>
      <c r="E946" s="66"/>
      <c r="F946" s="66"/>
      <c r="G946" s="66"/>
      <c r="H946" s="66"/>
      <c r="I946" s="66"/>
      <c r="J946" s="66"/>
    </row>
    <row r="947" spans="1:10">
      <c r="A947" s="66"/>
      <c r="B947" s="66"/>
      <c r="E947" s="66"/>
      <c r="F947" s="66"/>
      <c r="G947" s="66"/>
      <c r="H947" s="66"/>
      <c r="I947" s="66"/>
      <c r="J947" s="66"/>
    </row>
    <row r="948" spans="1:10">
      <c r="A948" s="66"/>
      <c r="B948" s="66"/>
      <c r="E948" s="66"/>
      <c r="F948" s="66"/>
      <c r="G948" s="66"/>
      <c r="H948" s="66"/>
      <c r="I948" s="66"/>
      <c r="J948" s="66"/>
    </row>
    <row r="949" spans="1:10">
      <c r="A949" s="66"/>
      <c r="B949" s="66"/>
      <c r="E949" s="66"/>
      <c r="F949" s="66"/>
      <c r="G949" s="66"/>
      <c r="H949" s="66"/>
      <c r="I949" s="66"/>
      <c r="J949" s="66"/>
    </row>
    <row r="950" spans="1:10">
      <c r="A950" s="66"/>
      <c r="B950" s="66"/>
      <c r="E950" s="66"/>
      <c r="F950" s="66"/>
      <c r="G950" s="66"/>
      <c r="H950" s="66"/>
      <c r="I950" s="66"/>
      <c r="J950" s="66"/>
    </row>
    <row r="951" spans="1:10">
      <c r="A951" s="66"/>
      <c r="B951" s="66"/>
      <c r="E951" s="66"/>
      <c r="F951" s="66"/>
      <c r="G951" s="66"/>
      <c r="H951" s="66"/>
      <c r="I951" s="66"/>
      <c r="J951" s="66"/>
    </row>
    <row r="952" spans="1:10">
      <c r="A952" s="66"/>
      <c r="B952" s="66"/>
      <c r="E952" s="66"/>
      <c r="F952" s="66"/>
      <c r="G952" s="66"/>
      <c r="H952" s="66"/>
      <c r="I952" s="66"/>
      <c r="J952" s="66"/>
    </row>
    <row r="953" spans="1:10">
      <c r="A953" s="66"/>
      <c r="B953" s="66"/>
      <c r="E953" s="66"/>
      <c r="F953" s="66"/>
      <c r="G953" s="66"/>
      <c r="H953" s="66"/>
      <c r="I953" s="66"/>
      <c r="J953" s="66"/>
    </row>
    <row r="954" spans="1:10">
      <c r="A954" s="66"/>
      <c r="B954" s="66"/>
      <c r="E954" s="66"/>
      <c r="F954" s="66"/>
      <c r="G954" s="66"/>
      <c r="H954" s="66"/>
      <c r="I954" s="66"/>
      <c r="J954" s="66"/>
    </row>
    <row r="955" spans="1:10">
      <c r="A955" s="66"/>
      <c r="B955" s="66"/>
      <c r="E955" s="66"/>
      <c r="F955" s="66"/>
      <c r="G955" s="66"/>
      <c r="H955" s="66"/>
      <c r="I955" s="66"/>
      <c r="J955" s="66"/>
    </row>
    <row r="956" spans="1:10">
      <c r="A956" s="66"/>
      <c r="B956" s="66"/>
      <c r="E956" s="66"/>
      <c r="F956" s="66"/>
      <c r="G956" s="66"/>
      <c r="H956" s="66"/>
      <c r="I956" s="66"/>
      <c r="J956" s="66"/>
    </row>
    <row r="957" spans="1:10">
      <c r="A957" s="66"/>
      <c r="B957" s="66"/>
      <c r="E957" s="66"/>
      <c r="F957" s="66"/>
      <c r="G957" s="66"/>
      <c r="H957" s="66"/>
      <c r="I957" s="66"/>
      <c r="J957" s="66"/>
    </row>
    <row r="958" spans="1:10">
      <c r="A958" s="66"/>
      <c r="B958" s="66"/>
      <c r="E958" s="66"/>
      <c r="F958" s="66"/>
      <c r="G958" s="66"/>
      <c r="H958" s="66"/>
      <c r="I958" s="66"/>
      <c r="J958" s="66"/>
    </row>
    <row r="959" spans="1:10">
      <c r="A959" s="66"/>
      <c r="B959" s="66"/>
      <c r="E959" s="66"/>
      <c r="F959" s="66"/>
      <c r="G959" s="66"/>
      <c r="H959" s="66"/>
      <c r="I959" s="66"/>
      <c r="J959" s="66"/>
    </row>
    <row r="960" spans="1:10">
      <c r="A960" s="66"/>
      <c r="B960" s="66"/>
      <c r="E960" s="66"/>
      <c r="F960" s="66"/>
      <c r="G960" s="66"/>
      <c r="H960" s="66"/>
      <c r="I960" s="66"/>
      <c r="J960" s="66"/>
    </row>
    <row r="961" spans="1:10">
      <c r="A961" s="66"/>
      <c r="B961" s="66"/>
      <c r="E961" s="66"/>
      <c r="F961" s="66"/>
      <c r="G961" s="66"/>
      <c r="H961" s="66"/>
      <c r="I961" s="66"/>
      <c r="J961" s="66"/>
    </row>
    <row r="962" spans="1:10">
      <c r="A962" s="66"/>
      <c r="B962" s="66"/>
      <c r="E962" s="66"/>
      <c r="F962" s="66"/>
      <c r="G962" s="66"/>
      <c r="H962" s="66"/>
      <c r="I962" s="66"/>
      <c r="J962" s="66"/>
    </row>
    <row r="963" spans="1:10">
      <c r="A963" s="66"/>
      <c r="B963" s="66"/>
      <c r="E963" s="66"/>
      <c r="F963" s="66"/>
      <c r="G963" s="66"/>
      <c r="H963" s="66"/>
      <c r="I963" s="66"/>
      <c r="J963" s="66"/>
    </row>
    <row r="964" spans="1:10">
      <c r="A964" s="66"/>
      <c r="B964" s="66"/>
      <c r="E964" s="66"/>
      <c r="F964" s="66"/>
      <c r="G964" s="66"/>
      <c r="H964" s="66"/>
      <c r="I964" s="66"/>
      <c r="J964" s="66"/>
    </row>
    <row r="965" spans="1:10">
      <c r="A965" s="66"/>
      <c r="B965" s="66"/>
      <c r="E965" s="66"/>
      <c r="F965" s="66"/>
      <c r="G965" s="66"/>
      <c r="H965" s="66"/>
      <c r="I965" s="66"/>
      <c r="J965" s="66"/>
    </row>
    <row r="966" spans="1:10">
      <c r="A966" s="66"/>
      <c r="B966" s="66"/>
      <c r="E966" s="66"/>
      <c r="F966" s="66"/>
      <c r="G966" s="66"/>
      <c r="H966" s="66"/>
      <c r="I966" s="66"/>
      <c r="J966" s="66"/>
    </row>
    <row r="967" spans="1:10">
      <c r="A967" s="66"/>
      <c r="B967" s="66"/>
      <c r="E967" s="66"/>
      <c r="F967" s="66"/>
      <c r="G967" s="66"/>
      <c r="H967" s="66"/>
      <c r="I967" s="66"/>
      <c r="J967" s="66"/>
    </row>
    <row r="968" spans="1:10">
      <c r="A968" s="66"/>
      <c r="B968" s="66"/>
      <c r="E968" s="66"/>
      <c r="F968" s="66"/>
      <c r="G968" s="66"/>
      <c r="H968" s="66"/>
      <c r="I968" s="66"/>
      <c r="J968" s="66"/>
    </row>
    <row r="969" spans="1:10">
      <c r="A969" s="66"/>
      <c r="B969" s="66"/>
      <c r="E969" s="66"/>
      <c r="F969" s="66"/>
      <c r="G969" s="66"/>
      <c r="H969" s="66"/>
      <c r="I969" s="66"/>
      <c r="J969" s="66"/>
    </row>
    <row r="970" spans="1:10">
      <c r="A970" s="66"/>
      <c r="B970" s="66"/>
      <c r="E970" s="66"/>
      <c r="F970" s="66"/>
      <c r="G970" s="66"/>
      <c r="H970" s="66"/>
      <c r="I970" s="66"/>
      <c r="J970" s="66"/>
    </row>
    <row r="971" spans="1:10">
      <c r="A971" s="66"/>
      <c r="B971" s="66"/>
      <c r="E971" s="66"/>
      <c r="F971" s="66"/>
      <c r="G971" s="66"/>
      <c r="H971" s="66"/>
      <c r="I971" s="66"/>
      <c r="J971" s="66"/>
    </row>
    <row r="972" spans="1:10">
      <c r="A972" s="66"/>
      <c r="B972" s="66"/>
      <c r="E972" s="66"/>
      <c r="F972" s="66"/>
      <c r="G972" s="66"/>
      <c r="H972" s="66"/>
      <c r="I972" s="66"/>
      <c r="J972" s="66"/>
    </row>
    <row r="973" spans="1:10">
      <c r="A973" s="66"/>
      <c r="B973" s="66"/>
      <c r="E973" s="66"/>
      <c r="F973" s="66"/>
      <c r="G973" s="66"/>
      <c r="H973" s="66"/>
      <c r="I973" s="66"/>
      <c r="J973" s="66"/>
    </row>
    <row r="974" spans="1:10">
      <c r="A974" s="66"/>
      <c r="B974" s="66"/>
      <c r="E974" s="66"/>
      <c r="F974" s="66"/>
      <c r="G974" s="66"/>
      <c r="H974" s="66"/>
      <c r="I974" s="66"/>
      <c r="J974" s="66"/>
    </row>
    <row r="975" spans="1:10">
      <c r="A975" s="66"/>
      <c r="B975" s="66"/>
      <c r="E975" s="66"/>
      <c r="F975" s="66"/>
      <c r="G975" s="66"/>
      <c r="H975" s="66"/>
      <c r="I975" s="66"/>
      <c r="J975" s="66"/>
    </row>
    <row r="976" spans="1:10">
      <c r="A976" s="66"/>
      <c r="B976" s="66"/>
      <c r="E976" s="66"/>
      <c r="F976" s="66"/>
      <c r="G976" s="66"/>
      <c r="H976" s="66"/>
      <c r="I976" s="66"/>
      <c r="J976" s="66"/>
    </row>
    <row r="977" spans="1:10">
      <c r="A977" s="66"/>
      <c r="B977" s="66"/>
      <c r="E977" s="66"/>
      <c r="F977" s="66"/>
      <c r="G977" s="66"/>
      <c r="H977" s="66"/>
      <c r="I977" s="66"/>
      <c r="J977" s="66"/>
    </row>
    <row r="978" spans="1:10">
      <c r="A978" s="66"/>
      <c r="B978" s="66"/>
      <c r="E978" s="66"/>
      <c r="F978" s="66"/>
      <c r="G978" s="66"/>
      <c r="H978" s="66"/>
      <c r="I978" s="66"/>
      <c r="J978" s="66"/>
    </row>
    <row r="979" spans="1:10">
      <c r="A979" s="66"/>
      <c r="B979" s="66"/>
      <c r="E979" s="66"/>
      <c r="F979" s="66"/>
      <c r="G979" s="66"/>
      <c r="H979" s="66"/>
      <c r="I979" s="66"/>
      <c r="J979" s="66"/>
    </row>
    <row r="980" spans="1:10">
      <c r="A980" s="66"/>
      <c r="B980" s="66"/>
      <c r="E980" s="66"/>
      <c r="F980" s="66"/>
      <c r="G980" s="66"/>
      <c r="H980" s="66"/>
      <c r="I980" s="66"/>
      <c r="J980" s="66"/>
    </row>
    <row r="981" spans="1:10">
      <c r="A981" s="66"/>
      <c r="B981" s="66"/>
      <c r="E981" s="66"/>
      <c r="F981" s="66"/>
      <c r="G981" s="66"/>
      <c r="H981" s="66"/>
      <c r="I981" s="66"/>
      <c r="J981" s="66"/>
    </row>
    <row r="982" spans="1:10">
      <c r="A982" s="66"/>
      <c r="B982" s="66"/>
      <c r="E982" s="66"/>
      <c r="F982" s="66"/>
      <c r="G982" s="66"/>
      <c r="H982" s="66"/>
      <c r="I982" s="66"/>
      <c r="J982" s="66"/>
    </row>
    <row r="983" spans="1:10">
      <c r="A983" s="66"/>
      <c r="B983" s="66"/>
      <c r="E983" s="66"/>
      <c r="F983" s="66"/>
      <c r="G983" s="66"/>
      <c r="H983" s="66"/>
      <c r="I983" s="66"/>
      <c r="J983" s="66"/>
    </row>
    <row r="984" spans="1:10">
      <c r="A984" s="66"/>
      <c r="B984" s="66"/>
      <c r="E984" s="66"/>
      <c r="F984" s="66"/>
      <c r="G984" s="66"/>
      <c r="H984" s="66"/>
      <c r="I984" s="66"/>
      <c r="J984" s="66"/>
    </row>
    <row r="985" spans="1:10">
      <c r="A985" s="66"/>
      <c r="B985" s="66"/>
      <c r="E985" s="66"/>
      <c r="F985" s="66"/>
      <c r="G985" s="66"/>
      <c r="H985" s="66"/>
      <c r="I985" s="66"/>
      <c r="J985" s="66"/>
    </row>
    <row r="986" spans="1:10">
      <c r="A986" s="66"/>
      <c r="B986" s="66"/>
      <c r="E986" s="66"/>
      <c r="F986" s="66"/>
      <c r="G986" s="66"/>
      <c r="H986" s="66"/>
      <c r="I986" s="66"/>
      <c r="J986" s="66"/>
    </row>
    <row r="987" spans="1:10">
      <c r="A987" s="66"/>
      <c r="B987" s="66"/>
      <c r="E987" s="66"/>
      <c r="F987" s="66"/>
      <c r="G987" s="66"/>
      <c r="H987" s="66"/>
      <c r="I987" s="66"/>
      <c r="J987" s="66"/>
    </row>
    <row r="988" spans="1:10">
      <c r="A988" s="66"/>
      <c r="B988" s="66"/>
      <c r="E988" s="66"/>
      <c r="F988" s="66"/>
      <c r="G988" s="66"/>
      <c r="H988" s="66"/>
      <c r="I988" s="66"/>
      <c r="J988" s="66"/>
    </row>
    <row r="989" spans="1:10">
      <c r="A989" s="66"/>
      <c r="B989" s="66"/>
      <c r="E989" s="66"/>
      <c r="F989" s="66"/>
      <c r="G989" s="66"/>
      <c r="H989" s="66"/>
      <c r="I989" s="66"/>
      <c r="J989" s="66"/>
    </row>
    <row r="990" spans="1:10">
      <c r="A990" s="66"/>
      <c r="B990" s="66"/>
      <c r="E990" s="66"/>
      <c r="F990" s="66"/>
      <c r="G990" s="66"/>
      <c r="H990" s="66"/>
      <c r="I990" s="66"/>
      <c r="J990" s="66"/>
    </row>
    <row r="991" spans="1:10">
      <c r="A991" s="66"/>
      <c r="B991" s="66"/>
      <c r="E991" s="66"/>
      <c r="F991" s="66"/>
      <c r="G991" s="66"/>
      <c r="H991" s="66"/>
      <c r="I991" s="66"/>
      <c r="J991" s="66"/>
    </row>
    <row r="992" spans="1:10">
      <c r="A992" s="66"/>
      <c r="B992" s="66"/>
      <c r="E992" s="66"/>
      <c r="F992" s="66"/>
      <c r="G992" s="66"/>
      <c r="H992" s="66"/>
      <c r="I992" s="66"/>
      <c r="J992" s="66"/>
    </row>
    <row r="993" spans="1:10">
      <c r="A993" s="66"/>
      <c r="B993" s="66"/>
      <c r="E993" s="66"/>
      <c r="F993" s="66"/>
      <c r="G993" s="66"/>
      <c r="H993" s="66"/>
      <c r="I993" s="66"/>
      <c r="J993" s="66"/>
    </row>
    <row r="994" spans="1:10">
      <c r="A994" s="66"/>
      <c r="B994" s="66"/>
      <c r="E994" s="66"/>
      <c r="F994" s="66"/>
      <c r="G994" s="66"/>
      <c r="H994" s="66"/>
      <c r="I994" s="66"/>
      <c r="J994" s="66"/>
    </row>
    <row r="995" spans="1:10">
      <c r="A995" s="66"/>
      <c r="B995" s="66"/>
      <c r="E995" s="66"/>
      <c r="F995" s="66"/>
      <c r="G995" s="66"/>
      <c r="H995" s="66"/>
      <c r="I995" s="66"/>
      <c r="J995" s="66"/>
    </row>
    <row r="996" spans="1:10">
      <c r="A996" s="66"/>
      <c r="B996" s="66"/>
      <c r="E996" s="66"/>
      <c r="F996" s="66"/>
      <c r="G996" s="66"/>
      <c r="H996" s="66"/>
      <c r="I996" s="66"/>
      <c r="J996" s="66"/>
    </row>
    <row r="997" spans="1:10">
      <c r="A997" s="66"/>
      <c r="B997" s="66"/>
      <c r="E997" s="66"/>
      <c r="F997" s="66"/>
      <c r="G997" s="66"/>
      <c r="H997" s="66"/>
      <c r="I997" s="66"/>
      <c r="J997" s="66"/>
    </row>
    <row r="998" spans="1:10">
      <c r="A998" s="66"/>
      <c r="B998" s="66"/>
      <c r="E998" s="66"/>
      <c r="F998" s="66"/>
      <c r="G998" s="66"/>
      <c r="H998" s="66"/>
      <c r="I998" s="66"/>
      <c r="J998" s="66"/>
    </row>
    <row r="999" spans="1:10">
      <c r="A999" s="66"/>
      <c r="B999" s="66"/>
      <c r="E999" s="66"/>
      <c r="F999" s="66"/>
      <c r="G999" s="66"/>
      <c r="H999" s="66"/>
      <c r="I999" s="66"/>
      <c r="J999" s="66"/>
    </row>
    <row r="1000" spans="1:10">
      <c r="A1000" s="66"/>
      <c r="B1000" s="66"/>
      <c r="E1000" s="66"/>
      <c r="F1000" s="66"/>
      <c r="G1000" s="66"/>
      <c r="H1000" s="66"/>
      <c r="I1000" s="66"/>
      <c r="J1000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14</vt:i4>
      </vt:variant>
    </vt:vector>
  </HeadingPairs>
  <TitlesOfParts>
    <vt:vector size="24" baseType="lpstr">
      <vt:lpstr>BAU Data</vt:lpstr>
      <vt:lpstr>Mit w RECs Data Scenario 1</vt:lpstr>
      <vt:lpstr>Mitigation Data Scenario 1</vt:lpstr>
      <vt:lpstr>Mit w RECs Data Scenario 2</vt:lpstr>
      <vt:lpstr>Mitigation Data Scenario 2</vt:lpstr>
      <vt:lpstr>Mit w RECs Data Scenario 3</vt:lpstr>
      <vt:lpstr>Mitigation Data Scenario 3 </vt:lpstr>
      <vt:lpstr>Conversion Calculator</vt:lpstr>
      <vt:lpstr>SF</vt:lpstr>
      <vt:lpstr>Other</vt:lpstr>
      <vt:lpstr>Cum GSF Chart</vt:lpstr>
      <vt:lpstr>BAU Emissions Chart</vt:lpstr>
      <vt:lpstr>BAU Offset Chart Low $</vt:lpstr>
      <vt:lpstr>BAU Offset Chart High $</vt:lpstr>
      <vt:lpstr>Functional Distribution</vt:lpstr>
      <vt:lpstr>Mit w RECs Chart Scenario 1</vt:lpstr>
      <vt:lpstr>Wedges Chart Scenario 1</vt:lpstr>
      <vt:lpstr>Post Mit Chart Scenario 1</vt:lpstr>
      <vt:lpstr>Mit w RECs Chart Scenario 2</vt:lpstr>
      <vt:lpstr>Wedges Scenario 2</vt:lpstr>
      <vt:lpstr>Post Mit Chart Scenario 2</vt:lpstr>
      <vt:lpstr>Mit w RECs Chart Scenario 3</vt:lpstr>
      <vt:lpstr>Chart7</vt:lpstr>
      <vt:lpstr>Post Mit Em Chart Scenario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Thomas Twist</cp:lastModifiedBy>
  <dcterms:modified xsi:type="dcterms:W3CDTF">2017-07-24T14:05:20Z</dcterms:modified>
</cp:coreProperties>
</file>