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pas.vt.edu\users\FAC\rymow96\Desktop\"/>
    </mc:Choice>
  </mc:AlternateContent>
  <bookViews>
    <workbookView xWindow="0" yWindow="0" windowWidth="25200" windowHeight="11850"/>
  </bookViews>
  <sheets>
    <sheet name="Sheet1" sheetId="1" r:id="rId1"/>
  </sheets>
  <definedNames>
    <definedName name="_xlnm.Print_Area" localSheetId="0">Sheet1!$A$1:$S$90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9" i="1" l="1"/>
  <c r="B88" i="1"/>
  <c r="B86" i="1"/>
  <c r="B83" i="1"/>
  <c r="P51" i="1"/>
  <c r="M51" i="1"/>
  <c r="J51" i="1"/>
  <c r="G51" i="1"/>
  <c r="D40" i="1"/>
  <c r="B77" i="1"/>
  <c r="G55" i="1"/>
  <c r="J55" i="1"/>
  <c r="M55" i="1"/>
  <c r="P55" i="1"/>
  <c r="D55" i="1"/>
  <c r="B79" i="1"/>
  <c r="E20" i="1"/>
  <c r="D20" i="1"/>
  <c r="B73" i="1"/>
  <c r="D43" i="1"/>
  <c r="B75" i="1"/>
  <c r="D35" i="1"/>
  <c r="D36" i="1"/>
  <c r="B71" i="1"/>
  <c r="D51" i="1"/>
  <c r="B69" i="1"/>
  <c r="E32" i="1"/>
  <c r="D32" i="1"/>
  <c r="B67" i="1"/>
  <c r="J47" i="1"/>
  <c r="M47" i="1"/>
  <c r="D47" i="1"/>
  <c r="B65" i="1"/>
  <c r="E25" i="1"/>
  <c r="E26" i="1"/>
  <c r="H25" i="1"/>
  <c r="H26" i="1"/>
  <c r="I25" i="1"/>
  <c r="I26" i="1"/>
  <c r="J25" i="1"/>
  <c r="J26" i="1"/>
  <c r="K25" i="1"/>
  <c r="K26" i="1"/>
  <c r="L25" i="1"/>
  <c r="L26" i="1"/>
  <c r="M25" i="1"/>
  <c r="M26" i="1"/>
  <c r="N25" i="1"/>
  <c r="N26" i="1"/>
  <c r="O25" i="1"/>
  <c r="O26" i="1"/>
  <c r="P25" i="1"/>
  <c r="P26" i="1"/>
  <c r="D26" i="1"/>
  <c r="B63" i="1"/>
  <c r="D15" i="1"/>
  <c r="B61" i="1"/>
  <c r="B59" i="1"/>
  <c r="B85" i="1"/>
  <c r="B82" i="1"/>
  <c r="B80" i="1"/>
  <c r="C59" i="1"/>
  <c r="C61" i="1"/>
  <c r="C63" i="1"/>
  <c r="C65" i="1"/>
  <c r="C67" i="1"/>
  <c r="C69" i="1"/>
  <c r="C71" i="1"/>
  <c r="C75" i="1"/>
  <c r="C73" i="1"/>
  <c r="C77" i="1"/>
  <c r="C79" i="1"/>
  <c r="C80" i="1"/>
  <c r="D50" i="1"/>
  <c r="D54" i="1"/>
  <c r="P56" i="1"/>
  <c r="M56" i="1"/>
  <c r="G56" i="1"/>
  <c r="J56" i="1"/>
  <c r="P52" i="1"/>
  <c r="M52" i="1"/>
  <c r="J52" i="1"/>
  <c r="G52" i="1"/>
  <c r="P48" i="1"/>
  <c r="M48" i="1"/>
  <c r="J48" i="1"/>
  <c r="G48" i="1"/>
  <c r="D46" i="1"/>
  <c r="P47" i="1"/>
  <c r="G47" i="1"/>
  <c r="P44" i="1"/>
  <c r="M44" i="1"/>
  <c r="J44" i="1"/>
  <c r="G44" i="1"/>
  <c r="D42" i="1"/>
  <c r="D39" i="1"/>
  <c r="P36" i="1"/>
  <c r="M36" i="1"/>
  <c r="J36" i="1"/>
  <c r="G36" i="1"/>
  <c r="D31" i="1"/>
  <c r="D30" i="1"/>
  <c r="D29" i="1"/>
  <c r="P33" i="1"/>
  <c r="M33" i="1"/>
  <c r="J33" i="1"/>
  <c r="G33" i="1"/>
  <c r="F32" i="1"/>
  <c r="G32" i="1"/>
  <c r="H32" i="1"/>
  <c r="I32" i="1"/>
  <c r="J32" i="1"/>
  <c r="K32" i="1"/>
  <c r="L32" i="1"/>
  <c r="M32" i="1"/>
  <c r="N32" i="1"/>
  <c r="O32" i="1"/>
  <c r="P32" i="1"/>
  <c r="D25" i="1"/>
  <c r="E24" i="1"/>
  <c r="F24" i="1"/>
  <c r="D24" i="1"/>
  <c r="D23" i="1"/>
  <c r="F25" i="1"/>
  <c r="G25" i="1"/>
  <c r="P27" i="1"/>
  <c r="M27" i="1"/>
  <c r="G26" i="1"/>
  <c r="F26" i="1"/>
  <c r="G27" i="1"/>
  <c r="J27" i="1"/>
  <c r="D19" i="1"/>
  <c r="D18" i="1"/>
  <c r="P21" i="1"/>
  <c r="M21" i="1"/>
  <c r="J21" i="1"/>
  <c r="G21" i="1"/>
  <c r="F20" i="1"/>
  <c r="G20" i="1"/>
  <c r="H20" i="1"/>
  <c r="I20" i="1"/>
  <c r="J20" i="1"/>
  <c r="K20" i="1"/>
  <c r="L20" i="1"/>
  <c r="M20" i="1"/>
  <c r="N20" i="1"/>
  <c r="O20" i="1"/>
  <c r="P20" i="1"/>
  <c r="P19" i="1"/>
  <c r="O19" i="1"/>
  <c r="N19" i="1"/>
  <c r="M19" i="1"/>
  <c r="L19" i="1"/>
  <c r="K19" i="1"/>
  <c r="J19" i="1"/>
  <c r="I19" i="1"/>
  <c r="H19" i="1"/>
  <c r="G19" i="1"/>
  <c r="F19" i="1"/>
  <c r="E19" i="1"/>
  <c r="P16" i="1"/>
  <c r="M16" i="1"/>
  <c r="J16" i="1"/>
  <c r="G16" i="1"/>
  <c r="E15" i="1"/>
  <c r="F15" i="1"/>
  <c r="G15" i="1"/>
  <c r="H15" i="1"/>
  <c r="I15" i="1"/>
  <c r="J15" i="1"/>
  <c r="K15" i="1"/>
  <c r="L15" i="1"/>
  <c r="M15" i="1"/>
  <c r="N15" i="1"/>
  <c r="O15" i="1"/>
  <c r="P15" i="1"/>
  <c r="D14" i="1"/>
  <c r="D13" i="1"/>
  <c r="P14" i="1"/>
  <c r="O14" i="1"/>
  <c r="N14" i="1"/>
  <c r="M14" i="1"/>
  <c r="L14" i="1"/>
  <c r="K14" i="1"/>
  <c r="J14" i="1"/>
  <c r="I14" i="1"/>
  <c r="H14" i="1"/>
  <c r="G14" i="1"/>
  <c r="F14" i="1"/>
  <c r="E14" i="1"/>
  <c r="D6" i="1"/>
  <c r="D7" i="1"/>
  <c r="D5" i="1"/>
  <c r="N8" i="1"/>
  <c r="N9" i="1"/>
  <c r="O8" i="1"/>
  <c r="O9" i="1"/>
  <c r="P8" i="1"/>
  <c r="P9" i="1"/>
  <c r="P10" i="1"/>
  <c r="K8" i="1"/>
  <c r="K9" i="1"/>
  <c r="L8" i="1"/>
  <c r="L9" i="1"/>
  <c r="M8" i="1"/>
  <c r="M9" i="1"/>
  <c r="M10" i="1"/>
  <c r="H8" i="1"/>
  <c r="H9" i="1"/>
  <c r="I8" i="1"/>
  <c r="I9" i="1"/>
  <c r="J8" i="1"/>
  <c r="J9" i="1"/>
  <c r="J10" i="1"/>
  <c r="E8" i="1"/>
  <c r="E9" i="1"/>
  <c r="F7" i="1"/>
  <c r="F8" i="1"/>
  <c r="F9" i="1"/>
  <c r="G8" i="1"/>
  <c r="G9" i="1"/>
  <c r="G10" i="1"/>
  <c r="D8" i="1"/>
  <c r="D9" i="1"/>
</calcChain>
</file>

<file path=xl/sharedStrings.xml><?xml version="1.0" encoding="utf-8"?>
<sst xmlns="http://schemas.openxmlformats.org/spreadsheetml/2006/main" count="166" uniqueCount="78">
  <si>
    <t xml:space="preserve"> </t>
  </si>
  <si>
    <t>Subtotal</t>
  </si>
  <si>
    <t>Jan</t>
  </si>
  <si>
    <t>Feb</t>
  </si>
  <si>
    <t>Mar</t>
  </si>
  <si>
    <t>Apr</t>
  </si>
  <si>
    <t>May</t>
  </si>
  <si>
    <t>Jun</t>
  </si>
  <si>
    <t>Jul</t>
  </si>
  <si>
    <t>Aug</t>
  </si>
  <si>
    <t>Purchased Electricitry (Scope 2)</t>
  </si>
  <si>
    <t>E&amp;G Comsumption (kWh)</t>
  </si>
  <si>
    <t>Aux Consumption (kWh)</t>
  </si>
  <si>
    <t>Less Self-Generation (kWh)</t>
  </si>
  <si>
    <t>Total Campus Net Consumption (kWh)</t>
  </si>
  <si>
    <t>Tons-CO2-e/KWh</t>
  </si>
  <si>
    <t>Tons-CO2-e/mmBtu</t>
  </si>
  <si>
    <t xml:space="preserve">Lbs-CO2-e/mmBtu </t>
  </si>
  <si>
    <t>Coal (Scope 1)</t>
  </si>
  <si>
    <t>VT 2016 Total GHG Emissions Inventory (Tons CO2-e):</t>
  </si>
  <si>
    <t>Tons Consumed</t>
  </si>
  <si>
    <t>Equivalent mmBtu</t>
  </si>
  <si>
    <t>Equivalent Tons CO2-e</t>
  </si>
  <si>
    <t>mmBtu/ton</t>
  </si>
  <si>
    <t xml:space="preserve">Light Fuel Oil (Scope 1) </t>
  </si>
  <si>
    <t xml:space="preserve">Gallons Consumed </t>
  </si>
  <si>
    <t>Lbs-CO2-e/mmBtu</t>
  </si>
  <si>
    <t>Tons-CO2-2/mmBtu</t>
  </si>
  <si>
    <t xml:space="preserve">mmBtu/1000 gallons </t>
  </si>
  <si>
    <t>Sep</t>
  </si>
  <si>
    <t>Oct</t>
  </si>
  <si>
    <t>Nov</t>
  </si>
  <si>
    <t>Dec</t>
  </si>
  <si>
    <t>Qtr. Subtotal:</t>
  </si>
  <si>
    <t>Natural Gas - Steam Plant (Scope 1)</t>
  </si>
  <si>
    <t>DT Consumed</t>
  </si>
  <si>
    <t>Natural Gas - Buildings (Scope 1)</t>
  </si>
  <si>
    <t>CCF Consumed</t>
  </si>
  <si>
    <t>Solid Waste (Scope 3)</t>
  </si>
  <si>
    <t>MSW (Tons) Generated</t>
  </si>
  <si>
    <t>Water/WW (Scope 3)</t>
  </si>
  <si>
    <t>Commuting Gallons Gasoline Consumed</t>
  </si>
  <si>
    <t>Tons-CO2-e/Gallon</t>
  </si>
  <si>
    <t>VT Fleet (Scope 1)</t>
  </si>
  <si>
    <t>VT Aviations (Scope 1)</t>
  </si>
  <si>
    <t>Electric Purchased</t>
  </si>
  <si>
    <t>MMBtu</t>
  </si>
  <si>
    <t>Tons</t>
  </si>
  <si>
    <t>Tonnes</t>
  </si>
  <si>
    <t>Gas Purchased Plant</t>
  </si>
  <si>
    <t xml:space="preserve">Natural Gas - Steam Plant (Scope 1) </t>
  </si>
  <si>
    <t xml:space="preserve">Equivalent MMCF Consumed </t>
  </si>
  <si>
    <t xml:space="preserve">Equivalent mmBtu </t>
  </si>
  <si>
    <t>mmBtu/MMCF</t>
  </si>
  <si>
    <t xml:space="preserve">Lbs-CO2-2/mmBtu </t>
  </si>
  <si>
    <t xml:space="preserve">Natural Gas - Buildings (Scope 1) </t>
  </si>
  <si>
    <t>Equivalent mmBTU</t>
  </si>
  <si>
    <t xml:space="preserve">Water/WW (Scope 3) </t>
  </si>
  <si>
    <t>Wastewater Flow (Mgal)</t>
  </si>
  <si>
    <t xml:space="preserve">Water Flow (Mgal) </t>
  </si>
  <si>
    <t xml:space="preserve">Communting (Scope 3) </t>
  </si>
  <si>
    <t xml:space="preserve">Fleet Gallons Gasoline </t>
  </si>
  <si>
    <t>Vt Aviations</t>
  </si>
  <si>
    <t xml:space="preserve">Aviation Fuel Gallons </t>
  </si>
  <si>
    <t>Ton-CO2-e/Mgal</t>
  </si>
  <si>
    <t>Tons CO2-e/Ton MSW</t>
  </si>
  <si>
    <t>Purchase Electricity (Scope 2)</t>
  </si>
  <si>
    <t xml:space="preserve">Commuting (Scope 3) </t>
  </si>
  <si>
    <t xml:space="preserve">Water Flow (Scope 3) </t>
  </si>
  <si>
    <t xml:space="preserve">Total Scope 1 Imperial </t>
  </si>
  <si>
    <t xml:space="preserve">total Scope 1 Metric </t>
  </si>
  <si>
    <t xml:space="preserve">Total Scope 2 Imperial </t>
  </si>
  <si>
    <t xml:space="preserve">Total Scope 2 Metric </t>
  </si>
  <si>
    <t xml:space="preserve">Total Scope 1 and 2 Emissions </t>
  </si>
  <si>
    <t xml:space="preserve">Tonnes </t>
  </si>
  <si>
    <t xml:space="preserve">Coal Purchased </t>
  </si>
  <si>
    <t xml:space="preserve">Oil Purchased </t>
  </si>
  <si>
    <t>Gas Purchased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</si>
</sst>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"/>
    <numFmt numFmtId="167" formatCode="0.0000"/>
    <numFmt numFmtId="168" formatCode="0.00000"/>
    <numFmt numFmtId="169" formatCode="_(* #,##0.000_);_(* \(#,##0.000\);_(* &quot;-&quot;??_);_(@_)"/>
    <numFmt numFmtId="170" formatCode="_(* #,##0.0_);_(* \(#,##0.0\);_(* &quot;-&quot;??_);_(@_)"/>
    <numFmt numFmtId="171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1"/>
      </bottom>
      <diagonal/>
    </border>
    <border>
      <left/>
      <right/>
      <top style="thin">
        <color rgb="FFB2B2B2"/>
      </top>
      <bottom style="medium">
        <color theme="1"/>
      </bottom>
      <diagonal/>
    </border>
    <border>
      <left/>
      <right style="thin">
        <color rgb="FFB2B2B2"/>
      </right>
      <top style="thin">
        <color rgb="FFB2B2B2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 style="medium">
        <color theme="1"/>
      </top>
      <bottom style="thin">
        <color rgb="FFB2B2B2"/>
      </bottom>
      <diagonal/>
    </border>
    <border>
      <left/>
      <right style="thin">
        <color rgb="FFB2B2B2"/>
      </right>
      <top style="medium">
        <color theme="1"/>
      </top>
      <bottom style="thin">
        <color rgb="FFB2B2B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67">
    <xf numFmtId="0" fontId="0" fillId="0" borderId="0" xfId="0"/>
    <xf numFmtId="0" fontId="3" fillId="0" borderId="0" xfId="0" applyFont="1"/>
    <xf numFmtId="0" fontId="0" fillId="0" borderId="0" xfId="0" applyFill="1"/>
    <xf numFmtId="164" fontId="0" fillId="0" borderId="0" xfId="0" applyNumberFormat="1"/>
    <xf numFmtId="43" fontId="0" fillId="0" borderId="0" xfId="0" applyNumberFormat="1"/>
    <xf numFmtId="9" fontId="0" fillId="0" borderId="0" xfId="2" applyFont="1"/>
    <xf numFmtId="0" fontId="2" fillId="0" borderId="0" xfId="0" applyFont="1"/>
    <xf numFmtId="0" fontId="5" fillId="0" borderId="0" xfId="0" applyFont="1"/>
    <xf numFmtId="0" fontId="0" fillId="0" borderId="0" xfId="0" applyFont="1" applyFill="1" applyBorder="1" applyAlignment="1"/>
    <xf numFmtId="0" fontId="5" fillId="0" borderId="0" xfId="0" applyFont="1" applyFill="1" applyBorder="1" applyAlignment="1"/>
    <xf numFmtId="0" fontId="2" fillId="0" borderId="0" xfId="0" applyFont="1" applyBorder="1" applyAlignment="1"/>
    <xf numFmtId="43" fontId="0" fillId="0" borderId="0" xfId="1" applyFont="1"/>
    <xf numFmtId="43" fontId="0" fillId="2" borderId="1" xfId="3" applyNumberFormat="1" applyFont="1"/>
    <xf numFmtId="0" fontId="0" fillId="2" borderId="1" xfId="3" applyFont="1"/>
    <xf numFmtId="0" fontId="5" fillId="2" borderId="1" xfId="3" applyFont="1"/>
    <xf numFmtId="164" fontId="0" fillId="2" borderId="1" xfId="3" applyNumberFormat="1" applyFont="1"/>
    <xf numFmtId="43" fontId="0" fillId="2" borderId="4" xfId="3" applyNumberFormat="1" applyFont="1" applyBorder="1"/>
    <xf numFmtId="43" fontId="0" fillId="2" borderId="5" xfId="3" applyNumberFormat="1" applyFont="1" applyBorder="1"/>
    <xf numFmtId="43" fontId="0" fillId="2" borderId="1" xfId="1" applyFont="1" applyFill="1" applyBorder="1"/>
    <xf numFmtId="43" fontId="0" fillId="0" borderId="3" xfId="1" applyFont="1" applyBorder="1"/>
    <xf numFmtId="169" fontId="0" fillId="0" borderId="0" xfId="0" applyNumberFormat="1"/>
    <xf numFmtId="170" fontId="0" fillId="0" borderId="0" xfId="0" applyNumberFormat="1"/>
    <xf numFmtId="164" fontId="4" fillId="2" borderId="1" xfId="3" applyNumberFormat="1" applyFont="1"/>
    <xf numFmtId="43" fontId="2" fillId="0" borderId="0" xfId="1" applyFont="1"/>
    <xf numFmtId="43" fontId="0" fillId="0" borderId="6" xfId="1" applyFont="1" applyBorder="1"/>
    <xf numFmtId="43" fontId="5" fillId="2" borderId="1" xfId="1" applyFont="1" applyFill="1" applyBorder="1"/>
    <xf numFmtId="43" fontId="2" fillId="2" borderId="1" xfId="3" applyNumberFormat="1" applyFont="1"/>
    <xf numFmtId="43" fontId="5" fillId="2" borderId="1" xfId="3" applyNumberFormat="1" applyFont="1"/>
    <xf numFmtId="43" fontId="4" fillId="2" borderId="1" xfId="3" applyNumberFormat="1" applyFont="1"/>
    <xf numFmtId="43" fontId="5" fillId="0" borderId="0" xfId="1" applyFont="1"/>
    <xf numFmtId="43" fontId="0" fillId="2" borderId="7" xfId="3" applyNumberFormat="1" applyFont="1" applyBorder="1"/>
    <xf numFmtId="43" fontId="0" fillId="2" borderId="8" xfId="3" applyNumberFormat="1" applyFont="1" applyBorder="1"/>
    <xf numFmtId="1" fontId="0" fillId="0" borderId="0" xfId="0" applyNumberFormat="1"/>
    <xf numFmtId="1" fontId="0" fillId="2" borderId="1" xfId="3" applyNumberFormat="1" applyFont="1"/>
    <xf numFmtId="43" fontId="0" fillId="0" borderId="0" xfId="1" applyNumberFormat="1" applyFont="1"/>
    <xf numFmtId="170" fontId="0" fillId="0" borderId="0" xfId="1" applyNumberFormat="1" applyFont="1"/>
    <xf numFmtId="170" fontId="0" fillId="2" borderId="1" xfId="1" applyNumberFormat="1" applyFont="1" applyFill="1" applyBorder="1"/>
    <xf numFmtId="170" fontId="0" fillId="2" borderId="1" xfId="3" applyNumberFormat="1" applyFont="1"/>
    <xf numFmtId="164" fontId="0" fillId="0" borderId="0" xfId="1" applyNumberFormat="1" applyFont="1"/>
    <xf numFmtId="164" fontId="0" fillId="2" borderId="1" xfId="1" applyNumberFormat="1" applyFont="1" applyFill="1" applyBorder="1"/>
    <xf numFmtId="164" fontId="4" fillId="2" borderId="1" xfId="1" applyNumberFormat="1" applyFont="1" applyFill="1" applyBorder="1"/>
    <xf numFmtId="164" fontId="5" fillId="2" borderId="1" xfId="3" applyNumberFormat="1" applyFont="1"/>
    <xf numFmtId="164" fontId="5" fillId="0" borderId="0" xfId="1" applyNumberFormat="1" applyFont="1"/>
    <xf numFmtId="164" fontId="5" fillId="0" borderId="0" xfId="0" applyNumberFormat="1" applyFont="1"/>
    <xf numFmtId="43" fontId="5" fillId="0" borderId="0" xfId="0" applyNumberFormat="1" applyFont="1"/>
    <xf numFmtId="164" fontId="5" fillId="2" borderId="1" xfId="1" applyNumberFormat="1" applyFont="1" applyFill="1" applyBorder="1"/>
    <xf numFmtId="166" fontId="5" fillId="0" borderId="0" xfId="0" applyNumberFormat="1" applyFont="1"/>
    <xf numFmtId="167" fontId="5" fillId="0" borderId="0" xfId="0" applyNumberFormat="1" applyFont="1"/>
    <xf numFmtId="0" fontId="5" fillId="0" borderId="0" xfId="0" applyFont="1" applyBorder="1" applyAlignment="1">
      <alignment horizontal="left" indent="1"/>
    </xf>
    <xf numFmtId="168" fontId="5" fillId="0" borderId="0" xfId="0" applyNumberFormat="1" applyFont="1"/>
    <xf numFmtId="1" fontId="4" fillId="2" borderId="1" xfId="3" applyNumberFormat="1" applyFont="1"/>
    <xf numFmtId="1" fontId="5" fillId="0" borderId="0" xfId="0" applyNumberFormat="1" applyFont="1"/>
    <xf numFmtId="1" fontId="5" fillId="2" borderId="1" xfId="3" applyNumberFormat="1" applyFont="1"/>
    <xf numFmtId="164" fontId="5" fillId="0" borderId="2" xfId="0" applyNumberFormat="1" applyFont="1" applyBorder="1"/>
    <xf numFmtId="10" fontId="0" fillId="0" borderId="0" xfId="2" applyNumberFormat="1" applyFont="1"/>
    <xf numFmtId="165" fontId="0" fillId="0" borderId="2" xfId="2" applyNumberFormat="1" applyFont="1" applyBorder="1"/>
    <xf numFmtId="171" fontId="5" fillId="0" borderId="0" xfId="0" applyNumberFormat="1" applyFont="1"/>
    <xf numFmtId="171" fontId="5" fillId="2" borderId="1" xfId="3" applyNumberFormat="1" applyFont="1"/>
    <xf numFmtId="171" fontId="5" fillId="0" borderId="0" xfId="1" applyNumberFormat="1" applyFont="1"/>
    <xf numFmtId="171" fontId="5" fillId="0" borderId="0" xfId="0" applyNumberFormat="1" applyFont="1" applyFill="1"/>
    <xf numFmtId="164" fontId="0" fillId="0" borderId="0" xfId="1" applyNumberFormat="1" applyFont="1" applyBorder="1"/>
    <xf numFmtId="10" fontId="0" fillId="0" borderId="0" xfId="2" applyNumberFormat="1" applyFont="1" applyBorder="1"/>
    <xf numFmtId="164" fontId="5" fillId="0" borderId="0" xfId="1" applyNumberFormat="1" applyFont="1" applyBorder="1"/>
    <xf numFmtId="164" fontId="5" fillId="0" borderId="0" xfId="0" applyNumberFormat="1" applyFont="1" applyAlignment="1">
      <alignment horizontal="left"/>
    </xf>
    <xf numFmtId="0" fontId="5" fillId="2" borderId="1" xfId="3" applyFont="1" applyAlignment="1">
      <alignment horizontal="left"/>
    </xf>
    <xf numFmtId="164" fontId="5" fillId="2" borderId="1" xfId="3" applyNumberFormat="1" applyFont="1" applyAlignment="1">
      <alignment horizontal="left"/>
    </xf>
    <xf numFmtId="164" fontId="5" fillId="0" borderId="0" xfId="1" applyNumberFormat="1" applyFont="1" applyAlignment="1">
      <alignment horizontal="left"/>
    </xf>
  </cellXfs>
  <cellStyles count="4">
    <cellStyle name="Comma" xfId="1" builtinId="3"/>
    <cellStyle name="Normal" xfId="0" builtinId="0"/>
    <cellStyle name="Note" xfId="3" builtinId="1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9"/>
  <sheetViews>
    <sheetView tabSelected="1" zoomScale="40" zoomScaleNormal="40" workbookViewId="0">
      <selection activeCell="AF43" sqref="AF41:AF43"/>
    </sheetView>
  </sheetViews>
  <sheetFormatPr defaultRowHeight="15" x14ac:dyDescent="0.25"/>
  <cols>
    <col min="1" max="1" width="36.42578125" customWidth="1"/>
    <col min="2" max="3" width="22.140625" customWidth="1"/>
    <col min="4" max="4" width="18.85546875" customWidth="1"/>
    <col min="5" max="5" width="21.85546875" customWidth="1"/>
    <col min="6" max="6" width="23.140625" customWidth="1"/>
    <col min="7" max="7" width="16.28515625" customWidth="1"/>
    <col min="8" max="8" width="18.42578125" customWidth="1"/>
    <col min="9" max="9" width="18.140625" customWidth="1"/>
    <col min="10" max="10" width="14.7109375" customWidth="1"/>
    <col min="11" max="11" width="14.5703125" customWidth="1"/>
    <col min="12" max="12" width="15.85546875" customWidth="1"/>
    <col min="13" max="13" width="16" customWidth="1"/>
    <col min="14" max="15" width="15.85546875" customWidth="1"/>
    <col min="16" max="16" width="14.5703125" customWidth="1"/>
  </cols>
  <sheetData>
    <row r="1" spans="1:50" ht="36" x14ac:dyDescent="0.55000000000000004">
      <c r="A1" s="1" t="s">
        <v>19</v>
      </c>
      <c r="B1" s="1"/>
      <c r="C1" s="1"/>
      <c r="D1" s="1"/>
      <c r="E1" s="1"/>
      <c r="F1" s="2"/>
      <c r="G1" s="2"/>
      <c r="H1" s="2"/>
      <c r="L1" s="2"/>
      <c r="M1" s="2"/>
      <c r="N1" s="2"/>
      <c r="R1" s="2"/>
      <c r="S1" s="2"/>
      <c r="T1" s="2"/>
      <c r="X1" s="2"/>
      <c r="Y1" s="2"/>
      <c r="Z1" s="2"/>
      <c r="AD1" s="2"/>
      <c r="AE1" s="2"/>
      <c r="AF1" s="2"/>
      <c r="AJ1" s="2"/>
      <c r="AK1" s="2"/>
      <c r="AL1" s="2"/>
      <c r="AP1" s="2"/>
      <c r="AQ1" s="2"/>
      <c r="AR1" s="2"/>
      <c r="AV1" s="2"/>
      <c r="AW1" s="2"/>
      <c r="AX1" s="2"/>
    </row>
    <row r="2" spans="1:50" ht="28.5" customHeight="1" x14ac:dyDescent="0.25"/>
    <row r="3" spans="1:50" ht="36.75" customHeight="1" x14ac:dyDescent="0.25">
      <c r="D3" s="23" t="s">
        <v>1</v>
      </c>
      <c r="E3" s="11" t="s">
        <v>2</v>
      </c>
      <c r="F3" s="11" t="s">
        <v>3</v>
      </c>
      <c r="G3" s="11" t="s">
        <v>4</v>
      </c>
      <c r="H3" s="26" t="s">
        <v>5</v>
      </c>
      <c r="I3" s="26" t="s">
        <v>6</v>
      </c>
      <c r="J3" s="26" t="s">
        <v>7</v>
      </c>
      <c r="K3" s="11" t="s">
        <v>8</v>
      </c>
      <c r="L3" s="11" t="s">
        <v>9</v>
      </c>
      <c r="M3" s="11" t="s">
        <v>29</v>
      </c>
      <c r="N3" s="26" t="s">
        <v>30</v>
      </c>
      <c r="O3" s="26" t="s">
        <v>31</v>
      </c>
      <c r="P3" s="26" t="s">
        <v>32</v>
      </c>
      <c r="Q3" s="11"/>
    </row>
    <row r="4" spans="1:50" x14ac:dyDescent="0.25">
      <c r="A4" s="6" t="s">
        <v>10</v>
      </c>
      <c r="D4" s="11"/>
      <c r="E4" s="11"/>
      <c r="F4" s="11"/>
      <c r="G4" s="11"/>
      <c r="H4" s="12"/>
      <c r="I4" s="12"/>
      <c r="J4" s="12"/>
      <c r="K4" s="11"/>
      <c r="L4" s="11"/>
      <c r="M4" s="11"/>
      <c r="N4" s="12"/>
      <c r="O4" s="12"/>
      <c r="P4" s="12"/>
      <c r="Q4" s="11"/>
    </row>
    <row r="5" spans="1:50" x14ac:dyDescent="0.25">
      <c r="A5" t="s">
        <v>11</v>
      </c>
      <c r="D5" s="11">
        <f>SUM(E5:P5)</f>
        <v>147511954</v>
      </c>
      <c r="E5" s="11">
        <v>13154283</v>
      </c>
      <c r="F5" s="11">
        <v>13432272</v>
      </c>
      <c r="G5" s="11">
        <v>10702682</v>
      </c>
      <c r="H5" s="12">
        <v>11062332</v>
      </c>
      <c r="I5" s="12">
        <v>13463231</v>
      </c>
      <c r="J5" s="12">
        <v>12170358</v>
      </c>
      <c r="K5" s="11">
        <v>13760719</v>
      </c>
      <c r="L5" s="11">
        <v>14979478</v>
      </c>
      <c r="M5" s="11">
        <v>16385506</v>
      </c>
      <c r="N5" s="12">
        <v>8706523</v>
      </c>
      <c r="O5" s="12">
        <v>9911498</v>
      </c>
      <c r="P5" s="12">
        <v>9783072</v>
      </c>
      <c r="Q5" s="11"/>
    </row>
    <row r="6" spans="1:50" x14ac:dyDescent="0.25">
      <c r="A6" t="s">
        <v>12</v>
      </c>
      <c r="D6" s="11">
        <f t="shared" ref="D6:D7" si="0">SUM(E6:P6)</f>
        <v>62396017</v>
      </c>
      <c r="E6" s="11">
        <v>4756804</v>
      </c>
      <c r="F6" s="11">
        <v>5604499</v>
      </c>
      <c r="G6" s="11">
        <v>4273141</v>
      </c>
      <c r="H6" s="12">
        <v>4874936</v>
      </c>
      <c r="I6" s="12">
        <v>5876758</v>
      </c>
      <c r="J6" s="12">
        <v>3932938</v>
      </c>
      <c r="K6" s="11">
        <v>5433543</v>
      </c>
      <c r="L6" s="11">
        <v>5630975</v>
      </c>
      <c r="M6" s="11">
        <v>8079636</v>
      </c>
      <c r="N6" s="12">
        <v>4056348</v>
      </c>
      <c r="O6" s="12">
        <v>5313941</v>
      </c>
      <c r="P6" s="12">
        <v>4562498</v>
      </c>
      <c r="Q6" s="11"/>
    </row>
    <row r="7" spans="1:50" ht="15.75" thickBot="1" x14ac:dyDescent="0.3">
      <c r="A7" t="s">
        <v>13</v>
      </c>
      <c r="D7" s="19">
        <f t="shared" si="0"/>
        <v>-15670370</v>
      </c>
      <c r="E7" s="19">
        <v>-3951954</v>
      </c>
      <c r="F7" s="19">
        <f>-(3611029)</f>
        <v>-3611029</v>
      </c>
      <c r="G7" s="19">
        <v>-2728848</v>
      </c>
      <c r="H7" s="16">
        <v>-2243083</v>
      </c>
      <c r="I7" s="16">
        <v>-1305081</v>
      </c>
      <c r="J7" s="16">
        <v>-970136</v>
      </c>
      <c r="K7" s="19">
        <v>-989802</v>
      </c>
      <c r="L7" s="19">
        <v>-970880</v>
      </c>
      <c r="M7" s="19">
        <v>-1232744</v>
      </c>
      <c r="N7" s="16">
        <v>-23178</v>
      </c>
      <c r="O7" s="16">
        <v>-1561482</v>
      </c>
      <c r="P7" s="17">
        <v>3917847</v>
      </c>
      <c r="Q7" s="11"/>
    </row>
    <row r="8" spans="1:50" x14ac:dyDescent="0.25">
      <c r="A8" t="s">
        <v>14</v>
      </c>
      <c r="D8" s="24">
        <f>SUM(E8:P8)</f>
        <v>194237601</v>
      </c>
      <c r="E8" s="24">
        <f t="shared" ref="E8:P8" si="1">SUM(E5:E7)</f>
        <v>13959133</v>
      </c>
      <c r="F8" s="24">
        <f t="shared" si="1"/>
        <v>15425742</v>
      </c>
      <c r="G8" s="24">
        <f t="shared" si="1"/>
        <v>12246975</v>
      </c>
      <c r="H8" s="30">
        <f t="shared" si="1"/>
        <v>13694185</v>
      </c>
      <c r="I8" s="30">
        <f t="shared" si="1"/>
        <v>18034908</v>
      </c>
      <c r="J8" s="30">
        <f t="shared" si="1"/>
        <v>15133160</v>
      </c>
      <c r="K8" s="24">
        <f t="shared" si="1"/>
        <v>18204460</v>
      </c>
      <c r="L8" s="24">
        <f>SUM(L5:L7)</f>
        <v>19639573</v>
      </c>
      <c r="M8" s="24">
        <f t="shared" si="1"/>
        <v>23232398</v>
      </c>
      <c r="N8" s="30">
        <f t="shared" si="1"/>
        <v>12739693</v>
      </c>
      <c r="O8" s="30">
        <f t="shared" si="1"/>
        <v>13663957</v>
      </c>
      <c r="P8" s="31">
        <f t="shared" si="1"/>
        <v>18263417</v>
      </c>
    </row>
    <row r="9" spans="1:50" x14ac:dyDescent="0.25">
      <c r="A9" s="7" t="s">
        <v>22</v>
      </c>
      <c r="B9" s="7">
        <v>7.6000000000000004E-4</v>
      </c>
      <c r="C9" s="7" t="s">
        <v>15</v>
      </c>
      <c r="D9" s="29">
        <f>D8*$B$9</f>
        <v>147620.57676</v>
      </c>
      <c r="E9" s="29">
        <f t="shared" ref="E9:P9" si="2">E8*$B$9</f>
        <v>10608.941080000001</v>
      </c>
      <c r="F9" s="29">
        <f t="shared" si="2"/>
        <v>11723.563920000001</v>
      </c>
      <c r="G9" s="29">
        <f t="shared" si="2"/>
        <v>9307.7010000000009</v>
      </c>
      <c r="H9" s="27">
        <f t="shared" si="2"/>
        <v>10407.580600000001</v>
      </c>
      <c r="I9" s="27">
        <f t="shared" si="2"/>
        <v>13706.53008</v>
      </c>
      <c r="J9" s="27">
        <f t="shared" si="2"/>
        <v>11501.2016</v>
      </c>
      <c r="K9" s="29">
        <f t="shared" si="2"/>
        <v>13835.3896</v>
      </c>
      <c r="L9" s="29">
        <f t="shared" si="2"/>
        <v>14926.075480000001</v>
      </c>
      <c r="M9" s="29">
        <f t="shared" si="2"/>
        <v>17656.622480000002</v>
      </c>
      <c r="N9" s="27">
        <f t="shared" si="2"/>
        <v>9682.1666800000003</v>
      </c>
      <c r="O9" s="27">
        <f t="shared" si="2"/>
        <v>10384.607320000001</v>
      </c>
      <c r="P9" s="27">
        <f t="shared" si="2"/>
        <v>13880.19692</v>
      </c>
    </row>
    <row r="10" spans="1:50" x14ac:dyDescent="0.25">
      <c r="A10" t="s">
        <v>0</v>
      </c>
      <c r="B10" s="7"/>
      <c r="C10" s="7" t="s">
        <v>16</v>
      </c>
      <c r="D10" s="29"/>
      <c r="E10" s="29"/>
      <c r="F10" s="42" t="s">
        <v>33</v>
      </c>
      <c r="G10" s="29">
        <f>E9+F9+G9</f>
        <v>31640.206000000002</v>
      </c>
      <c r="H10" s="27"/>
      <c r="I10" s="27" t="s">
        <v>33</v>
      </c>
      <c r="J10" s="27">
        <f>H9+I9+J9</f>
        <v>35615.312279999998</v>
      </c>
      <c r="K10" s="29"/>
      <c r="L10" s="29" t="s">
        <v>33</v>
      </c>
      <c r="M10" s="29">
        <f>K9+L9+M9</f>
        <v>46418.08756</v>
      </c>
      <c r="N10" s="27"/>
      <c r="O10" s="27" t="s">
        <v>33</v>
      </c>
      <c r="P10" s="27">
        <f>N9+O9+P9</f>
        <v>33946.97092</v>
      </c>
    </row>
    <row r="11" spans="1:50" x14ac:dyDescent="0.25">
      <c r="B11" s="7"/>
      <c r="C11" t="s">
        <v>17</v>
      </c>
      <c r="D11" s="11"/>
      <c r="E11" s="11"/>
      <c r="F11" s="11"/>
      <c r="G11" s="11"/>
      <c r="H11" s="12"/>
      <c r="I11" s="12"/>
      <c r="J11" s="12"/>
      <c r="K11" s="11"/>
      <c r="L11" s="11"/>
      <c r="M11" s="11"/>
      <c r="N11" s="12"/>
      <c r="O11" s="12"/>
      <c r="P11" s="12"/>
    </row>
    <row r="12" spans="1:50" x14ac:dyDescent="0.25">
      <c r="A12" s="6" t="s">
        <v>18</v>
      </c>
      <c r="B12" s="7"/>
      <c r="D12" s="11"/>
      <c r="E12" s="11"/>
      <c r="F12" s="11"/>
      <c r="G12" s="11"/>
      <c r="H12" s="12"/>
      <c r="I12" s="12"/>
      <c r="J12" s="12"/>
      <c r="K12" s="11"/>
      <c r="L12" s="11"/>
      <c r="M12" s="11"/>
      <c r="N12" s="12"/>
      <c r="O12" s="12"/>
      <c r="P12" s="12"/>
    </row>
    <row r="13" spans="1:50" x14ac:dyDescent="0.25">
      <c r="A13" t="s">
        <v>20</v>
      </c>
      <c r="B13" s="7"/>
      <c r="D13" s="11">
        <f>SUM(E13:P13)</f>
        <v>22609</v>
      </c>
      <c r="E13" s="11">
        <v>4576</v>
      </c>
      <c r="F13" s="11">
        <v>3584</v>
      </c>
      <c r="G13" s="11">
        <v>3066</v>
      </c>
      <c r="H13" s="28">
        <v>2418</v>
      </c>
      <c r="I13" s="28">
        <v>856</v>
      </c>
      <c r="J13" s="28">
        <v>0</v>
      </c>
      <c r="K13" s="11">
        <v>0</v>
      </c>
      <c r="L13" s="11">
        <v>0</v>
      </c>
      <c r="M13" s="11">
        <v>638</v>
      </c>
      <c r="N13" s="28">
        <v>1536</v>
      </c>
      <c r="O13" s="28">
        <v>1572</v>
      </c>
      <c r="P13" s="28">
        <v>4363</v>
      </c>
    </row>
    <row r="14" spans="1:50" x14ac:dyDescent="0.25">
      <c r="A14" t="s">
        <v>21</v>
      </c>
      <c r="B14" s="7"/>
      <c r="C14" t="s">
        <v>23</v>
      </c>
      <c r="D14" s="11">
        <f>SUM(E14:P14)</f>
        <v>599138.5</v>
      </c>
      <c r="E14" s="11">
        <f t="shared" ref="E14:P14" si="3">26.5*E13</f>
        <v>121264</v>
      </c>
      <c r="F14" s="11">
        <f t="shared" si="3"/>
        <v>94976</v>
      </c>
      <c r="G14" s="11">
        <f t="shared" si="3"/>
        <v>81249</v>
      </c>
      <c r="H14" s="28">
        <f t="shared" si="3"/>
        <v>64077</v>
      </c>
      <c r="I14" s="28">
        <f t="shared" si="3"/>
        <v>22684</v>
      </c>
      <c r="J14" s="28">
        <f t="shared" si="3"/>
        <v>0</v>
      </c>
      <c r="K14" s="11">
        <f t="shared" si="3"/>
        <v>0</v>
      </c>
      <c r="L14" s="11">
        <f t="shared" si="3"/>
        <v>0</v>
      </c>
      <c r="M14" s="11">
        <f t="shared" si="3"/>
        <v>16907</v>
      </c>
      <c r="N14" s="28">
        <f t="shared" si="3"/>
        <v>40704</v>
      </c>
      <c r="O14" s="28">
        <f t="shared" si="3"/>
        <v>41658</v>
      </c>
      <c r="P14" s="28">
        <f t="shared" si="3"/>
        <v>115619.5</v>
      </c>
    </row>
    <row r="15" spans="1:50" x14ac:dyDescent="0.25">
      <c r="A15" s="7" t="s">
        <v>22</v>
      </c>
      <c r="B15" s="46">
        <v>0.10249999999999999</v>
      </c>
      <c r="C15" s="7" t="s">
        <v>16</v>
      </c>
      <c r="D15" s="44">
        <f>SUM(E15:P15)</f>
        <v>61411.696250000001</v>
      </c>
      <c r="E15" s="43">
        <f t="shared" ref="E15:P15" si="4">E14*$B$15</f>
        <v>12429.56</v>
      </c>
      <c r="F15" s="44">
        <f t="shared" si="4"/>
        <v>9735.0399999999991</v>
      </c>
      <c r="G15" s="44">
        <f t="shared" si="4"/>
        <v>8328.0224999999991</v>
      </c>
      <c r="H15" s="41">
        <f t="shared" si="4"/>
        <v>6567.8924999999999</v>
      </c>
      <c r="I15" s="41">
        <f t="shared" si="4"/>
        <v>2325.1099999999997</v>
      </c>
      <c r="J15" s="27">
        <f t="shared" si="4"/>
        <v>0</v>
      </c>
      <c r="K15" s="44">
        <f t="shared" si="4"/>
        <v>0</v>
      </c>
      <c r="L15" s="44">
        <f t="shared" si="4"/>
        <v>0</v>
      </c>
      <c r="M15" s="43">
        <f t="shared" si="4"/>
        <v>1732.9675</v>
      </c>
      <c r="N15" s="41">
        <f t="shared" si="4"/>
        <v>4172.16</v>
      </c>
      <c r="O15" s="41">
        <f t="shared" si="4"/>
        <v>4269.9449999999997</v>
      </c>
      <c r="P15" s="41">
        <f t="shared" si="4"/>
        <v>11850.998749999999</v>
      </c>
    </row>
    <row r="16" spans="1:50" x14ac:dyDescent="0.25">
      <c r="B16" s="7"/>
      <c r="C16" t="s">
        <v>17</v>
      </c>
      <c r="D16" s="29"/>
      <c r="E16" s="29"/>
      <c r="F16" s="42" t="s">
        <v>33</v>
      </c>
      <c r="G16" s="29">
        <f>G15+F15+E15</f>
        <v>30492.622499999998</v>
      </c>
      <c r="H16" s="27"/>
      <c r="I16" s="27" t="s">
        <v>33</v>
      </c>
      <c r="J16" s="27">
        <f>I15+H15</f>
        <v>8893.0024999999987</v>
      </c>
      <c r="K16" s="29"/>
      <c r="L16" s="29" t="s">
        <v>33</v>
      </c>
      <c r="M16" s="29">
        <f>M15</f>
        <v>1732.9675</v>
      </c>
      <c r="N16" s="27"/>
      <c r="O16" s="27" t="s">
        <v>33</v>
      </c>
      <c r="P16" s="27">
        <f>P15+O15+N15</f>
        <v>20293.103749999998</v>
      </c>
      <c r="Q16" s="11"/>
    </row>
    <row r="17" spans="1:48" x14ac:dyDescent="0.25">
      <c r="A17" s="6" t="s">
        <v>24</v>
      </c>
      <c r="B17" s="7"/>
      <c r="D17" s="11"/>
      <c r="E17" s="11"/>
      <c r="F17" s="11"/>
      <c r="G17" s="11"/>
      <c r="H17" s="18"/>
      <c r="I17" s="18"/>
      <c r="J17" s="18"/>
      <c r="K17" s="11"/>
      <c r="L17" s="11"/>
      <c r="M17" s="11"/>
      <c r="N17" s="18"/>
      <c r="O17" s="18"/>
      <c r="P17" s="18"/>
      <c r="Q17" s="11"/>
    </row>
    <row r="18" spans="1:48" x14ac:dyDescent="0.25">
      <c r="A18" t="s">
        <v>25</v>
      </c>
      <c r="B18" s="7"/>
      <c r="D18" s="11">
        <f>SUM(E18:P18)</f>
        <v>186800</v>
      </c>
      <c r="E18" s="11">
        <v>11500</v>
      </c>
      <c r="F18" s="11">
        <v>56200</v>
      </c>
      <c r="G18" s="11">
        <v>25500</v>
      </c>
      <c r="H18" s="18">
        <v>0</v>
      </c>
      <c r="I18" s="18">
        <v>7100</v>
      </c>
      <c r="J18" s="18">
        <v>46200</v>
      </c>
      <c r="K18" s="11">
        <v>37700</v>
      </c>
      <c r="L18" s="11">
        <v>0</v>
      </c>
      <c r="M18" s="11">
        <v>0</v>
      </c>
      <c r="N18" s="18"/>
      <c r="O18" s="18"/>
      <c r="P18" s="18">
        <v>2600</v>
      </c>
    </row>
    <row r="19" spans="1:48" x14ac:dyDescent="0.25">
      <c r="A19" t="s">
        <v>21</v>
      </c>
      <c r="B19" s="7"/>
      <c r="C19" t="s">
        <v>28</v>
      </c>
      <c r="D19" s="11">
        <f>SUM(E19:P19)</f>
        <v>27086</v>
      </c>
      <c r="E19" s="11">
        <f t="shared" ref="E19:P19" si="5">E18*145000/1000000</f>
        <v>1667.5</v>
      </c>
      <c r="F19" s="11">
        <f t="shared" si="5"/>
        <v>8149</v>
      </c>
      <c r="G19" s="11">
        <f t="shared" si="5"/>
        <v>3697.5</v>
      </c>
      <c r="H19" s="18">
        <f t="shared" si="5"/>
        <v>0</v>
      </c>
      <c r="I19" s="18">
        <f t="shared" si="5"/>
        <v>1029.5</v>
      </c>
      <c r="J19" s="18">
        <f t="shared" si="5"/>
        <v>6699</v>
      </c>
      <c r="K19" s="11">
        <f t="shared" si="5"/>
        <v>5466.5</v>
      </c>
      <c r="L19" s="11">
        <f t="shared" si="5"/>
        <v>0</v>
      </c>
      <c r="M19" s="11">
        <f t="shared" si="5"/>
        <v>0</v>
      </c>
      <c r="N19" s="18">
        <f t="shared" si="5"/>
        <v>0</v>
      </c>
      <c r="O19" s="18">
        <f t="shared" si="5"/>
        <v>0</v>
      </c>
      <c r="P19" s="18">
        <f t="shared" si="5"/>
        <v>377</v>
      </c>
      <c r="S19" t="s">
        <v>0</v>
      </c>
    </row>
    <row r="20" spans="1:48" x14ac:dyDescent="0.25">
      <c r="A20" s="7" t="s">
        <v>22</v>
      </c>
      <c r="B20" s="47">
        <v>8.2430000000000003E-2</v>
      </c>
      <c r="C20" s="7" t="s">
        <v>27</v>
      </c>
      <c r="D20" s="29">
        <f>SUM(E20:P20)</f>
        <v>2232.6989800000001</v>
      </c>
      <c r="E20" s="29">
        <f>E19*$B$20</f>
        <v>137.45202499999999</v>
      </c>
      <c r="F20" s="29">
        <f t="shared" ref="F20:P20" si="6">F19*$B$20</f>
        <v>671.72207000000003</v>
      </c>
      <c r="G20" s="29">
        <f t="shared" si="6"/>
        <v>304.78492499999999</v>
      </c>
      <c r="H20" s="25">
        <f t="shared" si="6"/>
        <v>0</v>
      </c>
      <c r="I20" s="25">
        <f t="shared" si="6"/>
        <v>84.861685000000008</v>
      </c>
      <c r="J20" s="25">
        <f t="shared" si="6"/>
        <v>552.19857000000002</v>
      </c>
      <c r="K20" s="29">
        <f t="shared" si="6"/>
        <v>450.60359500000004</v>
      </c>
      <c r="L20" s="29">
        <f t="shared" si="6"/>
        <v>0</v>
      </c>
      <c r="M20" s="29">
        <f t="shared" si="6"/>
        <v>0</v>
      </c>
      <c r="N20" s="25">
        <f t="shared" si="6"/>
        <v>0</v>
      </c>
      <c r="O20" s="25">
        <f t="shared" si="6"/>
        <v>0</v>
      </c>
      <c r="P20" s="25">
        <f t="shared" si="6"/>
        <v>31.07611</v>
      </c>
    </row>
    <row r="21" spans="1:48" x14ac:dyDescent="0.25">
      <c r="B21" s="7"/>
      <c r="C21" t="s">
        <v>26</v>
      </c>
      <c r="D21" s="29"/>
      <c r="E21" s="29"/>
      <c r="F21" s="42" t="s">
        <v>33</v>
      </c>
      <c r="G21" s="29">
        <f>G20+F20+E20</f>
        <v>1113.95902</v>
      </c>
      <c r="H21" s="25"/>
      <c r="I21" s="25" t="s">
        <v>33</v>
      </c>
      <c r="J21" s="25">
        <f>J20+I20</f>
        <v>637.06025499999998</v>
      </c>
      <c r="K21" s="29"/>
      <c r="L21" s="29" t="s">
        <v>33</v>
      </c>
      <c r="M21" s="29">
        <f>K20</f>
        <v>450.60359500000004</v>
      </c>
      <c r="N21" s="25"/>
      <c r="O21" s="25" t="s">
        <v>33</v>
      </c>
      <c r="P21" s="25">
        <f>P20</f>
        <v>31.07611</v>
      </c>
    </row>
    <row r="22" spans="1:48" x14ac:dyDescent="0.25">
      <c r="A22" s="10" t="s">
        <v>50</v>
      </c>
      <c r="B22" s="48"/>
      <c r="D22" s="38"/>
      <c r="E22" s="38"/>
      <c r="F22" s="38"/>
      <c r="G22" s="38"/>
      <c r="H22" s="39"/>
      <c r="I22" s="39"/>
      <c r="J22" s="39"/>
      <c r="K22" s="38"/>
      <c r="L22" s="38"/>
      <c r="M22" s="38"/>
      <c r="N22" s="39"/>
      <c r="O22" s="39"/>
      <c r="P22" s="39"/>
      <c r="V22" s="2"/>
      <c r="W22" s="2"/>
      <c r="X22" s="2"/>
      <c r="AB22" s="2"/>
      <c r="AC22" s="2"/>
      <c r="AD22" s="2"/>
      <c r="AH22" s="2"/>
      <c r="AI22" s="2"/>
      <c r="AJ22" s="2"/>
      <c r="AN22" s="2"/>
      <c r="AO22" s="2"/>
      <c r="AP22" s="2"/>
      <c r="AT22" s="2"/>
      <c r="AU22" s="2"/>
      <c r="AV22" s="2"/>
    </row>
    <row r="23" spans="1:48" x14ac:dyDescent="0.25">
      <c r="A23" s="8" t="s">
        <v>35</v>
      </c>
      <c r="B23" s="7"/>
      <c r="D23" s="38">
        <f>SUM(E23:P23)</f>
        <v>635505</v>
      </c>
      <c r="E23" s="38">
        <v>53763</v>
      </c>
      <c r="F23" s="38">
        <v>56963</v>
      </c>
      <c r="G23" s="38">
        <v>40782</v>
      </c>
      <c r="H23" s="39">
        <v>43733</v>
      </c>
      <c r="I23" s="39">
        <v>54312</v>
      </c>
      <c r="J23" s="39">
        <v>51065</v>
      </c>
      <c r="K23" s="38">
        <v>51541</v>
      </c>
      <c r="L23" s="38">
        <v>57664</v>
      </c>
      <c r="M23" s="38">
        <v>46620</v>
      </c>
      <c r="N23" s="39">
        <v>37114</v>
      </c>
      <c r="O23" s="39">
        <v>67301</v>
      </c>
      <c r="P23" s="39">
        <v>74647</v>
      </c>
      <c r="Q23" s="2"/>
      <c r="R23" s="2"/>
      <c r="T23" s="3"/>
      <c r="V23" s="2"/>
      <c r="W23" s="2"/>
      <c r="X23" s="2"/>
      <c r="Z23" s="2"/>
      <c r="AB23" s="2"/>
      <c r="AC23" s="2"/>
      <c r="AD23" s="2"/>
      <c r="AF23" s="4"/>
      <c r="AH23" s="2"/>
      <c r="AI23" s="2"/>
      <c r="AJ23" s="2"/>
      <c r="AN23" s="2"/>
      <c r="AO23" s="2"/>
      <c r="AP23" s="2"/>
      <c r="AT23" s="2"/>
      <c r="AU23" s="2"/>
      <c r="AV23" s="2"/>
    </row>
    <row r="24" spans="1:48" x14ac:dyDescent="0.25">
      <c r="A24" s="8" t="s">
        <v>51</v>
      </c>
      <c r="B24" s="7"/>
      <c r="D24" s="38">
        <f>SUM(E24:P24)</f>
        <v>635.505</v>
      </c>
      <c r="E24" s="35">
        <f>53763/1000</f>
        <v>53.762999999999998</v>
      </c>
      <c r="F24" s="35">
        <f>56963/1000</f>
        <v>56.963000000000001</v>
      </c>
      <c r="G24" s="35">
        <v>40.781999999999996</v>
      </c>
      <c r="H24" s="36">
        <v>43.732999999999997</v>
      </c>
      <c r="I24" s="36">
        <v>54.311999999999998</v>
      </c>
      <c r="J24" s="36">
        <v>51.064999999999998</v>
      </c>
      <c r="K24" s="35">
        <v>51.540999999999997</v>
      </c>
      <c r="L24" s="35">
        <v>57.664000000000001</v>
      </c>
      <c r="M24" s="35">
        <v>46.62</v>
      </c>
      <c r="N24" s="36">
        <v>37.113999999999997</v>
      </c>
      <c r="O24" s="36">
        <v>67.301000000000002</v>
      </c>
      <c r="P24" s="36">
        <v>74.647000000000006</v>
      </c>
      <c r="Q24" s="2"/>
      <c r="R24" s="2"/>
      <c r="T24" s="5"/>
      <c r="V24" s="2"/>
      <c r="W24" s="2"/>
      <c r="X24" s="2"/>
      <c r="Z24" s="3"/>
      <c r="AB24" s="2"/>
      <c r="AC24" s="2"/>
      <c r="AD24" s="2"/>
      <c r="AH24" s="2"/>
      <c r="AI24" s="2"/>
      <c r="AJ24" s="2"/>
      <c r="AN24" s="2"/>
      <c r="AO24" s="2"/>
      <c r="AP24" s="2"/>
      <c r="AT24" s="2"/>
      <c r="AU24" s="2"/>
      <c r="AV24" s="2"/>
    </row>
    <row r="25" spans="1:48" x14ac:dyDescent="0.25">
      <c r="A25" s="8" t="s">
        <v>52</v>
      </c>
      <c r="B25" s="7"/>
      <c r="C25" t="s">
        <v>53</v>
      </c>
      <c r="D25" s="38">
        <f>SUM(E25:P25)</f>
        <v>653668.29599999997</v>
      </c>
      <c r="E25" s="38">
        <f>E23*1.027</f>
        <v>55214.600999999995</v>
      </c>
      <c r="F25" s="38">
        <f t="shared" ref="F25:G25" si="7">F23*1.027</f>
        <v>58501.000999999997</v>
      </c>
      <c r="G25" s="38">
        <f t="shared" si="7"/>
        <v>41883.113999999994</v>
      </c>
      <c r="H25" s="39">
        <f>H23*1.027</f>
        <v>44913.790999999997</v>
      </c>
      <c r="I25" s="39">
        <f>I23*1.027</f>
        <v>55778.423999999992</v>
      </c>
      <c r="J25" s="39">
        <f>J23*1.027</f>
        <v>52443.754999999997</v>
      </c>
      <c r="K25" s="38">
        <f t="shared" ref="K25:P25" si="8">K23*1.03</f>
        <v>53087.23</v>
      </c>
      <c r="L25" s="38">
        <f t="shared" si="8"/>
        <v>59393.919999999998</v>
      </c>
      <c r="M25" s="38">
        <f t="shared" si="8"/>
        <v>48018.6</v>
      </c>
      <c r="N25" s="15">
        <f t="shared" si="8"/>
        <v>38227.42</v>
      </c>
      <c r="O25" s="15">
        <f t="shared" si="8"/>
        <v>69320.03</v>
      </c>
      <c r="P25" s="15">
        <f t="shared" si="8"/>
        <v>76886.41</v>
      </c>
      <c r="Q25" s="2"/>
      <c r="R25" s="2"/>
      <c r="V25" s="2"/>
      <c r="W25" s="2"/>
      <c r="X25" s="2"/>
      <c r="AB25" s="2"/>
      <c r="AC25" s="2"/>
      <c r="AD25" s="2"/>
      <c r="AH25" s="2"/>
      <c r="AI25" s="2"/>
      <c r="AJ25" s="2"/>
      <c r="AN25" s="2"/>
      <c r="AO25" s="2"/>
      <c r="AP25" s="2"/>
      <c r="AT25" s="2"/>
      <c r="AU25" s="2"/>
      <c r="AV25" s="2"/>
    </row>
    <row r="26" spans="1:48" x14ac:dyDescent="0.25">
      <c r="A26" s="9" t="s">
        <v>22</v>
      </c>
      <c r="B26" s="47">
        <v>5.8540000000000002E-2</v>
      </c>
      <c r="C26" s="7" t="s">
        <v>27</v>
      </c>
      <c r="D26" s="42">
        <f>SUM(E26:P26)</f>
        <v>38265.742047840002</v>
      </c>
      <c r="E26" s="42">
        <f>E25*$B$26</f>
        <v>3232.2627425399996</v>
      </c>
      <c r="F26" s="42">
        <f t="shared" ref="F26:P26" si="9">F25*$B$26</f>
        <v>3424.64859854</v>
      </c>
      <c r="G26" s="42">
        <f t="shared" si="9"/>
        <v>2451.8374935599995</v>
      </c>
      <c r="H26" s="45">
        <f t="shared" si="9"/>
        <v>2629.25332514</v>
      </c>
      <c r="I26" s="45">
        <f t="shared" si="9"/>
        <v>3265.2689409599998</v>
      </c>
      <c r="J26" s="45">
        <f t="shared" si="9"/>
        <v>3070.0574176999999</v>
      </c>
      <c r="K26" s="42">
        <f t="shared" si="9"/>
        <v>3107.7264442000001</v>
      </c>
      <c r="L26" s="42">
        <f t="shared" si="9"/>
        <v>3476.9200768000001</v>
      </c>
      <c r="M26" s="42">
        <f>M25*$B$26</f>
        <v>2811.008844</v>
      </c>
      <c r="N26" s="41">
        <f t="shared" si="9"/>
        <v>2237.8331668000001</v>
      </c>
      <c r="O26" s="41">
        <f t="shared" si="9"/>
        <v>4057.9945562000003</v>
      </c>
      <c r="P26" s="41">
        <f t="shared" si="9"/>
        <v>4500.9304414000007</v>
      </c>
      <c r="Q26" s="2"/>
      <c r="R26" s="2"/>
      <c r="V26" s="2"/>
      <c r="W26" s="2"/>
      <c r="X26" s="2"/>
      <c r="AB26" s="2"/>
      <c r="AC26" s="2"/>
      <c r="AD26" s="2"/>
      <c r="AH26" s="2"/>
      <c r="AI26" s="2"/>
      <c r="AJ26" s="2"/>
      <c r="AN26" s="2"/>
      <c r="AO26" s="2"/>
      <c r="AP26" s="2"/>
      <c r="AT26" s="2"/>
      <c r="AU26" s="2"/>
      <c r="AV26" s="2"/>
    </row>
    <row r="27" spans="1:48" x14ac:dyDescent="0.25">
      <c r="B27" s="7"/>
      <c r="C27" t="s">
        <v>54</v>
      </c>
      <c r="D27" s="42"/>
      <c r="E27" s="42"/>
      <c r="F27" s="42" t="s">
        <v>33</v>
      </c>
      <c r="G27" s="42">
        <f>G26+F26+E26</f>
        <v>9108.7488346399987</v>
      </c>
      <c r="H27" s="41"/>
      <c r="I27" s="41" t="s">
        <v>33</v>
      </c>
      <c r="J27" s="41">
        <f>H26+I26+J26</f>
        <v>8964.5796837999987</v>
      </c>
      <c r="K27" s="42"/>
      <c r="L27" s="42" t="s">
        <v>33</v>
      </c>
      <c r="M27" s="42">
        <f>M26+L26+K26</f>
        <v>9395.6553650000005</v>
      </c>
      <c r="N27" s="41"/>
      <c r="O27" s="41" t="s">
        <v>33</v>
      </c>
      <c r="P27" s="41">
        <f>P26+O26+N26</f>
        <v>10796.758164400002</v>
      </c>
      <c r="Q27" s="2"/>
      <c r="R27" s="2"/>
      <c r="V27" s="2"/>
      <c r="W27" s="2"/>
      <c r="X27" s="2"/>
      <c r="AB27" s="2"/>
      <c r="AC27" s="2"/>
      <c r="AD27" s="2"/>
      <c r="AH27" s="2"/>
      <c r="AI27" s="2"/>
      <c r="AJ27" s="2"/>
      <c r="AN27" s="2"/>
      <c r="AO27" s="2"/>
      <c r="AP27" s="2"/>
      <c r="AT27" s="2"/>
      <c r="AU27" s="2"/>
      <c r="AV27" s="2"/>
    </row>
    <row r="28" spans="1:48" x14ac:dyDescent="0.25">
      <c r="A28" s="6" t="s">
        <v>55</v>
      </c>
      <c r="B28" s="7"/>
      <c r="D28" s="3"/>
      <c r="E28" s="3"/>
      <c r="F28" s="3"/>
      <c r="G28" s="3"/>
      <c r="H28" s="15"/>
      <c r="I28" s="15"/>
      <c r="J28" s="15"/>
      <c r="K28" s="3"/>
      <c r="L28" s="3"/>
      <c r="M28" s="3"/>
      <c r="N28" s="15"/>
      <c r="O28" s="15"/>
      <c r="P28" s="15"/>
      <c r="Q28" s="2"/>
      <c r="R28" s="2"/>
      <c r="V28" s="2"/>
      <c r="W28" s="2"/>
      <c r="X28" s="2"/>
      <c r="AB28" s="2"/>
      <c r="AC28" s="2"/>
      <c r="AD28" s="2"/>
      <c r="AH28" s="2"/>
      <c r="AI28" s="2"/>
      <c r="AJ28" s="2"/>
      <c r="AN28" s="2"/>
      <c r="AO28" s="2"/>
      <c r="AP28" s="2"/>
      <c r="AT28" s="2"/>
      <c r="AU28" s="2"/>
      <c r="AV28" s="2"/>
    </row>
    <row r="29" spans="1:48" x14ac:dyDescent="0.25">
      <c r="A29" t="s">
        <v>37</v>
      </c>
      <c r="B29" s="7"/>
      <c r="D29" s="3">
        <f>SUM(E29:P29)</f>
        <v>1127810</v>
      </c>
      <c r="E29" s="3">
        <v>154540</v>
      </c>
      <c r="F29" s="3">
        <v>165470</v>
      </c>
      <c r="G29" s="3">
        <v>109390</v>
      </c>
      <c r="H29" s="15">
        <v>91970</v>
      </c>
      <c r="I29" s="15">
        <v>60310</v>
      </c>
      <c r="J29" s="15">
        <v>43390</v>
      </c>
      <c r="K29" s="3">
        <v>39320</v>
      </c>
      <c r="L29" s="3">
        <v>39410</v>
      </c>
      <c r="M29" s="3">
        <v>62870</v>
      </c>
      <c r="N29" s="15">
        <v>65310</v>
      </c>
      <c r="O29" s="15">
        <v>144510</v>
      </c>
      <c r="P29" s="15">
        <v>151320</v>
      </c>
      <c r="Q29" s="2"/>
      <c r="R29" s="2"/>
      <c r="V29" s="2"/>
      <c r="W29" s="2"/>
      <c r="X29" s="2"/>
      <c r="AB29" s="2"/>
      <c r="AC29" s="2"/>
      <c r="AD29" s="2"/>
      <c r="AH29" s="2"/>
      <c r="AI29" s="2"/>
      <c r="AJ29" s="2"/>
      <c r="AN29" s="2"/>
      <c r="AO29" s="2"/>
      <c r="AP29" s="2"/>
      <c r="AT29" s="2"/>
      <c r="AU29" s="2"/>
      <c r="AV29" s="2"/>
    </row>
    <row r="30" spans="1:48" x14ac:dyDescent="0.25">
      <c r="A30" t="s">
        <v>51</v>
      </c>
      <c r="B30" s="7"/>
      <c r="D30" s="20">
        <f>SUM(E30:P30)</f>
        <v>112.78100000000001</v>
      </c>
      <c r="E30" s="21">
        <v>15.454000000000001</v>
      </c>
      <c r="F30" s="21">
        <v>16.547000000000001</v>
      </c>
      <c r="G30" s="21">
        <v>10.939</v>
      </c>
      <c r="H30" s="12">
        <v>9.1969999999999992</v>
      </c>
      <c r="I30" s="12">
        <v>6.0309999999999997</v>
      </c>
      <c r="J30" s="12">
        <v>4.3390000000000004</v>
      </c>
      <c r="K30" s="4">
        <v>3.9319999999999999</v>
      </c>
      <c r="L30" s="4">
        <v>3.9409999999999998</v>
      </c>
      <c r="M30" s="4">
        <v>6.2869999999999999</v>
      </c>
      <c r="N30" s="12">
        <v>6.5309999999999997</v>
      </c>
      <c r="O30" s="37">
        <v>14.451000000000001</v>
      </c>
      <c r="P30" s="37">
        <v>15.132</v>
      </c>
      <c r="Q30" s="2"/>
      <c r="R30" s="2"/>
      <c r="V30" s="2"/>
      <c r="W30" s="2"/>
      <c r="X30" s="2"/>
      <c r="AB30" s="2"/>
      <c r="AC30" s="2"/>
      <c r="AD30" s="2"/>
      <c r="AH30" s="2"/>
      <c r="AI30" s="2"/>
      <c r="AJ30" s="2"/>
      <c r="AN30" s="2"/>
      <c r="AO30" s="2"/>
      <c r="AP30" s="2"/>
      <c r="AT30" s="2"/>
      <c r="AU30" s="2"/>
      <c r="AV30" s="2"/>
    </row>
    <row r="31" spans="1:48" x14ac:dyDescent="0.25">
      <c r="A31" t="s">
        <v>56</v>
      </c>
      <c r="B31" s="7"/>
      <c r="C31" t="s">
        <v>53</v>
      </c>
      <c r="D31" s="3">
        <f>SUM(E31:P31)</f>
        <v>101825</v>
      </c>
      <c r="E31" s="3">
        <v>15871</v>
      </c>
      <c r="F31" s="3">
        <v>16994</v>
      </c>
      <c r="G31" s="3">
        <v>11234</v>
      </c>
      <c r="H31" s="15">
        <v>9445</v>
      </c>
      <c r="I31" s="15">
        <v>6194</v>
      </c>
      <c r="J31" s="15">
        <v>4456</v>
      </c>
      <c r="K31" s="3">
        <v>4038</v>
      </c>
      <c r="L31" s="3">
        <v>4047</v>
      </c>
      <c r="M31" s="3">
        <v>6457</v>
      </c>
      <c r="N31" s="15">
        <v>6707</v>
      </c>
      <c r="O31" s="15">
        <v>14841</v>
      </c>
      <c r="P31" s="15">
        <v>1541</v>
      </c>
      <c r="Q31" s="2"/>
      <c r="R31" s="2"/>
      <c r="V31" s="2"/>
      <c r="W31" s="2"/>
      <c r="X31" s="2"/>
      <c r="AB31" s="2"/>
      <c r="AC31" s="2"/>
      <c r="AD31" s="2"/>
      <c r="AH31" s="2"/>
      <c r="AI31" s="2"/>
      <c r="AJ31" s="2"/>
      <c r="AN31" s="2"/>
      <c r="AO31" s="2"/>
      <c r="AP31" s="2"/>
      <c r="AT31" s="2"/>
      <c r="AU31" s="2"/>
      <c r="AV31" s="2"/>
    </row>
    <row r="32" spans="1:48" x14ac:dyDescent="0.25">
      <c r="A32" s="7" t="s">
        <v>22</v>
      </c>
      <c r="B32" s="47">
        <v>5.8540000000000002E-2</v>
      </c>
      <c r="C32" s="7" t="s">
        <v>16</v>
      </c>
      <c r="D32" s="43">
        <f>SUM(E32:P32)</f>
        <v>5960.8355000000001</v>
      </c>
      <c r="E32" s="43">
        <f>E31*$B$32</f>
        <v>929.08834000000002</v>
      </c>
      <c r="F32" s="43">
        <f t="shared" ref="F32:P32" si="10">F31*$B$32</f>
        <v>994.82875999999999</v>
      </c>
      <c r="G32" s="43">
        <f t="shared" si="10"/>
        <v>657.63836000000003</v>
      </c>
      <c r="H32" s="41">
        <f t="shared" si="10"/>
        <v>552.91030000000001</v>
      </c>
      <c r="I32" s="41">
        <f t="shared" si="10"/>
        <v>362.59676000000002</v>
      </c>
      <c r="J32" s="41">
        <f t="shared" si="10"/>
        <v>260.85424</v>
      </c>
      <c r="K32" s="43">
        <f t="shared" si="10"/>
        <v>236.38452000000001</v>
      </c>
      <c r="L32" s="43">
        <f t="shared" si="10"/>
        <v>236.91138000000001</v>
      </c>
      <c r="M32" s="43">
        <f t="shared" si="10"/>
        <v>377.99278000000004</v>
      </c>
      <c r="N32" s="41">
        <f t="shared" si="10"/>
        <v>392.62778000000003</v>
      </c>
      <c r="O32" s="41">
        <f t="shared" si="10"/>
        <v>868.79214000000002</v>
      </c>
      <c r="P32" s="41">
        <f t="shared" si="10"/>
        <v>90.21014000000001</v>
      </c>
      <c r="Q32" s="2"/>
      <c r="R32" s="2"/>
      <c r="V32" s="2"/>
      <c r="W32" s="2"/>
      <c r="X32" s="2"/>
      <c r="AB32" s="2"/>
      <c r="AC32" s="2"/>
      <c r="AD32" s="2"/>
      <c r="AH32" s="2"/>
      <c r="AI32" s="2"/>
      <c r="AJ32" s="2"/>
      <c r="AN32" s="2"/>
      <c r="AO32" s="2"/>
      <c r="AP32" s="2"/>
      <c r="AT32" s="2"/>
      <c r="AU32" s="2"/>
      <c r="AV32" s="2"/>
    </row>
    <row r="33" spans="1:48" x14ac:dyDescent="0.25">
      <c r="B33" s="7"/>
      <c r="D33" s="43"/>
      <c r="E33" s="43"/>
      <c r="F33" s="42" t="s">
        <v>33</v>
      </c>
      <c r="G33" s="43">
        <f>G32+F32+E32</f>
        <v>2581.55546</v>
      </c>
      <c r="H33" s="41"/>
      <c r="I33" s="41" t="s">
        <v>33</v>
      </c>
      <c r="J33" s="41">
        <f>J32+I32+H32</f>
        <v>1176.3613</v>
      </c>
      <c r="K33" s="43"/>
      <c r="L33" s="42" t="s">
        <v>33</v>
      </c>
      <c r="M33" s="43">
        <f>M32+L32+K32</f>
        <v>851.28868000000011</v>
      </c>
      <c r="N33" s="41"/>
      <c r="O33" s="41" t="s">
        <v>33</v>
      </c>
      <c r="P33" s="41">
        <f>P32+O32+N32</f>
        <v>1351.63006</v>
      </c>
      <c r="Q33" s="2"/>
      <c r="R33" s="2"/>
      <c r="V33" s="2"/>
      <c r="W33" s="2"/>
      <c r="X33" s="2"/>
      <c r="AB33" s="2"/>
      <c r="AC33" s="2"/>
      <c r="AD33" s="2"/>
      <c r="AH33" s="2"/>
      <c r="AI33" s="2"/>
      <c r="AJ33" s="2"/>
      <c r="AN33" s="2"/>
      <c r="AO33" s="2"/>
      <c r="AP33" s="2"/>
      <c r="AT33" s="2"/>
      <c r="AU33" s="2"/>
      <c r="AV33" s="2"/>
    </row>
    <row r="34" spans="1:48" x14ac:dyDescent="0.25">
      <c r="A34" s="6" t="s">
        <v>38</v>
      </c>
      <c r="B34" s="7"/>
      <c r="D34" s="3"/>
      <c r="E34" s="3"/>
      <c r="F34" s="3"/>
      <c r="G34" s="3"/>
      <c r="H34" s="15"/>
      <c r="I34" s="15"/>
      <c r="J34" s="15"/>
      <c r="K34" s="3"/>
      <c r="L34" s="3"/>
      <c r="M34" s="3"/>
      <c r="N34" s="15"/>
      <c r="O34" s="15"/>
      <c r="P34" s="15"/>
      <c r="Q34" s="2"/>
      <c r="R34" s="2"/>
      <c r="V34" s="2"/>
      <c r="W34" s="2"/>
      <c r="X34" s="2"/>
      <c r="AB34" s="2"/>
      <c r="AC34" s="2"/>
      <c r="AD34" s="2"/>
      <c r="AH34" s="2"/>
      <c r="AI34" s="2"/>
      <c r="AJ34" s="2"/>
      <c r="AN34" s="2"/>
      <c r="AO34" s="2"/>
      <c r="AP34" s="2"/>
      <c r="AT34" s="2"/>
      <c r="AU34" s="2"/>
      <c r="AV34" s="2"/>
    </row>
    <row r="35" spans="1:48" x14ac:dyDescent="0.25">
      <c r="A35" t="s">
        <v>39</v>
      </c>
      <c r="B35" s="7"/>
      <c r="D35" s="3">
        <f>G35+J35+M35+P35</f>
        <v>3861</v>
      </c>
      <c r="E35" s="3"/>
      <c r="F35" s="3"/>
      <c r="G35" s="3">
        <v>925</v>
      </c>
      <c r="H35" s="15"/>
      <c r="I35" s="15"/>
      <c r="J35" s="15">
        <v>984</v>
      </c>
      <c r="K35" s="3"/>
      <c r="L35" s="3"/>
      <c r="M35" s="3">
        <v>987</v>
      </c>
      <c r="N35" s="15"/>
      <c r="O35" s="15"/>
      <c r="P35" s="15">
        <v>965</v>
      </c>
      <c r="Q35" s="2"/>
      <c r="R35" s="2"/>
      <c r="V35" s="2"/>
      <c r="W35" s="2"/>
      <c r="X35" s="2"/>
      <c r="AB35" s="2"/>
      <c r="AC35" s="2"/>
      <c r="AD35" s="2"/>
      <c r="AH35" s="2"/>
      <c r="AI35" s="2"/>
      <c r="AJ35" s="2"/>
      <c r="AN35" s="2"/>
      <c r="AO35" s="2"/>
      <c r="AP35" s="2"/>
      <c r="AT35" s="2"/>
      <c r="AU35" s="2"/>
      <c r="AV35" s="2"/>
    </row>
    <row r="36" spans="1:48" x14ac:dyDescent="0.25">
      <c r="A36" s="7" t="s">
        <v>22</v>
      </c>
      <c r="B36" s="49">
        <v>0.58416999999999997</v>
      </c>
      <c r="C36" s="7" t="s">
        <v>65</v>
      </c>
      <c r="D36" s="43">
        <f>D35*B36</f>
        <v>2255.4803699999998</v>
      </c>
      <c r="E36" s="43"/>
      <c r="F36" s="43"/>
      <c r="G36" s="29">
        <f>G35*B36</f>
        <v>540.35725000000002</v>
      </c>
      <c r="H36" s="41"/>
      <c r="I36" s="41"/>
      <c r="J36" s="41">
        <f>J35*B36</f>
        <v>574.82327999999995</v>
      </c>
      <c r="K36" s="43"/>
      <c r="L36" s="43"/>
      <c r="M36" s="43">
        <f>M35*B36</f>
        <v>576.57578999999998</v>
      </c>
      <c r="N36" s="41"/>
      <c r="O36" s="41"/>
      <c r="P36" s="41">
        <f>P35*B36</f>
        <v>563.72404999999992</v>
      </c>
      <c r="Q36" s="2"/>
      <c r="R36" s="2"/>
      <c r="V36" s="2"/>
      <c r="W36" s="2"/>
      <c r="X36" s="2"/>
      <c r="AB36" s="2"/>
      <c r="AC36" s="2"/>
      <c r="AD36" s="2"/>
      <c r="AH36" s="2"/>
      <c r="AI36" s="2"/>
      <c r="AJ36" s="2"/>
      <c r="AN36" s="2"/>
      <c r="AO36" s="2"/>
      <c r="AP36" s="2"/>
      <c r="AT36" s="2"/>
      <c r="AU36" s="2"/>
      <c r="AV36" s="2"/>
    </row>
    <row r="37" spans="1:48" x14ac:dyDescent="0.25">
      <c r="B37" s="7"/>
      <c r="D37" s="43"/>
      <c r="E37" s="43"/>
      <c r="F37" s="42" t="s">
        <v>33</v>
      </c>
      <c r="G37" s="29">
        <v>540.35725000000002</v>
      </c>
      <c r="H37" s="41"/>
      <c r="I37" s="41" t="s">
        <v>33</v>
      </c>
      <c r="J37" s="41">
        <v>574.82327999999995</v>
      </c>
      <c r="K37" s="43"/>
      <c r="L37" s="42" t="s">
        <v>33</v>
      </c>
      <c r="M37" s="43">
        <v>576.57578999999998</v>
      </c>
      <c r="N37" s="41"/>
      <c r="O37" s="41" t="s">
        <v>33</v>
      </c>
      <c r="P37" s="41">
        <v>563.72404999999992</v>
      </c>
      <c r="Q37" s="2"/>
      <c r="R37" s="2"/>
      <c r="V37" s="2"/>
      <c r="W37" s="2"/>
      <c r="X37" s="2"/>
      <c r="AB37" s="2"/>
      <c r="AC37" s="2"/>
      <c r="AD37" s="2"/>
      <c r="AH37" s="2"/>
      <c r="AI37" s="2"/>
      <c r="AJ37" s="2"/>
      <c r="AN37" s="2"/>
      <c r="AO37" s="2"/>
      <c r="AP37" s="2"/>
      <c r="AT37" s="2"/>
      <c r="AU37" s="2"/>
      <c r="AV37" s="2"/>
    </row>
    <row r="38" spans="1:48" x14ac:dyDescent="0.25">
      <c r="A38" s="6" t="s">
        <v>57</v>
      </c>
      <c r="B38" s="7"/>
      <c r="D38" s="3"/>
      <c r="E38" s="3"/>
      <c r="F38" s="38"/>
      <c r="G38" s="11"/>
      <c r="H38" s="39"/>
      <c r="I38" s="39"/>
      <c r="J38" s="15"/>
      <c r="K38" s="38"/>
      <c r="L38" s="38"/>
      <c r="M38" s="38"/>
      <c r="N38" s="39"/>
      <c r="O38" s="39"/>
      <c r="P38" s="39"/>
      <c r="Q38" s="2"/>
      <c r="R38" s="2"/>
      <c r="V38" s="2"/>
      <c r="W38" s="2"/>
      <c r="X38" s="2"/>
      <c r="AB38" s="2"/>
      <c r="AC38" s="2"/>
      <c r="AD38" s="2"/>
      <c r="AH38" s="2"/>
      <c r="AI38" s="2"/>
      <c r="AJ38" s="2"/>
      <c r="AN38" s="2"/>
      <c r="AO38" s="2"/>
      <c r="AP38" s="2"/>
      <c r="AT38" s="2"/>
      <c r="AU38" s="2"/>
      <c r="AV38" s="2"/>
    </row>
    <row r="39" spans="1:48" x14ac:dyDescent="0.25">
      <c r="A39" t="s">
        <v>58</v>
      </c>
      <c r="B39" s="7"/>
      <c r="D39" s="3">
        <f>G39+J39+M39+P39</f>
        <v>416380000</v>
      </c>
      <c r="E39" s="3"/>
      <c r="F39" s="38"/>
      <c r="G39" s="11">
        <v>129880000</v>
      </c>
      <c r="H39" s="39"/>
      <c r="I39" s="39"/>
      <c r="J39" s="22">
        <v>88010000</v>
      </c>
      <c r="K39" s="38"/>
      <c r="L39" s="38"/>
      <c r="M39" s="38">
        <v>105010000</v>
      </c>
      <c r="N39" s="39"/>
      <c r="O39" s="39"/>
      <c r="P39" s="40">
        <v>93480000</v>
      </c>
      <c r="Q39" s="2"/>
      <c r="R39" s="2"/>
      <c r="V39" s="2"/>
      <c r="W39" s="2"/>
      <c r="X39" s="2"/>
      <c r="AB39" s="2"/>
      <c r="AC39" s="2"/>
      <c r="AD39" s="2"/>
      <c r="AH39" s="2"/>
      <c r="AI39" s="2"/>
      <c r="AJ39" s="2"/>
      <c r="AN39" s="2"/>
      <c r="AO39" s="2"/>
      <c r="AP39" s="2"/>
      <c r="AT39" s="2"/>
      <c r="AU39" s="2"/>
      <c r="AV39" s="2"/>
    </row>
    <row r="40" spans="1:48" x14ac:dyDescent="0.25">
      <c r="A40" s="7" t="s">
        <v>22</v>
      </c>
      <c r="B40" s="7">
        <v>4.0400000000000001E-4</v>
      </c>
      <c r="C40" s="7" t="s">
        <v>64</v>
      </c>
      <c r="D40" s="43">
        <f>G40+J40+M40+P40</f>
        <v>1684</v>
      </c>
      <c r="E40" s="43"/>
      <c r="F40" s="43"/>
      <c r="G40" s="29">
        <v>525</v>
      </c>
      <c r="H40" s="41"/>
      <c r="I40" s="41"/>
      <c r="J40" s="41">
        <v>356</v>
      </c>
      <c r="K40" s="43"/>
      <c r="L40" s="43"/>
      <c r="M40" s="42">
        <v>425</v>
      </c>
      <c r="N40" s="41"/>
      <c r="O40" s="41"/>
      <c r="P40" s="41">
        <v>378</v>
      </c>
      <c r="Q40" s="2"/>
      <c r="R40" s="2"/>
      <c r="V40" s="2"/>
      <c r="W40" s="2"/>
      <c r="X40" s="2"/>
      <c r="AB40" s="2"/>
      <c r="AC40" s="2"/>
      <c r="AD40" s="2"/>
      <c r="AH40" s="2"/>
      <c r="AI40" s="2"/>
      <c r="AJ40" s="2"/>
      <c r="AN40" s="2"/>
      <c r="AO40" s="2"/>
      <c r="AP40" s="2"/>
      <c r="AT40" s="2"/>
      <c r="AU40" s="2"/>
      <c r="AV40" s="2"/>
    </row>
    <row r="41" spans="1:48" x14ac:dyDescent="0.25">
      <c r="B41" s="7"/>
      <c r="D41" s="3"/>
      <c r="E41" s="3"/>
      <c r="F41" s="42" t="s">
        <v>33</v>
      </c>
      <c r="G41" s="29">
        <v>525</v>
      </c>
      <c r="H41" s="41"/>
      <c r="I41" s="41" t="s">
        <v>33</v>
      </c>
      <c r="J41" s="41">
        <v>356</v>
      </c>
      <c r="K41" s="43"/>
      <c r="L41" s="42" t="s">
        <v>33</v>
      </c>
      <c r="M41" s="42">
        <v>425</v>
      </c>
      <c r="N41" s="41"/>
      <c r="O41" s="41" t="s">
        <v>33</v>
      </c>
      <c r="P41" s="41">
        <v>378</v>
      </c>
      <c r="Q41" s="2"/>
      <c r="R41" s="2"/>
      <c r="V41" s="2"/>
      <c r="W41" s="2"/>
      <c r="X41" s="2"/>
      <c r="AB41" s="2"/>
      <c r="AC41" s="2"/>
      <c r="AD41" s="2"/>
      <c r="AH41" s="2"/>
      <c r="AI41" s="2"/>
      <c r="AJ41" s="2"/>
      <c r="AN41" s="2"/>
      <c r="AO41" s="2"/>
      <c r="AP41" s="2"/>
      <c r="AT41" s="2"/>
      <c r="AU41" s="2"/>
      <c r="AV41" s="2"/>
    </row>
    <row r="42" spans="1:48" x14ac:dyDescent="0.25">
      <c r="A42" t="s">
        <v>59</v>
      </c>
      <c r="B42" s="7"/>
      <c r="D42" s="3">
        <f>G42+J42+M42+P42</f>
        <v>467801000</v>
      </c>
      <c r="E42" s="3"/>
      <c r="F42" s="3"/>
      <c r="G42" s="11">
        <v>121089870</v>
      </c>
      <c r="H42" s="15"/>
      <c r="I42" s="15"/>
      <c r="J42" s="22">
        <v>114613350</v>
      </c>
      <c r="K42" s="3"/>
      <c r="L42" s="3"/>
      <c r="M42" s="38">
        <v>127244350</v>
      </c>
      <c r="N42" s="15"/>
      <c r="O42" s="15"/>
      <c r="P42" s="22">
        <v>104853430</v>
      </c>
      <c r="Q42" s="2"/>
      <c r="R42" s="2"/>
    </row>
    <row r="43" spans="1:48" x14ac:dyDescent="0.25">
      <c r="A43" s="7" t="s">
        <v>22</v>
      </c>
      <c r="B43" s="7">
        <v>4.3800000000000002E-3</v>
      </c>
      <c r="C43" s="7" t="s">
        <v>64</v>
      </c>
      <c r="D43" s="43">
        <f>G43+J43+M43+P43</f>
        <v>2051</v>
      </c>
      <c r="E43" s="43"/>
      <c r="F43" s="43"/>
      <c r="G43" s="42">
        <v>531</v>
      </c>
      <c r="H43" s="41"/>
      <c r="I43" s="41"/>
      <c r="J43" s="41">
        <v>502</v>
      </c>
      <c r="K43" s="43"/>
      <c r="L43" s="43"/>
      <c r="M43" s="43">
        <v>558</v>
      </c>
      <c r="N43" s="41"/>
      <c r="O43" s="41"/>
      <c r="P43" s="41">
        <v>460</v>
      </c>
    </row>
    <row r="44" spans="1:48" x14ac:dyDescent="0.25">
      <c r="B44" s="7"/>
      <c r="D44" s="43"/>
      <c r="E44" s="43"/>
      <c r="F44" s="42" t="s">
        <v>33</v>
      </c>
      <c r="G44" s="42">
        <f>G43</f>
        <v>531</v>
      </c>
      <c r="H44" s="41"/>
      <c r="I44" s="41" t="s">
        <v>33</v>
      </c>
      <c r="J44" s="41">
        <f>J43</f>
        <v>502</v>
      </c>
      <c r="K44" s="43"/>
      <c r="L44" s="42" t="s">
        <v>33</v>
      </c>
      <c r="M44" s="43">
        <f>M43</f>
        <v>558</v>
      </c>
      <c r="N44" s="41"/>
      <c r="O44" s="41" t="s">
        <v>33</v>
      </c>
      <c r="P44" s="41">
        <f>P43</f>
        <v>460</v>
      </c>
    </row>
    <row r="45" spans="1:48" x14ac:dyDescent="0.25">
      <c r="A45" s="6" t="s">
        <v>60</v>
      </c>
      <c r="B45" s="7"/>
      <c r="G45" s="11"/>
      <c r="H45" s="13"/>
      <c r="I45" s="13"/>
      <c r="J45" s="13"/>
      <c r="N45" s="13"/>
      <c r="O45" s="13"/>
      <c r="P45" s="13"/>
    </row>
    <row r="46" spans="1:48" x14ac:dyDescent="0.25">
      <c r="A46" t="s">
        <v>41</v>
      </c>
      <c r="B46" s="7"/>
      <c r="D46" s="3">
        <f>G46+J46+M46+P46</f>
        <v>1759999.1271096482</v>
      </c>
      <c r="G46" s="38">
        <v>448789.56373267632</v>
      </c>
      <c r="H46" s="13"/>
      <c r="I46" s="13"/>
      <c r="J46" s="22">
        <v>456786.56337697181</v>
      </c>
      <c r="M46" s="38">
        <v>431210</v>
      </c>
      <c r="N46" s="13"/>
      <c r="O46" s="13"/>
      <c r="P46" s="39">
        <v>423213</v>
      </c>
    </row>
    <row r="47" spans="1:48" x14ac:dyDescent="0.25">
      <c r="A47" s="7" t="s">
        <v>22</v>
      </c>
      <c r="B47" s="7">
        <v>9.7800000000000005E-3</v>
      </c>
      <c r="C47" s="7" t="s">
        <v>42</v>
      </c>
      <c r="D47" s="43">
        <f>G47+J47+M47+P47</f>
        <v>17212.791463132358</v>
      </c>
      <c r="E47" s="7"/>
      <c r="F47" s="7"/>
      <c r="G47" s="63">
        <f>G46*B47</f>
        <v>4389.1619333055751</v>
      </c>
      <c r="H47" s="64"/>
      <c r="I47" s="64"/>
      <c r="J47" s="65">
        <f>J46*B47</f>
        <v>4467.3725898267849</v>
      </c>
      <c r="K47" s="63" t="s">
        <v>0</v>
      </c>
      <c r="L47" s="63"/>
      <c r="M47" s="63">
        <f>M46*B47</f>
        <v>4217.2338</v>
      </c>
      <c r="N47" s="65"/>
      <c r="O47" s="65"/>
      <c r="P47" s="65">
        <f>P46*B47</f>
        <v>4139.0231400000002</v>
      </c>
    </row>
    <row r="48" spans="1:48" x14ac:dyDescent="0.25">
      <c r="B48" s="7"/>
      <c r="D48" s="7"/>
      <c r="E48" s="7"/>
      <c r="F48" s="42" t="s">
        <v>33</v>
      </c>
      <c r="G48" s="63">
        <f>G47</f>
        <v>4389.1619333055751</v>
      </c>
      <c r="H48" s="64"/>
      <c r="I48" s="65" t="s">
        <v>33</v>
      </c>
      <c r="J48" s="65">
        <f>J47</f>
        <v>4467.3725898267849</v>
      </c>
      <c r="K48" s="63"/>
      <c r="L48" s="66" t="s">
        <v>33</v>
      </c>
      <c r="M48" s="63">
        <f>M47</f>
        <v>4217.2338</v>
      </c>
      <c r="N48" s="65"/>
      <c r="O48" s="65" t="s">
        <v>33</v>
      </c>
      <c r="P48" s="65">
        <f>P47</f>
        <v>4139.0231400000002</v>
      </c>
    </row>
    <row r="49" spans="1:16" x14ac:dyDescent="0.25">
      <c r="A49" s="6" t="s">
        <v>43</v>
      </c>
      <c r="B49" s="7"/>
      <c r="H49" s="13"/>
      <c r="I49" s="13"/>
      <c r="J49" s="13"/>
      <c r="N49" s="13"/>
      <c r="O49" s="13"/>
      <c r="P49" s="13"/>
    </row>
    <row r="50" spans="1:16" x14ac:dyDescent="0.25">
      <c r="A50" t="s">
        <v>61</v>
      </c>
      <c r="B50" s="7"/>
      <c r="D50" s="32">
        <f>G50+J50+M50+P50</f>
        <v>286297</v>
      </c>
      <c r="G50" s="32">
        <v>67635</v>
      </c>
      <c r="H50" s="33"/>
      <c r="I50" s="33"/>
      <c r="J50" s="50">
        <v>69353</v>
      </c>
      <c r="K50" s="32"/>
      <c r="L50" s="32"/>
      <c r="M50" s="32">
        <v>85188</v>
      </c>
      <c r="N50" s="33"/>
      <c r="O50" s="33"/>
      <c r="P50" s="50">
        <v>64121</v>
      </c>
    </row>
    <row r="51" spans="1:16" x14ac:dyDescent="0.25">
      <c r="A51" s="7" t="s">
        <v>22</v>
      </c>
      <c r="B51" s="7">
        <v>1.2E-2</v>
      </c>
      <c r="C51" s="7" t="s">
        <v>42</v>
      </c>
      <c r="D51" s="51">
        <f>G51+J51+M51+P51</f>
        <v>2899</v>
      </c>
      <c r="E51" s="7"/>
      <c r="F51" s="7"/>
      <c r="G51" s="51">
        <f>559+126</f>
        <v>685</v>
      </c>
      <c r="H51" s="52"/>
      <c r="I51" s="52"/>
      <c r="J51" s="52">
        <f>125+576</f>
        <v>701</v>
      </c>
      <c r="K51" s="51"/>
      <c r="L51" s="51"/>
      <c r="M51" s="51">
        <f>697+167</f>
        <v>864</v>
      </c>
      <c r="N51" s="52"/>
      <c r="O51" s="52"/>
      <c r="P51" s="52">
        <f>529+120</f>
        <v>649</v>
      </c>
    </row>
    <row r="52" spans="1:16" x14ac:dyDescent="0.25">
      <c r="B52" s="7"/>
      <c r="C52" s="7"/>
      <c r="D52" s="7"/>
      <c r="E52" s="7"/>
      <c r="F52" s="42" t="s">
        <v>33</v>
      </c>
      <c r="G52" s="51">
        <f>G51</f>
        <v>685</v>
      </c>
      <c r="H52" s="14"/>
      <c r="I52" s="41" t="s">
        <v>33</v>
      </c>
      <c r="J52" s="52">
        <f>J51</f>
        <v>701</v>
      </c>
      <c r="K52" s="7"/>
      <c r="L52" s="42" t="s">
        <v>33</v>
      </c>
      <c r="M52" s="51">
        <f>M51</f>
        <v>864</v>
      </c>
      <c r="N52" s="14"/>
      <c r="O52" s="41" t="s">
        <v>33</v>
      </c>
      <c r="P52" s="52">
        <f>P51</f>
        <v>649</v>
      </c>
    </row>
    <row r="53" spans="1:16" x14ac:dyDescent="0.25">
      <c r="A53" s="6" t="s">
        <v>62</v>
      </c>
      <c r="B53" s="7"/>
      <c r="H53" s="13"/>
      <c r="I53" s="13"/>
      <c r="J53" s="13"/>
      <c r="N53" s="13"/>
      <c r="O53" s="13"/>
      <c r="P53" s="13"/>
    </row>
    <row r="54" spans="1:16" x14ac:dyDescent="0.25">
      <c r="A54" t="s">
        <v>63</v>
      </c>
      <c r="B54" s="7"/>
      <c r="D54">
        <f>G54+J54+M54+P54</f>
        <v>144077</v>
      </c>
      <c r="G54">
        <v>40634</v>
      </c>
      <c r="H54" s="13"/>
      <c r="I54" s="13"/>
      <c r="J54" s="13">
        <v>34587</v>
      </c>
      <c r="M54">
        <v>33553</v>
      </c>
      <c r="N54" s="13"/>
      <c r="O54" s="13"/>
      <c r="P54" s="13">
        <v>35303</v>
      </c>
    </row>
    <row r="55" spans="1:16" x14ac:dyDescent="0.25">
      <c r="A55" s="7" t="s">
        <v>22</v>
      </c>
      <c r="B55" s="7">
        <v>1.055E-2</v>
      </c>
      <c r="C55" s="7" t="s">
        <v>42</v>
      </c>
      <c r="D55" s="56">
        <f>G55+J55+M55+P55</f>
        <v>1520.0123500000002</v>
      </c>
      <c r="E55" s="56"/>
      <c r="F55" s="56"/>
      <c r="G55" s="56">
        <f>G54*B55</f>
        <v>428.68870000000004</v>
      </c>
      <c r="H55" s="57"/>
      <c r="I55" s="57"/>
      <c r="J55" s="57">
        <f>J54*B55</f>
        <v>364.89285000000001</v>
      </c>
      <c r="K55" s="56"/>
      <c r="L55" s="56"/>
      <c r="M55" s="56">
        <f>M54*B55</f>
        <v>353.98415</v>
      </c>
      <c r="N55" s="57"/>
      <c r="O55" s="57"/>
      <c r="P55" s="57">
        <f>P54*B55</f>
        <v>372.44665000000003</v>
      </c>
    </row>
    <row r="56" spans="1:16" x14ac:dyDescent="0.25">
      <c r="C56" s="7"/>
      <c r="D56" s="56"/>
      <c r="E56" s="56"/>
      <c r="F56" s="58" t="s">
        <v>33</v>
      </c>
      <c r="G56" s="59">
        <f>G55</f>
        <v>428.68870000000004</v>
      </c>
      <c r="H56" s="57"/>
      <c r="I56" s="57" t="s">
        <v>33</v>
      </c>
      <c r="J56" s="57">
        <f>J55</f>
        <v>364.89285000000001</v>
      </c>
      <c r="K56" s="56"/>
      <c r="L56" s="58" t="s">
        <v>33</v>
      </c>
      <c r="M56" s="56">
        <f>M55</f>
        <v>353.98415</v>
      </c>
      <c r="N56" s="57"/>
      <c r="O56" s="57" t="s">
        <v>33</v>
      </c>
      <c r="P56" s="57">
        <f>P55</f>
        <v>372.44665000000003</v>
      </c>
    </row>
    <row r="58" spans="1:16" x14ac:dyDescent="0.25">
      <c r="A58" s="6" t="s">
        <v>66</v>
      </c>
      <c r="B58" s="38"/>
      <c r="C58" s="5"/>
    </row>
    <row r="59" spans="1:16" x14ac:dyDescent="0.25">
      <c r="A59" s="7" t="s">
        <v>22</v>
      </c>
      <c r="B59" s="42">
        <f>D9</f>
        <v>147620.57676</v>
      </c>
      <c r="C59" s="54">
        <f>B59/B80</f>
        <v>0.52423230041515834</v>
      </c>
      <c r="E59" s="3"/>
    </row>
    <row r="60" spans="1:16" x14ac:dyDescent="0.25">
      <c r="A60" s="6" t="s">
        <v>18</v>
      </c>
      <c r="B60" s="38"/>
      <c r="C60" s="5"/>
      <c r="E60" s="3"/>
    </row>
    <row r="61" spans="1:16" x14ac:dyDescent="0.25">
      <c r="A61" s="7" t="s">
        <v>22</v>
      </c>
      <c r="B61" s="42">
        <f>D15</f>
        <v>61411.696250000001</v>
      </c>
      <c r="C61" s="54">
        <f>B61/B80</f>
        <v>0.21808609276656002</v>
      </c>
      <c r="E61" s="3"/>
    </row>
    <row r="62" spans="1:16" x14ac:dyDescent="0.25">
      <c r="A62" s="6" t="s">
        <v>34</v>
      </c>
      <c r="B62" s="38"/>
      <c r="C62" s="54"/>
    </row>
    <row r="63" spans="1:16" x14ac:dyDescent="0.25">
      <c r="A63" s="7" t="s">
        <v>22</v>
      </c>
      <c r="B63" s="42">
        <f>D26</f>
        <v>38265.742047840002</v>
      </c>
      <c r="C63" s="54">
        <f>B63/B80</f>
        <v>0.13588984964776138</v>
      </c>
    </row>
    <row r="64" spans="1:16" x14ac:dyDescent="0.25">
      <c r="A64" s="6" t="s">
        <v>67</v>
      </c>
      <c r="B64" s="38"/>
      <c r="C64" s="54"/>
    </row>
    <row r="65" spans="1:6" x14ac:dyDescent="0.25">
      <c r="A65" s="7" t="s">
        <v>22</v>
      </c>
      <c r="B65" s="42">
        <f>D47</f>
        <v>17212.791463132358</v>
      </c>
      <c r="C65" s="54">
        <f>B65/B80</f>
        <v>6.1126310866232353E-2</v>
      </c>
    </row>
    <row r="66" spans="1:6" x14ac:dyDescent="0.25">
      <c r="A66" s="6" t="s">
        <v>36</v>
      </c>
      <c r="B66" s="38"/>
      <c r="C66" s="54"/>
    </row>
    <row r="67" spans="1:6" x14ac:dyDescent="0.25">
      <c r="A67" s="7" t="s">
        <v>22</v>
      </c>
      <c r="B67" s="42">
        <f>D32</f>
        <v>5960.8355000000001</v>
      </c>
      <c r="C67" s="54">
        <f>B67/B80</f>
        <v>2.1168204156536453E-2</v>
      </c>
    </row>
    <row r="68" spans="1:6" x14ac:dyDescent="0.25">
      <c r="A68" s="6" t="s">
        <v>43</v>
      </c>
      <c r="B68" s="38"/>
      <c r="C68" s="54"/>
    </row>
    <row r="69" spans="1:6" x14ac:dyDescent="0.25">
      <c r="A69" s="7" t="s">
        <v>22</v>
      </c>
      <c r="B69" s="42">
        <f>D51</f>
        <v>2899</v>
      </c>
      <c r="C69" s="54">
        <f>B69/B80</f>
        <v>1.029497020171068E-2</v>
      </c>
    </row>
    <row r="70" spans="1:6" x14ac:dyDescent="0.25">
      <c r="A70" s="6" t="s">
        <v>38</v>
      </c>
      <c r="B70" s="38"/>
      <c r="C70" s="54"/>
    </row>
    <row r="71" spans="1:6" x14ac:dyDescent="0.25">
      <c r="A71" s="7" t="s">
        <v>22</v>
      </c>
      <c r="B71" s="42">
        <f>D36</f>
        <v>2255.4803699999998</v>
      </c>
      <c r="C71" s="54">
        <f>B71/B80</f>
        <v>8.0096941013085114E-3</v>
      </c>
    </row>
    <row r="72" spans="1:6" x14ac:dyDescent="0.25">
      <c r="A72" s="6" t="s">
        <v>24</v>
      </c>
      <c r="B72" s="38"/>
      <c r="C72" s="54"/>
    </row>
    <row r="73" spans="1:6" x14ac:dyDescent="0.25">
      <c r="A73" s="7" t="s">
        <v>22</v>
      </c>
      <c r="B73" s="42">
        <f>D20</f>
        <v>2232.6989800000001</v>
      </c>
      <c r="C73" s="54">
        <f>B73/B80</f>
        <v>7.9287925037909036E-3</v>
      </c>
      <c r="D73" s="2"/>
      <c r="E73" s="2"/>
      <c r="F73" s="2"/>
    </row>
    <row r="74" spans="1:6" x14ac:dyDescent="0.25">
      <c r="A74" s="6" t="s">
        <v>68</v>
      </c>
      <c r="B74" s="38"/>
      <c r="C74" s="54"/>
    </row>
    <row r="75" spans="1:6" x14ac:dyDescent="0.25">
      <c r="A75" s="7" t="s">
        <v>22</v>
      </c>
      <c r="B75" s="42">
        <f>D43</f>
        <v>2051</v>
      </c>
      <c r="C75" s="54">
        <f>B75/B80</f>
        <v>7.283540491103347E-3</v>
      </c>
    </row>
    <row r="76" spans="1:6" x14ac:dyDescent="0.25">
      <c r="A76" s="6" t="s">
        <v>40</v>
      </c>
      <c r="B76" s="60"/>
      <c r="C76" s="61"/>
    </row>
    <row r="77" spans="1:6" x14ac:dyDescent="0.25">
      <c r="A77" s="7" t="s">
        <v>22</v>
      </c>
      <c r="B77" s="62">
        <f>D40</f>
        <v>1684</v>
      </c>
      <c r="C77" s="61">
        <f>B77/B80</f>
        <v>5.980244849838146E-3</v>
      </c>
    </row>
    <row r="78" spans="1:6" x14ac:dyDescent="0.25">
      <c r="A78" s="6" t="s">
        <v>44</v>
      </c>
      <c r="B78" s="60"/>
      <c r="C78" s="61"/>
    </row>
    <row r="79" spans="1:6" ht="15.75" thickBot="1" x14ac:dyDescent="0.3">
      <c r="A79" s="7" t="s">
        <v>22</v>
      </c>
      <c r="B79" s="62">
        <f>D55</f>
        <v>1520.0123500000002</v>
      </c>
      <c r="C79" s="61">
        <f>B79/B80</f>
        <v>5.3978895651887642E-3</v>
      </c>
    </row>
    <row r="80" spans="1:6" x14ac:dyDescent="0.25">
      <c r="B80" s="53">
        <f>SUM(B59:B77)</f>
        <v>281593.82137097232</v>
      </c>
      <c r="C80" s="55">
        <f>SUM(C59:C77)</f>
        <v>1</v>
      </c>
      <c r="F80" s="4"/>
    </row>
    <row r="81" spans="1:7" x14ac:dyDescent="0.25">
      <c r="B81" s="7"/>
    </row>
    <row r="82" spans="1:7" x14ac:dyDescent="0.25">
      <c r="A82" s="6" t="s">
        <v>69</v>
      </c>
      <c r="B82" s="43">
        <f>B61+B63+B67+B69+B73+B79</f>
        <v>112289.98512784002</v>
      </c>
      <c r="C82" t="s">
        <v>47</v>
      </c>
      <c r="E82" t="s">
        <v>45</v>
      </c>
      <c r="F82" s="4">
        <v>662766</v>
      </c>
      <c r="G82" t="s">
        <v>46</v>
      </c>
    </row>
    <row r="83" spans="1:7" x14ac:dyDescent="0.25">
      <c r="A83" s="6" t="s">
        <v>70</v>
      </c>
      <c r="B83" s="43">
        <f>B82*0.907185</f>
        <v>101867.79015819955</v>
      </c>
      <c r="C83" t="s">
        <v>74</v>
      </c>
      <c r="E83" t="s">
        <v>75</v>
      </c>
      <c r="F83" s="34">
        <v>599139</v>
      </c>
      <c r="G83" t="s">
        <v>46</v>
      </c>
    </row>
    <row r="84" spans="1:7" x14ac:dyDescent="0.25">
      <c r="B84" s="7"/>
      <c r="E84" t="s">
        <v>76</v>
      </c>
      <c r="F84" s="34">
        <v>27086</v>
      </c>
      <c r="G84" t="s">
        <v>46</v>
      </c>
    </row>
    <row r="85" spans="1:7" x14ac:dyDescent="0.25">
      <c r="A85" s="6" t="s">
        <v>71</v>
      </c>
      <c r="B85" s="43">
        <f>B59</f>
        <v>147620.57676</v>
      </c>
      <c r="C85" t="s">
        <v>47</v>
      </c>
      <c r="E85" t="s">
        <v>49</v>
      </c>
      <c r="F85" s="34">
        <v>653668</v>
      </c>
      <c r="G85" t="s">
        <v>46</v>
      </c>
    </row>
    <row r="86" spans="1:7" x14ac:dyDescent="0.25">
      <c r="A86" s="6" t="s">
        <v>72</v>
      </c>
      <c r="B86" s="43">
        <f>0.907185*B85</f>
        <v>133919.17292802059</v>
      </c>
      <c r="C86" t="s">
        <v>48</v>
      </c>
      <c r="E86" t="s">
        <v>77</v>
      </c>
      <c r="F86" s="34">
        <v>112781</v>
      </c>
      <c r="G86" t="s">
        <v>46</v>
      </c>
    </row>
    <row r="87" spans="1:7" x14ac:dyDescent="0.25">
      <c r="B87" s="7"/>
    </row>
    <row r="88" spans="1:7" x14ac:dyDescent="0.25">
      <c r="A88" s="6" t="s">
        <v>73</v>
      </c>
      <c r="B88" s="43">
        <f>B82+B85</f>
        <v>259910.56188784001</v>
      </c>
      <c r="C88" t="s">
        <v>47</v>
      </c>
    </row>
    <row r="89" spans="1:7" x14ac:dyDescent="0.25">
      <c r="A89" s="6" t="s">
        <v>73</v>
      </c>
      <c r="B89" s="43">
        <f>B83+B86</f>
        <v>235786.96308622014</v>
      </c>
      <c r="C89" t="s">
        <v>74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Mowrey</dc:creator>
  <cp:lastModifiedBy>Ryan Mowrey</cp:lastModifiedBy>
  <cp:lastPrinted>2017-12-06T19:53:17Z</cp:lastPrinted>
  <dcterms:created xsi:type="dcterms:W3CDTF">2017-02-27T13:52:37Z</dcterms:created>
  <dcterms:modified xsi:type="dcterms:W3CDTF">2017-12-06T20:29:15Z</dcterms:modified>
</cp:coreProperties>
</file>