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C:\Users\mhard\Desktop\"/>
    </mc:Choice>
  </mc:AlternateContent>
  <bookViews>
    <workbookView xWindow="0" yWindow="0" windowWidth="10215" windowHeight="7380"/>
  </bookViews>
  <sheets>
    <sheet name="CCAP Baseline PNB GHG Method" sheetId="4" r:id="rId1"/>
    <sheet name="3 Most Recent Years" sheetId="1" r:id="rId2"/>
    <sheet name="Baseline Years" sheetId="2" r:id="rId3"/>
    <sheet name="SCOPES 1 &amp; 2" sheetId="3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9" i="4" l="1"/>
  <c r="I74" i="4"/>
  <c r="H72" i="4"/>
  <c r="L70" i="4"/>
  <c r="K70" i="4"/>
  <c r="J70" i="4"/>
  <c r="I70" i="4"/>
  <c r="L69" i="4"/>
  <c r="K69" i="4"/>
  <c r="J69" i="4"/>
  <c r="I69" i="4"/>
  <c r="J13" i="4"/>
  <c r="I14" i="4"/>
  <c r="J14" i="4" s="1"/>
  <c r="K14" i="4"/>
  <c r="L14" i="4" s="1"/>
  <c r="L13" i="4"/>
  <c r="L12" i="4"/>
  <c r="K12" i="4"/>
  <c r="J12" i="4"/>
  <c r="I12" i="4"/>
  <c r="H69" i="4" l="1"/>
  <c r="D70" i="4"/>
  <c r="F70" i="4" s="1"/>
  <c r="D69" i="4"/>
  <c r="F69" i="4" s="1"/>
  <c r="D77" i="4"/>
  <c r="F77" i="4" s="1"/>
  <c r="H77" i="4" s="1"/>
  <c r="M77" i="4" s="1"/>
  <c r="D75" i="4"/>
  <c r="H75" i="4" s="1"/>
  <c r="D74" i="4"/>
  <c r="F74" i="4" s="1"/>
  <c r="K74" i="4" s="1"/>
  <c r="L74" i="4" s="1"/>
  <c r="F75" i="4"/>
  <c r="K75" i="4" s="1"/>
  <c r="L75" i="4" s="1"/>
  <c r="H74" i="4"/>
  <c r="H70" i="4" l="1"/>
  <c r="M70" i="4" s="1"/>
  <c r="J74" i="4"/>
  <c r="M74" i="4" s="1"/>
  <c r="I75" i="4"/>
  <c r="J75" i="4" s="1"/>
  <c r="M75" i="4" s="1"/>
  <c r="I72" i="4" l="1"/>
  <c r="K72" i="4"/>
  <c r="L72" i="4"/>
  <c r="J72" i="4"/>
  <c r="D21" i="4"/>
  <c r="F21" i="4" s="1"/>
  <c r="H21" i="4" l="1"/>
  <c r="M21" i="4" s="1"/>
  <c r="M69" i="4"/>
  <c r="M72" i="4" s="1"/>
  <c r="D19" i="4"/>
  <c r="D18" i="4"/>
  <c r="G49" i="4"/>
  <c r="M49" i="4"/>
  <c r="G50" i="4"/>
  <c r="H50" i="4"/>
  <c r="J50" i="4"/>
  <c r="L50" i="4"/>
  <c r="M50" i="4"/>
  <c r="G51" i="4"/>
  <c r="H51" i="4"/>
  <c r="J51" i="4"/>
  <c r="L51" i="4"/>
  <c r="M51" i="4"/>
  <c r="G53" i="4"/>
  <c r="M53" i="4" s="1"/>
  <c r="D55" i="4"/>
  <c r="G58" i="4"/>
  <c r="M58" i="4" s="1"/>
  <c r="H58" i="4" s="1"/>
  <c r="H19" i="4" l="1"/>
  <c r="F19" i="4"/>
  <c r="F18" i="4"/>
  <c r="H18" i="4"/>
  <c r="G54" i="4"/>
  <c r="M54" i="4" s="1"/>
  <c r="H54" i="4" s="1"/>
  <c r="G57" i="4"/>
  <c r="M57" i="4" s="1"/>
  <c r="H57" i="4" s="1"/>
  <c r="H53" i="4"/>
  <c r="K19" i="4" l="1"/>
  <c r="L19" i="4" s="1"/>
  <c r="I19" i="4"/>
  <c r="J19" i="4" s="1"/>
  <c r="M19" i="4" s="1"/>
  <c r="I18" i="4"/>
  <c r="J18" i="4" s="1"/>
  <c r="K18" i="4"/>
  <c r="L18" i="4" s="1"/>
  <c r="M55" i="4"/>
  <c r="M56" i="4" s="1"/>
  <c r="G55" i="4"/>
  <c r="M18" i="4" l="1"/>
  <c r="H55" i="4"/>
  <c r="M60" i="4"/>
  <c r="M59" i="4"/>
  <c r="N67" i="2" l="1"/>
  <c r="N66" i="2"/>
  <c r="D14" i="4"/>
  <c r="F14" i="4" s="1"/>
  <c r="H14" i="4" s="1"/>
  <c r="D13" i="4"/>
  <c r="H13" i="4" s="1"/>
  <c r="D12" i="4"/>
  <c r="H12" i="4" s="1"/>
  <c r="F15" i="4"/>
  <c r="F13" i="4" l="1"/>
  <c r="K13" i="4" s="1"/>
  <c r="F12" i="4"/>
  <c r="K15" i="4"/>
  <c r="L15" i="4" s="1"/>
  <c r="I15" i="4"/>
  <c r="H15" i="4"/>
  <c r="H16" i="4"/>
  <c r="I13" i="4" l="1"/>
  <c r="M13" i="4" s="1"/>
  <c r="J15" i="4"/>
  <c r="M15" i="4" s="1"/>
  <c r="K16" i="4"/>
  <c r="M14" i="4"/>
  <c r="I16" i="4" l="1"/>
  <c r="J16" i="4"/>
  <c r="L16" i="4"/>
  <c r="M12" i="4"/>
  <c r="M16" i="4" s="1"/>
  <c r="M23" i="4" s="1"/>
  <c r="C56" i="3"/>
  <c r="C55" i="3"/>
  <c r="C40" i="3"/>
  <c r="C39" i="3"/>
  <c r="C37" i="3"/>
  <c r="C36" i="3"/>
  <c r="C25" i="3"/>
  <c r="C24" i="3"/>
  <c r="C22" i="3"/>
  <c r="F9" i="3"/>
  <c r="F7" i="3"/>
  <c r="C10" i="3"/>
  <c r="C9" i="3"/>
  <c r="C7" i="3"/>
  <c r="C6" i="3"/>
  <c r="D60" i="3" l="1"/>
  <c r="C60" i="3"/>
  <c r="B60" i="3"/>
  <c r="A60" i="3"/>
  <c r="D53" i="3"/>
  <c r="B53" i="3"/>
  <c r="C53" i="3"/>
  <c r="A53" i="3"/>
  <c r="D52" i="3"/>
  <c r="C52" i="3"/>
  <c r="B52" i="3"/>
  <c r="A52" i="3"/>
  <c r="D51" i="3"/>
  <c r="C51" i="3"/>
  <c r="B51" i="3"/>
  <c r="A51" i="3"/>
  <c r="B14" i="3" l="1"/>
  <c r="E44" i="3"/>
  <c r="D44" i="3"/>
  <c r="C44" i="3"/>
  <c r="B44" i="3"/>
  <c r="A44" i="3"/>
  <c r="D29" i="3"/>
  <c r="B29" i="3"/>
  <c r="A29" i="3"/>
  <c r="F15" i="3"/>
  <c r="F14" i="3"/>
  <c r="D14" i="3"/>
  <c r="C14" i="3"/>
  <c r="A14" i="3"/>
  <c r="J9" i="3" l="1"/>
  <c r="J7" i="3"/>
  <c r="C57" i="2" l="1"/>
  <c r="C57" i="3" s="1"/>
  <c r="C58" i="3" s="1"/>
  <c r="C40" i="2"/>
  <c r="G34" i="2"/>
  <c r="I68" i="2" s="1"/>
  <c r="C25" i="2"/>
  <c r="G19" i="2"/>
  <c r="H68" i="2" s="1"/>
  <c r="F19" i="2"/>
  <c r="J19" i="2" s="1"/>
  <c r="I4" i="2"/>
  <c r="J4" i="2"/>
  <c r="C10" i="2"/>
  <c r="F49" i="1"/>
  <c r="I36" i="2" s="1"/>
  <c r="F48" i="1"/>
  <c r="H4" i="2" s="1"/>
  <c r="F47" i="1"/>
  <c r="G51" i="2" s="1"/>
  <c r="F13" i="2"/>
  <c r="F28" i="2" s="1"/>
  <c r="F43" i="2" s="1"/>
  <c r="F60" i="2" s="1"/>
  <c r="G91" i="2" l="1"/>
  <c r="J68" i="2"/>
  <c r="G51" i="3"/>
  <c r="H19" i="2"/>
  <c r="H34" i="2"/>
  <c r="I51" i="2"/>
  <c r="I51" i="3" s="1"/>
  <c r="H51" i="2"/>
  <c r="H51" i="3" s="1"/>
  <c r="J60" i="2"/>
  <c r="G60" i="2" s="1"/>
  <c r="E61" i="3"/>
  <c r="G4" i="2"/>
  <c r="G68" i="2" s="1"/>
  <c r="I19" i="2"/>
  <c r="I34" i="2"/>
  <c r="J43" i="2"/>
  <c r="G43" i="2" s="1"/>
  <c r="I73" i="2" s="1"/>
  <c r="G13" i="2"/>
  <c r="G73" i="2" s="1"/>
  <c r="G28" i="2"/>
  <c r="H73" i="2" s="1"/>
  <c r="F34" i="2"/>
  <c r="F51" i="2" s="1"/>
  <c r="F51" i="3" s="1"/>
  <c r="D61" i="1"/>
  <c r="G13" i="1"/>
  <c r="J13" i="1"/>
  <c r="F27" i="1"/>
  <c r="F26" i="1"/>
  <c r="E29" i="3" s="1"/>
  <c r="J40" i="1"/>
  <c r="F41" i="1" l="1"/>
  <c r="E30" i="3"/>
  <c r="J27" i="1"/>
  <c r="G40" i="1"/>
  <c r="J44" i="3"/>
  <c r="L45" i="3" s="1"/>
  <c r="C65" i="1"/>
  <c r="H85" i="2" s="1"/>
  <c r="G15" i="3"/>
  <c r="J15" i="3" s="1"/>
  <c r="I81" i="2"/>
  <c r="J73" i="2"/>
  <c r="G85" i="2" s="1"/>
  <c r="F61" i="3"/>
  <c r="J61" i="3" s="1"/>
  <c r="G80" i="2"/>
  <c r="J13" i="2"/>
  <c r="J28" i="2"/>
  <c r="J51" i="2"/>
  <c r="J51" i="3" s="1"/>
  <c r="J34" i="2"/>
  <c r="C38" i="1"/>
  <c r="C41" i="3" s="1"/>
  <c r="C42" i="3" s="1"/>
  <c r="C24" i="1"/>
  <c r="C26" i="3" s="1"/>
  <c r="C27" i="3" s="1"/>
  <c r="C10" i="1"/>
  <c r="C11" i="3" s="1"/>
  <c r="C12" i="3" s="1"/>
  <c r="F12" i="2"/>
  <c r="F27" i="2" s="1"/>
  <c r="F42" i="2" s="1"/>
  <c r="F8" i="2"/>
  <c r="F6" i="2"/>
  <c r="F21" i="2" s="1"/>
  <c r="F36" i="2" s="1"/>
  <c r="J30" i="3" l="1"/>
  <c r="G27" i="1"/>
  <c r="E45" i="3"/>
  <c r="G41" i="1"/>
  <c r="J41" i="1"/>
  <c r="J45" i="3" s="1"/>
  <c r="F53" i="2"/>
  <c r="F53" i="3" s="1"/>
  <c r="H49" i="4"/>
  <c r="H56" i="4" s="1"/>
  <c r="J95" i="2"/>
  <c r="F64" i="1"/>
  <c r="F44" i="3"/>
  <c r="F59" i="2"/>
  <c r="G42" i="2"/>
  <c r="F23" i="2"/>
  <c r="J6" i="2"/>
  <c r="J8" i="2"/>
  <c r="G8" i="2" s="1"/>
  <c r="J12" i="2"/>
  <c r="G12" i="2" s="1"/>
  <c r="G72" i="2" s="1"/>
  <c r="J42" i="2"/>
  <c r="J27" i="2"/>
  <c r="G27" i="2" s="1"/>
  <c r="H72" i="2" s="1"/>
  <c r="J36" i="2"/>
  <c r="F56" i="1"/>
  <c r="J26" i="1"/>
  <c r="F22" i="1"/>
  <c r="F24" i="3" s="1"/>
  <c r="F20" i="1"/>
  <c r="D49" i="1"/>
  <c r="D48" i="1"/>
  <c r="D47" i="1"/>
  <c r="C49" i="1"/>
  <c r="C48" i="1"/>
  <c r="C47" i="1"/>
  <c r="J6" i="1"/>
  <c r="C54" i="1" s="1"/>
  <c r="J8" i="1"/>
  <c r="G8" i="1" s="1"/>
  <c r="G9" i="3" s="1"/>
  <c r="J12" i="1"/>
  <c r="H60" i="4" l="1"/>
  <c r="H59" i="4"/>
  <c r="G34" i="1"/>
  <c r="G53" i="2"/>
  <c r="G36" i="2"/>
  <c r="I70" i="2" s="1"/>
  <c r="G21" i="2"/>
  <c r="H70" i="2" s="1"/>
  <c r="G6" i="2"/>
  <c r="G20" i="1"/>
  <c r="I33" i="1"/>
  <c r="I36" i="3" s="1"/>
  <c r="I5" i="2"/>
  <c r="I20" i="2"/>
  <c r="I52" i="2"/>
  <c r="I52" i="3" s="1"/>
  <c r="I35" i="2"/>
  <c r="J49" i="4"/>
  <c r="F65" i="1"/>
  <c r="J85" i="2" s="1"/>
  <c r="F45" i="3"/>
  <c r="G33" i="1"/>
  <c r="G35" i="2"/>
  <c r="I69" i="2" s="1"/>
  <c r="G52" i="2"/>
  <c r="G20" i="2"/>
  <c r="H69" i="2" s="1"/>
  <c r="G5" i="2"/>
  <c r="G69" i="2" s="1"/>
  <c r="H34" i="1"/>
  <c r="H37" i="3" s="1"/>
  <c r="H53" i="2"/>
  <c r="H53" i="3" s="1"/>
  <c r="H36" i="2"/>
  <c r="H21" i="2"/>
  <c r="H6" i="2"/>
  <c r="G70" i="2" s="1"/>
  <c r="H20" i="1"/>
  <c r="H22" i="3" s="1"/>
  <c r="G26" i="1"/>
  <c r="J29" i="3"/>
  <c r="L30" i="3" s="1"/>
  <c r="Y36" i="3"/>
  <c r="J84" i="2"/>
  <c r="J53" i="2"/>
  <c r="J53" i="3" s="1"/>
  <c r="D65" i="1"/>
  <c r="I85" i="2" s="1"/>
  <c r="F30" i="3"/>
  <c r="F34" i="1"/>
  <c r="F22" i="3"/>
  <c r="J59" i="2"/>
  <c r="G59" i="2" s="1"/>
  <c r="E60" i="3"/>
  <c r="C56" i="1"/>
  <c r="G12" i="1"/>
  <c r="H19" i="1"/>
  <c r="H52" i="2"/>
  <c r="H52" i="3" s="1"/>
  <c r="H20" i="2"/>
  <c r="H5" i="2"/>
  <c r="H35" i="2"/>
  <c r="I53" i="2"/>
  <c r="I53" i="3" s="1"/>
  <c r="I21" i="2"/>
  <c r="I6" i="2"/>
  <c r="I20" i="1"/>
  <c r="I22" i="3" s="1"/>
  <c r="G95" i="2"/>
  <c r="I72" i="2"/>
  <c r="F38" i="2"/>
  <c r="D56" i="1"/>
  <c r="J22" i="1"/>
  <c r="G6" i="1"/>
  <c r="I19" i="1"/>
  <c r="F36" i="1"/>
  <c r="F39" i="3" s="1"/>
  <c r="I34" i="1"/>
  <c r="I37" i="3" s="1"/>
  <c r="I5" i="1"/>
  <c r="I6" i="3" s="1"/>
  <c r="G5" i="1"/>
  <c r="I6" i="1"/>
  <c r="I7" i="3" s="1"/>
  <c r="G19" i="1"/>
  <c r="H33" i="1"/>
  <c r="H36" i="3" s="1"/>
  <c r="H5" i="1"/>
  <c r="H6" i="3" s="1"/>
  <c r="H6" i="1"/>
  <c r="H7" i="3" s="1"/>
  <c r="J20" i="1"/>
  <c r="J21" i="2"/>
  <c r="J23" i="2"/>
  <c r="F9" i="1"/>
  <c r="F5" i="1"/>
  <c r="F6" i="3" s="1"/>
  <c r="C61" i="1" l="1"/>
  <c r="H92" i="2"/>
  <c r="G6" i="3"/>
  <c r="C29" i="3"/>
  <c r="I95" i="2"/>
  <c r="D64" i="1"/>
  <c r="F29" i="3"/>
  <c r="I93" i="2"/>
  <c r="D62" i="1"/>
  <c r="G22" i="3"/>
  <c r="J70" i="2"/>
  <c r="G82" i="2" s="1"/>
  <c r="G93" i="2"/>
  <c r="G53" i="3"/>
  <c r="H93" i="2"/>
  <c r="C62" i="1"/>
  <c r="H82" i="2" s="1"/>
  <c r="G7" i="3"/>
  <c r="J34" i="1"/>
  <c r="F37" i="3"/>
  <c r="G81" i="2"/>
  <c r="J69" i="2"/>
  <c r="G92" i="2"/>
  <c r="G52" i="3"/>
  <c r="F62" i="1"/>
  <c r="J82" i="2" s="1"/>
  <c r="J93" i="2"/>
  <c r="G37" i="3"/>
  <c r="C64" i="1"/>
  <c r="H95" i="2"/>
  <c r="G14" i="3"/>
  <c r="J14" i="3" s="1"/>
  <c r="L15" i="3" s="1"/>
  <c r="J6" i="3"/>
  <c r="F25" i="3"/>
  <c r="D54" i="1"/>
  <c r="J22" i="3"/>
  <c r="G22" i="1"/>
  <c r="G24" i="3" s="1"/>
  <c r="J24" i="3"/>
  <c r="F10" i="1"/>
  <c r="F11" i="3" s="1"/>
  <c r="F10" i="3"/>
  <c r="J10" i="3" s="1"/>
  <c r="J72" i="2"/>
  <c r="G84" i="2" s="1"/>
  <c r="Y51" i="3" s="1"/>
  <c r="F60" i="3"/>
  <c r="J60" i="3" s="1"/>
  <c r="L61" i="3" s="1"/>
  <c r="J92" i="2"/>
  <c r="F61" i="1"/>
  <c r="G36" i="3"/>
  <c r="G23" i="2"/>
  <c r="F55" i="2"/>
  <c r="F55" i="3" s="1"/>
  <c r="J38" i="2"/>
  <c r="J36" i="1"/>
  <c r="F9" i="2"/>
  <c r="F10" i="2" s="1"/>
  <c r="F37" i="1"/>
  <c r="F23" i="1"/>
  <c r="J9" i="1"/>
  <c r="F5" i="2"/>
  <c r="F19" i="1"/>
  <c r="F21" i="3" s="1"/>
  <c r="J5" i="1"/>
  <c r="Y7" i="3" l="1"/>
  <c r="H84" i="2"/>
  <c r="J37" i="1"/>
  <c r="F40" i="3"/>
  <c r="G36" i="1"/>
  <c r="G39" i="3" s="1"/>
  <c r="J39" i="3"/>
  <c r="F54" i="1"/>
  <c r="J37" i="3"/>
  <c r="Y21" i="3"/>
  <c r="I84" i="2"/>
  <c r="J81" i="2"/>
  <c r="J12" i="3"/>
  <c r="L14" i="3" s="1"/>
  <c r="J11" i="3"/>
  <c r="I82" i="2"/>
  <c r="H81" i="2"/>
  <c r="G38" i="2"/>
  <c r="J55" i="2"/>
  <c r="J55" i="3" s="1"/>
  <c r="J10" i="1"/>
  <c r="G9" i="1"/>
  <c r="G10" i="3" s="1"/>
  <c r="F38" i="1"/>
  <c r="F41" i="3" s="1"/>
  <c r="J11" i="1"/>
  <c r="J15" i="1" s="1"/>
  <c r="C53" i="1"/>
  <c r="J14" i="1"/>
  <c r="J23" i="1"/>
  <c r="F24" i="1"/>
  <c r="F26" i="3" s="1"/>
  <c r="J38" i="1"/>
  <c r="J41" i="3" s="1"/>
  <c r="F33" i="1"/>
  <c r="J19" i="1"/>
  <c r="J25" i="1" s="1"/>
  <c r="F20" i="2"/>
  <c r="J5" i="2"/>
  <c r="F24" i="2"/>
  <c r="F25" i="2" s="1"/>
  <c r="J9" i="2"/>
  <c r="G23" i="1" l="1"/>
  <c r="G25" i="3" s="1"/>
  <c r="J25" i="3"/>
  <c r="J33" i="1"/>
  <c r="J36" i="3" s="1"/>
  <c r="F36" i="3"/>
  <c r="J27" i="3"/>
  <c r="L29" i="3" s="1"/>
  <c r="J29" i="1"/>
  <c r="G37" i="1"/>
  <c r="J40" i="3"/>
  <c r="G55" i="2"/>
  <c r="G55" i="3" s="1"/>
  <c r="J10" i="2"/>
  <c r="J11" i="2" s="1"/>
  <c r="G9" i="2"/>
  <c r="J39" i="1"/>
  <c r="J42" i="1"/>
  <c r="C55" i="1"/>
  <c r="G10" i="1"/>
  <c r="F55" i="1"/>
  <c r="G38" i="1"/>
  <c r="J24" i="1"/>
  <c r="G11" i="1"/>
  <c r="J28" i="1"/>
  <c r="D53" i="1"/>
  <c r="F53" i="1"/>
  <c r="F39" i="2"/>
  <c r="F40" i="2" s="1"/>
  <c r="J24" i="2"/>
  <c r="F35" i="2"/>
  <c r="J20" i="2"/>
  <c r="G11" i="3" l="1"/>
  <c r="G12" i="3" s="1"/>
  <c r="H94" i="2"/>
  <c r="C63" i="1"/>
  <c r="G40" i="3"/>
  <c r="G42" i="1"/>
  <c r="J42" i="3"/>
  <c r="L44" i="3" s="1"/>
  <c r="J43" i="1"/>
  <c r="G14" i="1"/>
  <c r="C66" i="1" s="1"/>
  <c r="H86" i="2" s="1"/>
  <c r="G15" i="1"/>
  <c r="C67" i="1" s="1"/>
  <c r="H87" i="2" s="1"/>
  <c r="G24" i="1"/>
  <c r="J26" i="3"/>
  <c r="J52" i="2"/>
  <c r="J52" i="3" s="1"/>
  <c r="K53" i="3" s="1"/>
  <c r="F52" i="2"/>
  <c r="F52" i="3" s="1"/>
  <c r="G39" i="1"/>
  <c r="G41" i="3"/>
  <c r="F63" i="1"/>
  <c r="J94" i="2"/>
  <c r="J29" i="2"/>
  <c r="G24" i="2"/>
  <c r="J25" i="2"/>
  <c r="G25" i="2" s="1"/>
  <c r="G26" i="2" s="1"/>
  <c r="J14" i="2"/>
  <c r="J15" i="2"/>
  <c r="G10" i="2"/>
  <c r="G71" i="2" s="1"/>
  <c r="D55" i="1"/>
  <c r="J39" i="2"/>
  <c r="F56" i="2"/>
  <c r="F56" i="3" s="1"/>
  <c r="F57" i="3" s="1"/>
  <c r="J35" i="2"/>
  <c r="H83" i="2" l="1"/>
  <c r="Y6" i="3"/>
  <c r="G42" i="3"/>
  <c r="G43" i="1"/>
  <c r="F67" i="1" s="1"/>
  <c r="J87" i="2" s="1"/>
  <c r="G25" i="1"/>
  <c r="I94" i="2"/>
  <c r="D63" i="1"/>
  <c r="G26" i="3"/>
  <c r="J83" i="2"/>
  <c r="Y35" i="3"/>
  <c r="L49" i="4"/>
  <c r="F66" i="1"/>
  <c r="J86" i="2" s="1"/>
  <c r="G11" i="2"/>
  <c r="G14" i="2" s="1"/>
  <c r="J44" i="2"/>
  <c r="J56" i="2"/>
  <c r="J56" i="3" s="1"/>
  <c r="F57" i="2"/>
  <c r="G30" i="2"/>
  <c r="G29" i="2"/>
  <c r="G39" i="2"/>
  <c r="J40" i="2"/>
  <c r="G40" i="2" s="1"/>
  <c r="J26" i="2"/>
  <c r="J30" i="2" s="1"/>
  <c r="I83" i="2" l="1"/>
  <c r="Y20" i="3"/>
  <c r="G27" i="3"/>
  <c r="G28" i="1"/>
  <c r="D66" i="1" s="1"/>
  <c r="I86" i="2" s="1"/>
  <c r="G29" i="1"/>
  <c r="D67" i="1" s="1"/>
  <c r="I87" i="2" s="1"/>
  <c r="I71" i="2"/>
  <c r="H71" i="2"/>
  <c r="G15" i="2"/>
  <c r="G41" i="2"/>
  <c r="G45" i="2" s="1"/>
  <c r="G75" i="2"/>
  <c r="G74" i="2"/>
  <c r="G44" i="2"/>
  <c r="G56" i="2"/>
  <c r="G56" i="3" s="1"/>
  <c r="J57" i="2"/>
  <c r="J57" i="3" s="1"/>
  <c r="J41" i="2"/>
  <c r="J45" i="2" s="1"/>
  <c r="H75" i="2" l="1"/>
  <c r="H74" i="2"/>
  <c r="I75" i="2"/>
  <c r="I74" i="2"/>
  <c r="J58" i="2"/>
  <c r="J58" i="3" s="1"/>
  <c r="L60" i="3" s="1"/>
  <c r="G57" i="2"/>
  <c r="G94" i="2" l="1"/>
  <c r="J71" i="2"/>
  <c r="J74" i="2" s="1"/>
  <c r="G86" i="2" s="1"/>
  <c r="G57" i="3"/>
  <c r="G58" i="2"/>
  <c r="G83" i="2"/>
  <c r="J61" i="2"/>
  <c r="J62" i="2"/>
  <c r="G62" i="2" l="1"/>
  <c r="G58" i="3"/>
  <c r="G108" i="2"/>
  <c r="I108" i="2"/>
  <c r="H108" i="2"/>
  <c r="G61" i="2"/>
  <c r="Y50" i="3"/>
  <c r="J75" i="2"/>
  <c r="G87" i="2" s="1"/>
</calcChain>
</file>

<file path=xl/sharedStrings.xml><?xml version="1.0" encoding="utf-8"?>
<sst xmlns="http://schemas.openxmlformats.org/spreadsheetml/2006/main" count="616" uniqueCount="133">
  <si>
    <t>Energy Type</t>
  </si>
  <si>
    <t xml:space="preserve">Bunker </t>
  </si>
  <si>
    <t>Natural Gas</t>
  </si>
  <si>
    <t>Fleet Fuels</t>
  </si>
  <si>
    <t>Gasoline</t>
  </si>
  <si>
    <t>Diesel</t>
  </si>
  <si>
    <t>Consumption</t>
  </si>
  <si>
    <t xml:space="preserve"> Unit</t>
  </si>
  <si>
    <r>
      <t>CO</t>
    </r>
    <r>
      <rPr>
        <vertAlign val="sub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emissions</t>
    </r>
  </si>
  <si>
    <r>
      <t>CH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emissions</t>
    </r>
  </si>
  <si>
    <r>
      <t>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emissions</t>
    </r>
  </si>
  <si>
    <t>GHG calculations</t>
  </si>
  <si>
    <t>Eletricity</t>
  </si>
  <si>
    <t>2015/2016</t>
  </si>
  <si>
    <t>2013/2014</t>
  </si>
  <si>
    <t>2014/2015</t>
  </si>
  <si>
    <t>L</t>
  </si>
  <si>
    <t>GJ</t>
  </si>
  <si>
    <t>kWh</t>
  </si>
  <si>
    <t>Bunker oil</t>
  </si>
  <si>
    <t>Electricity</t>
  </si>
  <si>
    <r>
      <t>CO</t>
    </r>
    <r>
      <rPr>
        <vertAlign val="sub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 xml:space="preserve">emissions  </t>
    </r>
    <r>
      <rPr>
        <b/>
        <sz val="11"/>
        <color theme="1"/>
        <rFont val="Calibri"/>
        <family val="2"/>
        <scheme val="minor"/>
      </rPr>
      <t>(metric tons)</t>
    </r>
  </si>
  <si>
    <r>
      <t>CH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emissions </t>
    </r>
    <r>
      <rPr>
        <b/>
        <sz val="11"/>
        <color theme="1"/>
        <rFont val="Calibri"/>
        <family val="2"/>
        <scheme val="minor"/>
      </rPr>
      <t>(metric tons)</t>
    </r>
  </si>
  <si>
    <r>
      <t>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O emissions </t>
    </r>
    <r>
      <rPr>
        <b/>
        <sz val="11"/>
        <color theme="1"/>
        <rFont val="Calibri"/>
        <family val="2"/>
        <scheme val="minor"/>
      </rPr>
      <t>(metric tons)</t>
    </r>
  </si>
  <si>
    <t>Total GHG Emissions</t>
  </si>
  <si>
    <t>Carbon dioxide</t>
  </si>
  <si>
    <t>Methane</t>
  </si>
  <si>
    <t>Back Calculating emission factors for each component (reference Dalh's report (GHG Inventory)-Page 13)</t>
  </si>
  <si>
    <t>Bunker Oil</t>
  </si>
  <si>
    <t>Nitrogen Oxide</t>
  </si>
  <si>
    <r>
      <t>tCO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e Emission Factor(Dalh report) </t>
    </r>
  </si>
  <si>
    <t>2007/2008</t>
  </si>
  <si>
    <t>2008/2009</t>
  </si>
  <si>
    <t>2009/2010</t>
  </si>
  <si>
    <t>Bunker oil: no.6</t>
  </si>
  <si>
    <t>Total</t>
  </si>
  <si>
    <t>Total (No Electricity)</t>
  </si>
  <si>
    <t xml:space="preserve">Total Fleet Fuels </t>
  </si>
  <si>
    <t>Total Fleet Fuels</t>
  </si>
  <si>
    <r>
      <t>tCO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 Emission Factor (Dalh report)</t>
    </r>
  </si>
  <si>
    <t>Baseline 3-Year Average</t>
  </si>
  <si>
    <t>(2007/2008)+(2008/2009)+(2009/2010)</t>
  </si>
  <si>
    <t>Total (No electricity)</t>
  </si>
  <si>
    <r>
      <t>tCO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 Emission Factor</t>
    </r>
  </si>
  <si>
    <r>
      <t>tCO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Emission Factor </t>
    </r>
  </si>
  <si>
    <t>Source of Factor</t>
  </si>
  <si>
    <t>Dalh</t>
  </si>
  <si>
    <t>MCW</t>
  </si>
  <si>
    <t xml:space="preserve">Climate Registry/Dalh </t>
  </si>
  <si>
    <t>Source of Emission Factor</t>
  </si>
  <si>
    <t>Climate Registry /Dalh</t>
  </si>
  <si>
    <t>Using MCW factor</t>
  </si>
  <si>
    <t>Using Dalh factor</t>
  </si>
  <si>
    <r>
      <t>CO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emissions  (metric tons)</t>
    </r>
  </si>
  <si>
    <t>-</t>
  </si>
  <si>
    <r>
      <t>CO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emissions (metric tons)</t>
    </r>
  </si>
  <si>
    <r>
      <t>CH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emissions (metric tons)</t>
    </r>
  </si>
  <si>
    <r>
      <t>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emissions (metric tons)</t>
    </r>
  </si>
  <si>
    <t xml:space="preserve"> Carbon Tax for Every Year ($30/ton)</t>
  </si>
  <si>
    <t>Total Carbon Tax: Dalh</t>
  </si>
  <si>
    <t>Total Carbon Tax:  MCW Factor</t>
  </si>
  <si>
    <t>Electricity : MCW Factor</t>
  </si>
  <si>
    <t>Electricity :Dalh Factor</t>
  </si>
  <si>
    <t xml:space="preserve">2013/2014 </t>
  </si>
  <si>
    <t xml:space="preserve">2014/2015 </t>
  </si>
  <si>
    <t xml:space="preserve">2015/2016 </t>
  </si>
  <si>
    <t>($)</t>
  </si>
  <si>
    <t>Furnace oil: no.2</t>
  </si>
  <si>
    <t xml:space="preserve">Furnace oil </t>
  </si>
  <si>
    <t xml:space="preserve">Bunker oil </t>
  </si>
  <si>
    <t>Furnace Oil</t>
  </si>
  <si>
    <t>Furnace Oil (Baseline Yrs)</t>
  </si>
  <si>
    <t xml:space="preserve">2008/2009 </t>
  </si>
  <si>
    <t>Mean</t>
  </si>
  <si>
    <t xml:space="preserve"> Carbon Tax for Baseline Years ($30/ton)</t>
  </si>
  <si>
    <t>Baseline</t>
  </si>
  <si>
    <t>Carbon Dioxide Emissions distributions for (data carried down from above) :</t>
  </si>
  <si>
    <t>Total GHG Emissions distributions for (data carried down from above) :</t>
  </si>
  <si>
    <t>Electricity (MCW)</t>
  </si>
  <si>
    <t>Percent Reduction compared to baseline for carbon tax</t>
  </si>
  <si>
    <t>CARBON TAX PAID COMPARISONS</t>
  </si>
  <si>
    <t>Total Scope 1</t>
  </si>
  <si>
    <t>Scope 2</t>
  </si>
  <si>
    <t xml:space="preserve">Scope 1: all direct anthropogenic greenhouse gas emissions, Scope 2: indirect emissions </t>
  </si>
  <si>
    <t>Scope 1</t>
  </si>
  <si>
    <t xml:space="preserve"> 2014/2015</t>
  </si>
  <si>
    <t xml:space="preserve">  2013/2014</t>
  </si>
  <si>
    <t>Baseline Years</t>
  </si>
  <si>
    <t>TAX CALCULATIONS</t>
  </si>
  <si>
    <t>$</t>
  </si>
  <si>
    <t xml:space="preserve"> </t>
  </si>
  <si>
    <t xml:space="preserve">Climate Registry/ Dalh </t>
  </si>
  <si>
    <t>Carbon Tax Rate</t>
  </si>
  <si>
    <t>m3</t>
  </si>
  <si>
    <t>Unit</t>
  </si>
  <si>
    <t>Conversion to PNB Units</t>
  </si>
  <si>
    <t>Total CO2</t>
  </si>
  <si>
    <t>kg</t>
  </si>
  <si>
    <t>ton (=1000kg)</t>
  </si>
  <si>
    <t>Table of Emission Factors</t>
  </si>
  <si>
    <t>Co2</t>
  </si>
  <si>
    <t>CH4</t>
  </si>
  <si>
    <t>N20</t>
  </si>
  <si>
    <t>Units</t>
  </si>
  <si>
    <t>(g/L)</t>
  </si>
  <si>
    <t>(g/m3)</t>
  </si>
  <si>
    <t>(g/Kg fuel)</t>
  </si>
  <si>
    <t>Note: CO2 not counted towards GHG inventory</t>
  </si>
  <si>
    <t>Number 2</t>
  </si>
  <si>
    <r>
      <t>GWP CH</t>
    </r>
    <r>
      <rPr>
        <vertAlign val="subscript"/>
        <sz val="11"/>
        <color theme="1"/>
        <rFont val="Calibri"/>
        <family val="2"/>
        <scheme val="minor"/>
      </rPr>
      <t>4</t>
    </r>
  </si>
  <si>
    <r>
      <t>GWP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0</t>
    </r>
  </si>
  <si>
    <t>scope 2</t>
  </si>
  <si>
    <t>tCO2e Emission Factor (Dalh report)</t>
  </si>
  <si>
    <t>CO2 emissions</t>
  </si>
  <si>
    <t>CH4 emissions</t>
  </si>
  <si>
    <t>N2O emissions</t>
  </si>
  <si>
    <t>Disha spreadsheet</t>
  </si>
  <si>
    <t>l</t>
  </si>
  <si>
    <t xml:space="preserve">scope 1 </t>
  </si>
  <si>
    <t>kwh</t>
  </si>
  <si>
    <t>Total GHG</t>
  </si>
  <si>
    <r>
      <t>tCO</t>
    </r>
    <r>
      <rPr>
        <vertAlign val="subscript"/>
        <sz val="11"/>
        <color theme="1" tint="0.34998626667073579"/>
        <rFont val="Calibri"/>
        <family val="2"/>
        <scheme val="minor"/>
      </rPr>
      <t>2</t>
    </r>
    <r>
      <rPr>
        <sz val="11"/>
        <color theme="1" tint="0.34998626667073579"/>
        <rFont val="Calibri"/>
        <family val="2"/>
        <scheme val="minor"/>
      </rPr>
      <t>e Emission Factor (Dalh report)</t>
    </r>
  </si>
  <si>
    <r>
      <t>CO</t>
    </r>
    <r>
      <rPr>
        <vertAlign val="subscript"/>
        <sz val="11"/>
        <color theme="1" tint="0.34998626667073579"/>
        <rFont val="Calibri"/>
        <family val="2"/>
        <scheme val="minor"/>
      </rPr>
      <t xml:space="preserve">2 </t>
    </r>
    <r>
      <rPr>
        <sz val="11"/>
        <color theme="1" tint="0.34998626667073579"/>
        <rFont val="Calibri"/>
        <family val="2"/>
        <scheme val="minor"/>
      </rPr>
      <t>emissions</t>
    </r>
  </si>
  <si>
    <r>
      <t>CH</t>
    </r>
    <r>
      <rPr>
        <vertAlign val="subscript"/>
        <sz val="11"/>
        <color theme="1" tint="0.34998626667073579"/>
        <rFont val="Calibri"/>
        <family val="2"/>
        <scheme val="minor"/>
      </rPr>
      <t>4</t>
    </r>
    <r>
      <rPr>
        <sz val="11"/>
        <color theme="1" tint="0.34998626667073579"/>
        <rFont val="Calibri"/>
        <family val="2"/>
        <scheme val="minor"/>
      </rPr>
      <t xml:space="preserve"> emissions</t>
    </r>
  </si>
  <si>
    <r>
      <t>N</t>
    </r>
    <r>
      <rPr>
        <vertAlign val="subscript"/>
        <sz val="11"/>
        <color theme="1" tint="0.34998626667073579"/>
        <rFont val="Calibri"/>
        <family val="2"/>
        <scheme val="minor"/>
      </rPr>
      <t>2</t>
    </r>
    <r>
      <rPr>
        <sz val="11"/>
        <color theme="1" tint="0.34998626667073579"/>
        <rFont val="Calibri"/>
        <family val="2"/>
        <scheme val="minor"/>
      </rPr>
      <t>O emissions</t>
    </r>
  </si>
  <si>
    <t>na</t>
  </si>
  <si>
    <t>CCAP 3 Yr Average - Province of New Brunsiwck Method</t>
  </si>
  <si>
    <t>Baseline - 3 Year Average (08/09/10)</t>
  </si>
  <si>
    <t>HDD Mean = 4432</t>
  </si>
  <si>
    <t>Biomass(not going towards GHG inventory)</t>
  </si>
  <si>
    <t>CO2 emissions  (metric tons)</t>
  </si>
  <si>
    <t>CH4 emissions (metric tons)</t>
  </si>
  <si>
    <t>N2O emissions (metric 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</si>
</sst>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000"/>
    <numFmt numFmtId="168" formatCode="0.00000"/>
    <numFmt numFmtId="169" formatCode="0.0000"/>
    <numFmt numFmtId="170" formatCode="0.000"/>
    <numFmt numFmtId="171" formatCode="0.0"/>
    <numFmt numFmtId="172" formatCode="0.000000000"/>
    <numFmt numFmtId="173" formatCode="0.00000000"/>
    <numFmt numFmtId="174" formatCode="_(* #,##0_);_(* \(#,##0\);_(* &quot;-&quot;??_);_(@_)"/>
    <numFmt numFmtId="175" formatCode="_(* #,##0.0000_);_(* \(#,##0.0000\);_(* &quot;-&quot;_);_(@_)"/>
    <numFmt numFmtId="176" formatCode="_(* #,##0.00000_);_(* \(#,##0.00000\);_(* &quot;-&quot;_);_(@_)"/>
    <numFmt numFmtId="177" formatCode="_(* #,##0.0000_);_(* \(#,##0.0000\);_(* &quot;-&quot;??_);_(@_)"/>
    <numFmt numFmtId="178" formatCode="_(* #,##0.00000_);_(* \(#,##0.00000\);_(* &quot;-&quot;??_);_(@_)"/>
    <numFmt numFmtId="179" formatCode="_(* #,##0.000000_);_(* \(#,##0.000000\);_(* &quot;-&quot;??_);_(@_)"/>
    <numFmt numFmtId="180" formatCode="_(* #,##0.000_);_(* \(#,##0.000\);_(* &quot;-&quot;???_);_(@_)"/>
    <numFmt numFmtId="181" formatCode="#,##0.000_);\(#,##0.000\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5" tint="0.59999389629810485"/>
      <name val="Calibri"/>
      <family val="2"/>
      <scheme val="minor"/>
    </font>
    <font>
      <b/>
      <u/>
      <sz val="12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u/>
      <sz val="12"/>
      <color theme="1" tint="0.34998626667073579"/>
      <name val="Calibri"/>
      <family val="2"/>
      <scheme val="minor"/>
    </font>
    <font>
      <vertAlign val="subscript"/>
      <sz val="11"/>
      <color theme="1" tint="0.34998626667073579"/>
      <name val="Calibri"/>
      <family val="2"/>
      <scheme val="minor"/>
    </font>
    <font>
      <u/>
      <sz val="11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theme="2" tint="-0.24994659260841701"/>
      </right>
      <top/>
      <bottom style="medium">
        <color auto="1"/>
      </bottom>
      <diagonal/>
    </border>
    <border>
      <left style="thin">
        <color theme="2" tint="-0.24994659260841701"/>
      </left>
      <right style="thin">
        <color theme="1"/>
      </right>
      <top/>
      <bottom style="medium">
        <color auto="1"/>
      </bottom>
      <diagonal/>
    </border>
    <border>
      <left style="thin">
        <color theme="1"/>
      </left>
      <right style="thin">
        <color theme="1"/>
      </right>
      <top/>
      <bottom style="medium">
        <color auto="1"/>
      </bottom>
      <diagonal/>
    </border>
    <border>
      <left style="thin">
        <color theme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6" fontId="15" fillId="0" borderId="0" applyFont="0" applyFill="0" applyBorder="0" applyAlignment="0" applyProtection="0"/>
  </cellStyleXfs>
  <cellXfs count="539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169" fontId="0" fillId="0" borderId="0" xfId="0" applyNumberFormat="1"/>
    <xf numFmtId="170" fontId="0" fillId="0" borderId="0" xfId="0" applyNumberFormat="1"/>
    <xf numFmtId="2" fontId="0" fillId="0" borderId="0" xfId="0" applyNumberFormat="1"/>
    <xf numFmtId="171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172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1" fontId="1" fillId="0" borderId="0" xfId="0" applyNumberFormat="1" applyFont="1" applyBorder="1" applyAlignment="1">
      <alignment horizontal="right"/>
    </xf>
    <xf numFmtId="168" fontId="0" fillId="0" borderId="0" xfId="0" applyNumberFormat="1" applyBorder="1" applyAlignment="1">
      <alignment horizontal="center"/>
    </xf>
    <xf numFmtId="1" fontId="1" fillId="0" borderId="0" xfId="0" applyNumberFormat="1" applyFont="1" applyBorder="1"/>
    <xf numFmtId="3" fontId="0" fillId="0" borderId="0" xfId="0" applyNumberFormat="1" applyBorder="1"/>
    <xf numFmtId="0" fontId="0" fillId="0" borderId="0" xfId="0" applyBorder="1"/>
    <xf numFmtId="1" fontId="0" fillId="0" borderId="0" xfId="0" applyNumberFormat="1" applyBorder="1"/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1" fontId="0" fillId="0" borderId="15" xfId="0" applyNumberFormat="1" applyBorder="1"/>
    <xf numFmtId="169" fontId="0" fillId="0" borderId="15" xfId="0" applyNumberFormat="1" applyBorder="1"/>
    <xf numFmtId="170" fontId="0" fillId="0" borderId="15" xfId="0" applyNumberFormat="1" applyBorder="1"/>
    <xf numFmtId="1" fontId="0" fillId="0" borderId="16" xfId="0" applyNumberFormat="1" applyBorder="1"/>
    <xf numFmtId="0" fontId="0" fillId="0" borderId="15" xfId="0" applyBorder="1" applyAlignment="1">
      <alignment horizontal="right"/>
    </xf>
    <xf numFmtId="168" fontId="0" fillId="0" borderId="15" xfId="0" applyNumberFormat="1" applyBorder="1"/>
    <xf numFmtId="0" fontId="0" fillId="0" borderId="15" xfId="0" applyBorder="1" applyAlignment="1">
      <alignment horizontal="center"/>
    </xf>
    <xf numFmtId="1" fontId="0" fillId="0" borderId="15" xfId="0" applyNumberFormat="1" applyBorder="1" applyAlignment="1"/>
    <xf numFmtId="0" fontId="1" fillId="0" borderId="15" xfId="0" applyFont="1" applyBorder="1" applyAlignment="1">
      <alignment horizontal="left"/>
    </xf>
    <xf numFmtId="3" fontId="0" fillId="0" borderId="15" xfId="0" applyNumberFormat="1" applyBorder="1"/>
    <xf numFmtId="0" fontId="1" fillId="0" borderId="14" xfId="0" applyFont="1" applyBorder="1" applyAlignment="1"/>
    <xf numFmtId="0" fontId="2" fillId="0" borderId="14" xfId="0" applyFont="1" applyBorder="1" applyAlignment="1"/>
    <xf numFmtId="0" fontId="2" fillId="0" borderId="15" xfId="0" applyFont="1" applyBorder="1" applyAlignment="1"/>
    <xf numFmtId="0" fontId="0" fillId="0" borderId="15" xfId="0" applyBorder="1" applyAlignment="1">
      <alignment horizontal="left"/>
    </xf>
    <xf numFmtId="0" fontId="0" fillId="0" borderId="17" xfId="0" applyBorder="1"/>
    <xf numFmtId="0" fontId="0" fillId="0" borderId="11" xfId="0" applyBorder="1"/>
    <xf numFmtId="0" fontId="1" fillId="0" borderId="20" xfId="0" applyFont="1" applyBorder="1"/>
    <xf numFmtId="0" fontId="1" fillId="0" borderId="21" xfId="0" applyFont="1" applyBorder="1"/>
    <xf numFmtId="0" fontId="1" fillId="0" borderId="11" xfId="0" applyFont="1" applyBorder="1" applyAlignment="1"/>
    <xf numFmtId="0" fontId="1" fillId="0" borderId="12" xfId="0" applyFont="1" applyBorder="1" applyAlignment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0" fillId="0" borderId="16" xfId="0" applyBorder="1"/>
    <xf numFmtId="0" fontId="0" fillId="0" borderId="22" xfId="0" applyBorder="1"/>
    <xf numFmtId="3" fontId="0" fillId="0" borderId="22" xfId="0" applyNumberFormat="1" applyBorder="1"/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/>
    <xf numFmtId="0" fontId="0" fillId="0" borderId="12" xfId="0" applyBorder="1" applyAlignment="1">
      <alignment horizontal="center"/>
    </xf>
    <xf numFmtId="0" fontId="1" fillId="0" borderId="22" xfId="0" applyFont="1" applyBorder="1"/>
    <xf numFmtId="0" fontId="1" fillId="0" borderId="1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7" fontId="0" fillId="0" borderId="15" xfId="0" applyNumberFormat="1" applyBorder="1"/>
    <xf numFmtId="0" fontId="0" fillId="0" borderId="12" xfId="0" applyFont="1" applyBorder="1" applyAlignment="1">
      <alignment horizontal="center" vertical="center" wrapText="1"/>
    </xf>
    <xf numFmtId="2" fontId="0" fillId="0" borderId="15" xfId="0" applyNumberFormat="1" applyBorder="1"/>
    <xf numFmtId="2" fontId="0" fillId="0" borderId="16" xfId="0" applyNumberFormat="1" applyBorder="1"/>
    <xf numFmtId="0" fontId="0" fillId="0" borderId="12" xfId="0" applyBorder="1"/>
    <xf numFmtId="0" fontId="1" fillId="0" borderId="0" xfId="0" applyFont="1" applyAlignment="1"/>
    <xf numFmtId="0" fontId="0" fillId="0" borderId="13" xfId="0" applyBorder="1" applyAlignment="1">
      <alignment horizontal="center" vertical="center"/>
    </xf>
    <xf numFmtId="0" fontId="1" fillId="0" borderId="11" xfId="0" applyFont="1" applyBorder="1"/>
    <xf numFmtId="0" fontId="1" fillId="0" borderId="17" xfId="0" applyFont="1" applyBorder="1"/>
    <xf numFmtId="0" fontId="0" fillId="0" borderId="30" xfId="0" applyBorder="1"/>
    <xf numFmtId="0" fontId="0" fillId="0" borderId="31" xfId="0" applyBorder="1"/>
    <xf numFmtId="0" fontId="0" fillId="0" borderId="4" xfId="0" applyBorder="1"/>
    <xf numFmtId="0" fontId="0" fillId="0" borderId="2" xfId="0" applyBorder="1"/>
    <xf numFmtId="0" fontId="0" fillId="0" borderId="3" xfId="0" applyBorder="1"/>
    <xf numFmtId="0" fontId="1" fillId="0" borderId="30" xfId="0" applyFont="1" applyBorder="1"/>
    <xf numFmtId="0" fontId="1" fillId="0" borderId="0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8" fontId="5" fillId="0" borderId="0" xfId="0" applyNumberFormat="1" applyFont="1" applyBorder="1" applyAlignment="1">
      <alignment horizontal="center"/>
    </xf>
    <xf numFmtId="168" fontId="9" fillId="0" borderId="0" xfId="0" applyNumberFormat="1" applyFont="1" applyBorder="1" applyAlignment="1">
      <alignment horizontal="center"/>
    </xf>
    <xf numFmtId="0" fontId="1" fillId="0" borderId="15" xfId="0" applyFont="1" applyBorder="1" applyAlignment="1">
      <alignment horizontal="right"/>
    </xf>
    <xf numFmtId="173" fontId="0" fillId="0" borderId="15" xfId="0" applyNumberFormat="1" applyBorder="1"/>
    <xf numFmtId="0" fontId="1" fillId="0" borderId="32" xfId="0" applyFont="1" applyBorder="1" applyAlignment="1"/>
    <xf numFmtId="0" fontId="1" fillId="0" borderId="33" xfId="0" applyFont="1" applyBorder="1" applyAlignment="1"/>
    <xf numFmtId="0" fontId="0" fillId="0" borderId="33" xfId="0" applyBorder="1" applyAlignment="1">
      <alignment horizont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3" xfId="0" applyBorder="1" applyAlignment="1">
      <alignment horizontal="center" wrapText="1"/>
    </xf>
    <xf numFmtId="0" fontId="0" fillId="0" borderId="33" xfId="0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/>
    <xf numFmtId="0" fontId="4" fillId="0" borderId="22" xfId="0" applyFont="1" applyFill="1" applyBorder="1" applyAlignment="1"/>
    <xf numFmtId="0" fontId="1" fillId="0" borderId="13" xfId="0" applyFont="1" applyBorder="1" applyAlignment="1">
      <alignment horizontal="center" vertical="center"/>
    </xf>
    <xf numFmtId="171" fontId="0" fillId="0" borderId="36" xfId="0" applyNumberFormat="1" applyBorder="1" applyAlignment="1">
      <alignment horizontal="center" vertical="center"/>
    </xf>
    <xf numFmtId="171" fontId="0" fillId="0" borderId="37" xfId="0" applyNumberForma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0" fillId="0" borderId="40" xfId="0" applyBorder="1"/>
    <xf numFmtId="0" fontId="0" fillId="0" borderId="38" xfId="0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/>
    </xf>
    <xf numFmtId="1" fontId="1" fillId="0" borderId="0" xfId="0" applyNumberFormat="1" applyFont="1" applyBorder="1" applyAlignment="1"/>
    <xf numFmtId="0" fontId="0" fillId="0" borderId="46" xfId="0" applyBorder="1"/>
    <xf numFmtId="0" fontId="1" fillId="0" borderId="47" xfId="0" applyFont="1" applyBorder="1" applyAlignment="1">
      <alignment horizontal="left"/>
    </xf>
    <xf numFmtId="0" fontId="0" fillId="0" borderId="48" xfId="0" applyBorder="1"/>
    <xf numFmtId="0" fontId="0" fillId="0" borderId="48" xfId="0" applyBorder="1" applyAlignment="1">
      <alignment horizontal="center"/>
    </xf>
    <xf numFmtId="1" fontId="0" fillId="0" borderId="48" xfId="0" applyNumberFormat="1" applyBorder="1"/>
    <xf numFmtId="1" fontId="1" fillId="0" borderId="49" xfId="0" applyNumberFormat="1" applyFont="1" applyBorder="1"/>
    <xf numFmtId="0" fontId="1" fillId="0" borderId="35" xfId="0" applyFont="1" applyBorder="1" applyAlignment="1">
      <alignment horizontal="left"/>
    </xf>
    <xf numFmtId="0" fontId="0" fillId="0" borderId="58" xfId="0" applyBorder="1"/>
    <xf numFmtId="0" fontId="1" fillId="0" borderId="59" xfId="0" applyFont="1" applyBorder="1" applyAlignment="1">
      <alignment horizontal="left"/>
    </xf>
    <xf numFmtId="3" fontId="0" fillId="0" borderId="60" xfId="0" applyNumberFormat="1" applyBorder="1"/>
    <xf numFmtId="0" fontId="0" fillId="0" borderId="60" xfId="0" applyBorder="1" applyAlignment="1">
      <alignment horizontal="center"/>
    </xf>
    <xf numFmtId="0" fontId="0" fillId="0" borderId="60" xfId="0" applyBorder="1"/>
    <xf numFmtId="1" fontId="0" fillId="0" borderId="60" xfId="0" applyNumberFormat="1" applyBorder="1"/>
    <xf numFmtId="1" fontId="1" fillId="0" borderId="61" xfId="0" applyNumberFormat="1" applyFont="1" applyBorder="1"/>
    <xf numFmtId="164" fontId="0" fillId="0" borderId="15" xfId="0" applyNumberFormat="1" applyBorder="1"/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/>
    <xf numFmtId="164" fontId="0" fillId="0" borderId="30" xfId="0" applyNumberFormat="1" applyBorder="1"/>
    <xf numFmtId="164" fontId="0" fillId="0" borderId="39" xfId="0" applyNumberFormat="1" applyBorder="1"/>
    <xf numFmtId="164" fontId="0" fillId="0" borderId="15" xfId="0" applyNumberFormat="1" applyBorder="1" applyAlignment="1"/>
    <xf numFmtId="164" fontId="0" fillId="0" borderId="38" xfId="0" applyNumberFormat="1" applyBorder="1"/>
    <xf numFmtId="164" fontId="0" fillId="0" borderId="38" xfId="0" applyNumberFormat="1" applyBorder="1" applyAlignment="1">
      <alignment horizontal="center"/>
    </xf>
    <xf numFmtId="164" fontId="0" fillId="0" borderId="38" xfId="0" applyNumberFormat="1" applyBorder="1" applyAlignment="1"/>
    <xf numFmtId="164" fontId="0" fillId="0" borderId="41" xfId="0" applyNumberFormat="1" applyBorder="1"/>
    <xf numFmtId="164" fontId="0" fillId="0" borderId="35" xfId="0" applyNumberFormat="1" applyBorder="1"/>
    <xf numFmtId="164" fontId="0" fillId="0" borderId="35" xfId="0" applyNumberFormat="1" applyBorder="1" applyAlignment="1">
      <alignment horizontal="center"/>
    </xf>
    <xf numFmtId="164" fontId="1" fillId="0" borderId="35" xfId="0" applyNumberFormat="1" applyFont="1" applyBorder="1" applyAlignment="1"/>
    <xf numFmtId="164" fontId="1" fillId="0" borderId="51" xfId="0" applyNumberFormat="1" applyFont="1" applyBorder="1"/>
    <xf numFmtId="166" fontId="0" fillId="0" borderId="14" xfId="0" applyNumberFormat="1" applyBorder="1"/>
    <xf numFmtId="166" fontId="0" fillId="0" borderId="15" xfId="0" applyNumberFormat="1" applyBorder="1"/>
    <xf numFmtId="166" fontId="0" fillId="0" borderId="15" xfId="0" applyNumberFormat="1" applyBorder="1" applyAlignment="1">
      <alignment horizontal="center"/>
    </xf>
    <xf numFmtId="166" fontId="0" fillId="0" borderId="16" xfId="0" applyNumberFormat="1" applyBorder="1"/>
    <xf numFmtId="166" fontId="0" fillId="0" borderId="0" xfId="0" applyNumberFormat="1"/>
    <xf numFmtId="166" fontId="2" fillId="0" borderId="14" xfId="0" applyNumberFormat="1" applyFont="1" applyBorder="1" applyAlignment="1"/>
    <xf numFmtId="166" fontId="2" fillId="0" borderId="15" xfId="0" applyNumberFormat="1" applyFont="1" applyBorder="1" applyAlignment="1"/>
    <xf numFmtId="166" fontId="0" fillId="0" borderId="15" xfId="0" applyNumberFormat="1" applyBorder="1" applyAlignment="1">
      <alignment horizontal="left"/>
    </xf>
    <xf numFmtId="166" fontId="0" fillId="0" borderId="15" xfId="0" applyNumberFormat="1" applyBorder="1" applyAlignment="1"/>
    <xf numFmtId="166" fontId="0" fillId="0" borderId="40" xfId="0" applyNumberFormat="1" applyBorder="1"/>
    <xf numFmtId="166" fontId="0" fillId="0" borderId="38" xfId="0" applyNumberFormat="1" applyBorder="1" applyAlignment="1">
      <alignment horizontal="left"/>
    </xf>
    <xf numFmtId="166" fontId="0" fillId="0" borderId="38" xfId="0" applyNumberFormat="1" applyBorder="1" applyAlignment="1">
      <alignment horizontal="center"/>
    </xf>
    <xf numFmtId="166" fontId="0" fillId="0" borderId="41" xfId="0" applyNumberFormat="1" applyBorder="1"/>
    <xf numFmtId="166" fontId="0" fillId="0" borderId="50" xfId="0" applyNumberFormat="1" applyBorder="1"/>
    <xf numFmtId="166" fontId="1" fillId="0" borderId="35" xfId="0" applyNumberFormat="1" applyFont="1" applyBorder="1" applyAlignment="1">
      <alignment horizontal="left"/>
    </xf>
    <xf numFmtId="166" fontId="0" fillId="0" borderId="35" xfId="0" applyNumberFormat="1" applyBorder="1"/>
    <xf numFmtId="166" fontId="0" fillId="0" borderId="35" xfId="0" applyNumberFormat="1" applyBorder="1" applyAlignment="1">
      <alignment horizontal="center"/>
    </xf>
    <xf numFmtId="166" fontId="1" fillId="0" borderId="51" xfId="0" applyNumberFormat="1" applyFont="1" applyBorder="1"/>
    <xf numFmtId="166" fontId="1" fillId="0" borderId="15" xfId="0" applyNumberFormat="1" applyFont="1" applyBorder="1" applyAlignment="1">
      <alignment horizontal="left"/>
    </xf>
    <xf numFmtId="166" fontId="1" fillId="0" borderId="15" xfId="0" applyNumberFormat="1" applyFont="1" applyBorder="1" applyAlignment="1"/>
    <xf numFmtId="166" fontId="0" fillId="0" borderId="16" xfId="0" applyNumberFormat="1" applyFont="1" applyBorder="1"/>
    <xf numFmtId="166" fontId="0" fillId="0" borderId="17" xfId="0" applyNumberFormat="1" applyBorder="1"/>
    <xf numFmtId="166" fontId="1" fillId="0" borderId="22" xfId="0" applyNumberFormat="1" applyFont="1" applyBorder="1" applyAlignment="1">
      <alignment horizontal="left"/>
    </xf>
    <xf numFmtId="166" fontId="0" fillId="0" borderId="22" xfId="0" applyNumberFormat="1" applyBorder="1"/>
    <xf numFmtId="166" fontId="0" fillId="0" borderId="22" xfId="0" applyNumberFormat="1" applyBorder="1" applyAlignment="1">
      <alignment horizontal="center"/>
    </xf>
    <xf numFmtId="166" fontId="1" fillId="0" borderId="22" xfId="0" applyNumberFormat="1" applyFont="1" applyBorder="1" applyAlignment="1"/>
    <xf numFmtId="166" fontId="0" fillId="0" borderId="23" xfId="0" applyNumberFormat="1" applyFont="1" applyBorder="1"/>
    <xf numFmtId="166" fontId="0" fillId="0" borderId="0" xfId="0" applyNumberFormat="1" applyBorder="1"/>
    <xf numFmtId="166" fontId="1" fillId="0" borderId="0" xfId="0" applyNumberFormat="1" applyFont="1" applyBorder="1" applyAlignment="1">
      <alignment horizontal="left"/>
    </xf>
    <xf numFmtId="166" fontId="0" fillId="0" borderId="0" xfId="0" applyNumberFormat="1" applyBorder="1" applyAlignment="1">
      <alignment horizontal="center"/>
    </xf>
    <xf numFmtId="166" fontId="1" fillId="0" borderId="0" xfId="0" applyNumberFormat="1" applyFont="1" applyBorder="1" applyAlignment="1"/>
    <xf numFmtId="166" fontId="0" fillId="0" borderId="0" xfId="0" applyNumberFormat="1" applyFont="1" applyBorder="1"/>
    <xf numFmtId="166" fontId="0" fillId="0" borderId="0" xfId="0" applyNumberFormat="1" applyBorder="1" applyAlignment="1"/>
    <xf numFmtId="166" fontId="1" fillId="0" borderId="14" xfId="0" applyNumberFormat="1" applyFont="1" applyBorder="1" applyAlignment="1"/>
    <xf numFmtId="166" fontId="0" fillId="0" borderId="15" xfId="0" applyNumberFormat="1" applyBorder="1" applyAlignment="1">
      <alignment horizontal="center" vertical="center" wrapText="1"/>
    </xf>
    <xf numFmtId="166" fontId="0" fillId="0" borderId="15" xfId="0" applyNumberFormat="1" applyBorder="1" applyAlignment="1">
      <alignment horizontal="center" wrapText="1"/>
    </xf>
    <xf numFmtId="166" fontId="1" fillId="0" borderId="15" xfId="0" applyNumberFormat="1" applyFont="1" applyBorder="1" applyAlignment="1">
      <alignment horizontal="center" vertical="center" wrapText="1"/>
    </xf>
    <xf numFmtId="166" fontId="0" fillId="0" borderId="15" xfId="0" applyNumberFormat="1" applyFont="1" applyBorder="1" applyAlignment="1">
      <alignment horizontal="center" vertical="center" wrapText="1"/>
    </xf>
    <xf numFmtId="166" fontId="1" fillId="0" borderId="16" xfId="0" applyNumberFormat="1" applyFont="1" applyBorder="1" applyAlignment="1">
      <alignment horizontal="center" vertical="center" wrapText="1"/>
    </xf>
    <xf numFmtId="166" fontId="0" fillId="0" borderId="15" xfId="0" applyNumberFormat="1" applyBorder="1" applyAlignment="1">
      <alignment horizontal="right"/>
    </xf>
    <xf numFmtId="166" fontId="0" fillId="0" borderId="51" xfId="0" applyNumberFormat="1" applyBorder="1"/>
    <xf numFmtId="166" fontId="1" fillId="0" borderId="15" xfId="0" applyNumberFormat="1" applyFont="1" applyBorder="1"/>
    <xf numFmtId="166" fontId="0" fillId="0" borderId="17" xfId="0" applyNumberFormat="1" applyBorder="1" applyAlignment="1"/>
    <xf numFmtId="166" fontId="1" fillId="0" borderId="22" xfId="0" applyNumberFormat="1" applyFont="1" applyBorder="1" applyAlignment="1">
      <alignment vertical="center"/>
    </xf>
    <xf numFmtId="166" fontId="0" fillId="0" borderId="22" xfId="0" applyNumberFormat="1" applyBorder="1" applyAlignment="1">
      <alignment horizontal="right"/>
    </xf>
    <xf numFmtId="166" fontId="0" fillId="0" borderId="22" xfId="0" applyNumberFormat="1" applyFont="1" applyBorder="1"/>
    <xf numFmtId="166" fontId="1" fillId="0" borderId="22" xfId="0" applyNumberFormat="1" applyFont="1" applyBorder="1"/>
    <xf numFmtId="166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/>
    <xf numFmtId="166" fontId="1" fillId="0" borderId="40" xfId="0" applyNumberFormat="1" applyFont="1" applyBorder="1" applyAlignment="1"/>
    <xf numFmtId="166" fontId="1" fillId="0" borderId="38" xfId="0" applyNumberFormat="1" applyFont="1" applyBorder="1" applyAlignment="1"/>
    <xf numFmtId="166" fontId="0" fillId="0" borderId="38" xfId="0" applyNumberFormat="1" applyBorder="1" applyAlignment="1">
      <alignment horizontal="center" wrapText="1"/>
    </xf>
    <xf numFmtId="166" fontId="0" fillId="0" borderId="38" xfId="0" applyNumberFormat="1" applyBorder="1" applyAlignment="1">
      <alignment horizontal="center" vertical="center"/>
    </xf>
    <xf numFmtId="166" fontId="0" fillId="0" borderId="41" xfId="0" applyNumberFormat="1" applyBorder="1" applyAlignment="1">
      <alignment horizontal="center" vertical="center" wrapText="1"/>
    </xf>
    <xf numFmtId="166" fontId="0" fillId="0" borderId="62" xfId="0" applyNumberFormat="1" applyBorder="1"/>
    <xf numFmtId="166" fontId="0" fillId="0" borderId="2" xfId="0" applyNumberFormat="1" applyBorder="1"/>
    <xf numFmtId="166" fontId="0" fillId="0" borderId="64" xfId="0" applyNumberFormat="1" applyBorder="1"/>
    <xf numFmtId="166" fontId="0" fillId="0" borderId="10" xfId="0" applyNumberFormat="1" applyBorder="1"/>
    <xf numFmtId="174" fontId="0" fillId="0" borderId="0" xfId="0" applyNumberFormat="1"/>
    <xf numFmtId="174" fontId="0" fillId="0" borderId="2" xfId="0" applyNumberFormat="1" applyBorder="1"/>
    <xf numFmtId="174" fontId="0" fillId="0" borderId="15" xfId="0" applyNumberFormat="1" applyBorder="1"/>
    <xf numFmtId="174" fontId="0" fillId="0" borderId="10" xfId="0" applyNumberFormat="1" applyBorder="1"/>
    <xf numFmtId="174" fontId="0" fillId="0" borderId="63" xfId="0" applyNumberFormat="1" applyBorder="1"/>
    <xf numFmtId="174" fontId="0" fillId="0" borderId="52" xfId="0" applyNumberFormat="1" applyBorder="1"/>
    <xf numFmtId="174" fontId="0" fillId="0" borderId="51" xfId="0" applyNumberFormat="1" applyBorder="1"/>
    <xf numFmtId="174" fontId="0" fillId="0" borderId="16" xfId="0" applyNumberFormat="1" applyBorder="1"/>
    <xf numFmtId="174" fontId="0" fillId="0" borderId="35" xfId="0" applyNumberFormat="1" applyBorder="1"/>
    <xf numFmtId="175" fontId="0" fillId="0" borderId="15" xfId="0" applyNumberFormat="1" applyBorder="1"/>
    <xf numFmtId="176" fontId="0" fillId="0" borderId="15" xfId="0" applyNumberFormat="1" applyBorder="1"/>
    <xf numFmtId="176" fontId="0" fillId="0" borderId="38" xfId="0" applyNumberFormat="1" applyBorder="1"/>
    <xf numFmtId="177" fontId="0" fillId="0" borderId="15" xfId="0" applyNumberFormat="1" applyBorder="1"/>
    <xf numFmtId="178" fontId="0" fillId="0" borderId="15" xfId="0" applyNumberFormat="1" applyBorder="1"/>
    <xf numFmtId="178" fontId="0" fillId="0" borderId="38" xfId="0" applyNumberFormat="1" applyBorder="1"/>
    <xf numFmtId="178" fontId="0" fillId="0" borderId="35" xfId="0" applyNumberFormat="1" applyBorder="1"/>
    <xf numFmtId="179" fontId="0" fillId="0" borderId="2" xfId="0" applyNumberFormat="1" applyBorder="1"/>
    <xf numFmtId="179" fontId="0" fillId="0" borderId="10" xfId="0" applyNumberFormat="1" applyBorder="1"/>
    <xf numFmtId="166" fontId="0" fillId="0" borderId="38" xfId="0" applyNumberFormat="1" applyBorder="1" applyAlignment="1">
      <alignment horizontal="center" vertical="center" wrapText="1"/>
    </xf>
    <xf numFmtId="164" fontId="0" fillId="0" borderId="0" xfId="0" applyNumberFormat="1"/>
    <xf numFmtId="164" fontId="9" fillId="0" borderId="15" xfId="0" applyNumberFormat="1" applyFont="1" applyBorder="1" applyAlignment="1"/>
    <xf numFmtId="164" fontId="10" fillId="0" borderId="15" xfId="0" applyNumberFormat="1" applyFont="1" applyBorder="1" applyAlignment="1"/>
    <xf numFmtId="164" fontId="9" fillId="0" borderId="15" xfId="0" applyNumberFormat="1" applyFont="1" applyBorder="1" applyAlignment="1">
      <alignment horizontal="right"/>
    </xf>
    <xf numFmtId="174" fontId="0" fillId="0" borderId="16" xfId="1" applyNumberFormat="1" applyFont="1" applyBorder="1"/>
    <xf numFmtId="174" fontId="1" fillId="0" borderId="16" xfId="1" applyNumberFormat="1" applyFont="1" applyBorder="1"/>
    <xf numFmtId="174" fontId="1" fillId="0" borderId="13" xfId="1" applyNumberFormat="1" applyFont="1" applyBorder="1"/>
    <xf numFmtId="174" fontId="1" fillId="0" borderId="23" xfId="1" applyNumberFormat="1" applyFont="1" applyBorder="1"/>
    <xf numFmtId="174" fontId="10" fillId="0" borderId="12" xfId="1" applyNumberFormat="1" applyFont="1" applyBorder="1" applyAlignment="1">
      <alignment horizontal="center"/>
    </xf>
    <xf numFmtId="174" fontId="10" fillId="0" borderId="22" xfId="1" applyNumberFormat="1" applyFont="1" applyBorder="1" applyAlignment="1">
      <alignment horizontal="center"/>
    </xf>
    <xf numFmtId="174" fontId="0" fillId="0" borderId="15" xfId="1" applyNumberFormat="1" applyFont="1" applyBorder="1"/>
    <xf numFmtId="174" fontId="0" fillId="0" borderId="15" xfId="1" applyNumberFormat="1" applyFont="1" applyBorder="1" applyAlignment="1"/>
    <xf numFmtId="174" fontId="1" fillId="0" borderId="15" xfId="1" applyNumberFormat="1" applyFont="1" applyBorder="1" applyAlignment="1"/>
    <xf numFmtId="174" fontId="1" fillId="0" borderId="12" xfId="1" applyNumberFormat="1" applyFont="1" applyBorder="1" applyAlignment="1">
      <alignment horizontal="center"/>
    </xf>
    <xf numFmtId="174" fontId="1" fillId="0" borderId="22" xfId="1" applyNumberFormat="1" applyFont="1" applyBorder="1" applyAlignment="1">
      <alignment horizontal="center"/>
    </xf>
    <xf numFmtId="174" fontId="0" fillId="0" borderId="33" xfId="1" applyNumberFormat="1" applyFont="1" applyBorder="1" applyAlignment="1">
      <alignment horizontal="center" vertical="center"/>
    </xf>
    <xf numFmtId="174" fontId="1" fillId="0" borderId="12" xfId="1" applyNumberFormat="1" applyFont="1" applyBorder="1"/>
    <xf numFmtId="174" fontId="1" fillId="0" borderId="22" xfId="1" applyNumberFormat="1" applyFont="1" applyBorder="1"/>
    <xf numFmtId="174" fontId="1" fillId="0" borderId="15" xfId="1" applyNumberFormat="1" applyFont="1" applyBorder="1" applyAlignment="1">
      <alignment horizontal="center"/>
    </xf>
    <xf numFmtId="174" fontId="0" fillId="0" borderId="15" xfId="1" applyNumberFormat="1" applyFont="1" applyBorder="1" applyAlignment="1">
      <alignment horizontal="center"/>
    </xf>
    <xf numFmtId="174" fontId="1" fillId="0" borderId="22" xfId="1" applyNumberFormat="1" applyFont="1" applyFill="1" applyBorder="1" applyAlignment="1"/>
    <xf numFmtId="174" fontId="1" fillId="0" borderId="23" xfId="1" applyNumberFormat="1" applyFont="1" applyFill="1" applyBorder="1" applyAlignment="1"/>
    <xf numFmtId="174" fontId="0" fillId="0" borderId="15" xfId="1" applyNumberFormat="1" applyFont="1" applyBorder="1" applyAlignment="1">
      <alignment horizontal="right" vertical="center" wrapText="1"/>
    </xf>
    <xf numFmtId="174" fontId="0" fillId="0" borderId="15" xfId="1" applyNumberFormat="1" applyFont="1" applyBorder="1" applyAlignment="1">
      <alignment horizontal="right"/>
    </xf>
    <xf numFmtId="174" fontId="0" fillId="0" borderId="16" xfId="1" applyNumberFormat="1" applyFont="1" applyBorder="1" applyAlignment="1">
      <alignment horizontal="right" vertical="center"/>
    </xf>
    <xf numFmtId="174" fontId="0" fillId="0" borderId="15" xfId="1" applyNumberFormat="1" applyFont="1" applyBorder="1" applyAlignment="1">
      <alignment horizontal="center" vertical="center" wrapText="1"/>
    </xf>
    <xf numFmtId="174" fontId="0" fillId="0" borderId="16" xfId="1" applyNumberFormat="1" applyFont="1" applyBorder="1" applyAlignment="1">
      <alignment horizontal="center" vertical="center"/>
    </xf>
    <xf numFmtId="174" fontId="0" fillId="0" borderId="0" xfId="1" applyNumberFormat="1" applyFont="1" applyBorder="1"/>
    <xf numFmtId="174" fontId="0" fillId="0" borderId="31" xfId="1" applyNumberFormat="1" applyFont="1" applyBorder="1"/>
    <xf numFmtId="174" fontId="0" fillId="0" borderId="5" xfId="1" applyNumberFormat="1" applyFont="1" applyBorder="1"/>
    <xf numFmtId="174" fontId="0" fillId="0" borderId="6" xfId="1" applyNumberFormat="1" applyFont="1" applyBorder="1"/>
    <xf numFmtId="174" fontId="0" fillId="0" borderId="12" xfId="1" applyNumberFormat="1" applyFont="1" applyBorder="1"/>
    <xf numFmtId="174" fontId="0" fillId="0" borderId="22" xfId="1" applyNumberFormat="1" applyFont="1" applyBorder="1"/>
    <xf numFmtId="174" fontId="0" fillId="0" borderId="22" xfId="1" applyNumberFormat="1" applyFont="1" applyBorder="1" applyAlignment="1"/>
    <xf numFmtId="174" fontId="1" fillId="0" borderId="12" xfId="1" applyNumberFormat="1" applyFont="1" applyBorder="1" applyAlignment="1">
      <alignment horizontal="right"/>
    </xf>
    <xf numFmtId="174" fontId="1" fillId="0" borderId="22" xfId="1" applyNumberFormat="1" applyFont="1" applyBorder="1" applyAlignment="1">
      <alignment horizontal="right"/>
    </xf>
    <xf numFmtId="174" fontId="0" fillId="0" borderId="23" xfId="1" applyNumberFormat="1" applyFont="1" applyBorder="1"/>
    <xf numFmtId="0" fontId="0" fillId="7" borderId="0" xfId="0" applyFill="1"/>
    <xf numFmtId="165" fontId="0" fillId="0" borderId="0" xfId="0" applyNumberFormat="1"/>
    <xf numFmtId="174" fontId="0" fillId="0" borderId="38" xfId="0" applyNumberFormat="1" applyBorder="1"/>
    <xf numFmtId="174" fontId="1" fillId="0" borderId="35" xfId="0" applyNumberFormat="1" applyFont="1" applyBorder="1"/>
    <xf numFmtId="174" fontId="0" fillId="0" borderId="15" xfId="0" applyNumberFormat="1" applyBorder="1" applyAlignment="1"/>
    <xf numFmtId="174" fontId="1" fillId="0" borderId="35" xfId="0" applyNumberFormat="1" applyFont="1" applyBorder="1" applyAlignment="1"/>
    <xf numFmtId="37" fontId="1" fillId="0" borderId="0" xfId="0" applyNumberFormat="1" applyFont="1"/>
    <xf numFmtId="164" fontId="0" fillId="0" borderId="0" xfId="0" applyNumberFormat="1" applyFill="1" applyBorder="1" applyAlignment="1">
      <alignment horizontal="center"/>
    </xf>
    <xf numFmtId="164" fontId="1" fillId="0" borderId="0" xfId="0" applyNumberFormat="1" applyFont="1"/>
    <xf numFmtId="0" fontId="0" fillId="8" borderId="0" xfId="0" applyFill="1"/>
    <xf numFmtId="0" fontId="0" fillId="0" borderId="65" xfId="0" applyFont="1" applyBorder="1"/>
    <xf numFmtId="0" fontId="0" fillId="0" borderId="65" xfId="0" applyBorder="1"/>
    <xf numFmtId="0" fontId="0" fillId="9" borderId="15" xfId="0" applyFont="1" applyFill="1" applyBorder="1" applyAlignment="1">
      <alignment horizontal="center" vertical="center" wrapText="1"/>
    </xf>
    <xf numFmtId="164" fontId="0" fillId="0" borderId="0" xfId="0" applyNumberFormat="1" applyFont="1"/>
    <xf numFmtId="0" fontId="0" fillId="0" borderId="0" xfId="0" applyFill="1"/>
    <xf numFmtId="37" fontId="1" fillId="0" borderId="0" xfId="0" applyNumberFormat="1" applyFont="1" applyBorder="1"/>
    <xf numFmtId="164" fontId="0" fillId="0" borderId="0" xfId="0" applyNumberFormat="1" applyFont="1" applyBorder="1"/>
    <xf numFmtId="164" fontId="1" fillId="0" borderId="0" xfId="0" applyNumberFormat="1" applyFont="1" applyBorder="1"/>
    <xf numFmtId="37" fontId="1" fillId="0" borderId="39" xfId="0" applyNumberFormat="1" applyFont="1" applyBorder="1"/>
    <xf numFmtId="0" fontId="0" fillId="0" borderId="66" xfId="0" applyBorder="1"/>
    <xf numFmtId="0" fontId="0" fillId="0" borderId="64" xfId="0" applyBorder="1"/>
    <xf numFmtId="0" fontId="0" fillId="0" borderId="10" xfId="0" applyBorder="1"/>
    <xf numFmtId="0" fontId="1" fillId="0" borderId="10" xfId="0" applyFont="1" applyBorder="1"/>
    <xf numFmtId="37" fontId="1" fillId="0" borderId="10" xfId="0" applyNumberFormat="1" applyFont="1" applyBorder="1"/>
    <xf numFmtId="164" fontId="0" fillId="0" borderId="10" xfId="0" applyNumberFormat="1" applyFont="1" applyBorder="1"/>
    <xf numFmtId="164" fontId="1" fillId="0" borderId="10" xfId="0" applyNumberFormat="1" applyFont="1" applyBorder="1"/>
    <xf numFmtId="37" fontId="1" fillId="0" borderId="52" xfId="0" applyNumberFormat="1" applyFont="1" applyBorder="1"/>
    <xf numFmtId="174" fontId="0" fillId="0" borderId="68" xfId="0" applyNumberForma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164" fontId="0" fillId="0" borderId="68" xfId="0" applyNumberFormat="1" applyBorder="1" applyAlignment="1">
      <alignment horizontal="center"/>
    </xf>
    <xf numFmtId="37" fontId="0" fillId="0" borderId="68" xfId="0" applyNumberFormat="1" applyBorder="1" applyAlignment="1">
      <alignment horizontal="center"/>
    </xf>
    <xf numFmtId="180" fontId="0" fillId="9" borderId="68" xfId="0" applyNumberFormat="1" applyFill="1" applyBorder="1"/>
    <xf numFmtId="166" fontId="0" fillId="0" borderId="68" xfId="0" applyNumberFormat="1" applyBorder="1"/>
    <xf numFmtId="166" fontId="0" fillId="0" borderId="69" xfId="0" applyNumberFormat="1" applyBorder="1"/>
    <xf numFmtId="164" fontId="0" fillId="0" borderId="67" xfId="0" applyNumberFormat="1" applyBorder="1"/>
    <xf numFmtId="0" fontId="0" fillId="0" borderId="70" xfId="0" applyBorder="1"/>
    <xf numFmtId="164" fontId="0" fillId="0" borderId="70" xfId="0" applyNumberFormat="1" applyBorder="1"/>
    <xf numFmtId="164" fontId="0" fillId="0" borderId="70" xfId="0" applyNumberFormat="1" applyBorder="1" applyAlignment="1">
      <alignment horizontal="center"/>
    </xf>
    <xf numFmtId="37" fontId="0" fillId="0" borderId="70" xfId="0" applyNumberFormat="1" applyBorder="1" applyAlignment="1">
      <alignment horizontal="center"/>
    </xf>
    <xf numFmtId="180" fontId="0" fillId="9" borderId="70" xfId="0" applyNumberFormat="1" applyFill="1" applyBorder="1"/>
    <xf numFmtId="166" fontId="0" fillId="0" borderId="70" xfId="0" applyNumberFormat="1" applyBorder="1"/>
    <xf numFmtId="166" fontId="0" fillId="0" borderId="71" xfId="0" applyNumberFormat="1" applyBorder="1"/>
    <xf numFmtId="164" fontId="0" fillId="0" borderId="72" xfId="0" applyNumberFormat="1" applyBorder="1"/>
    <xf numFmtId="170" fontId="0" fillId="9" borderId="73" xfId="0" applyNumberFormat="1" applyFill="1" applyBorder="1"/>
    <xf numFmtId="181" fontId="0" fillId="9" borderId="70" xfId="0" applyNumberFormat="1" applyFill="1" applyBorder="1"/>
    <xf numFmtId="166" fontId="0" fillId="9" borderId="70" xfId="0" applyNumberFormat="1" applyFill="1" applyBorder="1"/>
    <xf numFmtId="0" fontId="0" fillId="0" borderId="74" xfId="0" applyBorder="1"/>
    <xf numFmtId="3" fontId="0" fillId="0" borderId="65" xfId="0" applyNumberFormat="1" applyBorder="1"/>
    <xf numFmtId="0" fontId="0" fillId="0" borderId="65" xfId="0" applyFont="1" applyBorder="1" applyAlignment="1">
      <alignment horizontal="center"/>
    </xf>
    <xf numFmtId="37" fontId="1" fillId="0" borderId="65" xfId="0" applyNumberFormat="1" applyFont="1" applyBorder="1"/>
    <xf numFmtId="37" fontId="1" fillId="0" borderId="75" xfId="0" applyNumberFormat="1" applyFont="1" applyBorder="1"/>
    <xf numFmtId="0" fontId="0" fillId="0" borderId="68" xfId="0" applyFont="1" applyBorder="1" applyAlignment="1">
      <alignment vertical="center"/>
    </xf>
    <xf numFmtId="37" fontId="1" fillId="0" borderId="0" xfId="0" applyNumberFormat="1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3" fontId="19" fillId="0" borderId="0" xfId="0" applyNumberFormat="1" applyFont="1"/>
    <xf numFmtId="0" fontId="18" fillId="0" borderId="32" xfId="0" applyFont="1" applyBorder="1" applyAlignment="1"/>
    <xf numFmtId="0" fontId="18" fillId="0" borderId="33" xfId="0" applyFont="1" applyBorder="1" applyAlignment="1"/>
    <xf numFmtId="0" fontId="19" fillId="0" borderId="33" xfId="0" applyFont="1" applyBorder="1" applyAlignment="1">
      <alignment horizontal="center"/>
    </xf>
    <xf numFmtId="0" fontId="19" fillId="0" borderId="33" xfId="0" applyFont="1" applyBorder="1" applyAlignment="1">
      <alignment horizontal="center" wrapText="1"/>
    </xf>
    <xf numFmtId="0" fontId="19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 wrapText="1"/>
    </xf>
    <xf numFmtId="0" fontId="19" fillId="0" borderId="14" xfId="0" applyFont="1" applyBorder="1"/>
    <xf numFmtId="0" fontId="19" fillId="0" borderId="15" xfId="0" applyFont="1" applyBorder="1"/>
    <xf numFmtId="174" fontId="19" fillId="0" borderId="15" xfId="1" applyNumberFormat="1" applyFont="1" applyBorder="1"/>
    <xf numFmtId="0" fontId="19" fillId="0" borderId="15" xfId="0" applyFont="1" applyBorder="1" applyAlignment="1">
      <alignment horizontal="center"/>
    </xf>
    <xf numFmtId="170" fontId="19" fillId="0" borderId="15" xfId="0" applyNumberFormat="1" applyFont="1" applyBorder="1"/>
    <xf numFmtId="174" fontId="19" fillId="0" borderId="16" xfId="1" applyNumberFormat="1" applyFont="1" applyBorder="1"/>
    <xf numFmtId="169" fontId="19" fillId="0" borderId="15" xfId="0" applyNumberFormat="1" applyFont="1" applyBorder="1"/>
    <xf numFmtId="2" fontId="19" fillId="0" borderId="15" xfId="0" applyNumberFormat="1" applyFont="1" applyBorder="1"/>
    <xf numFmtId="0" fontId="19" fillId="0" borderId="31" xfId="0" applyFont="1" applyBorder="1"/>
    <xf numFmtId="0" fontId="22" fillId="0" borderId="15" xfId="0" applyFont="1" applyBorder="1" applyAlignment="1"/>
    <xf numFmtId="168" fontId="19" fillId="0" borderId="15" xfId="0" applyNumberFormat="1" applyFont="1" applyBorder="1"/>
    <xf numFmtId="174" fontId="19" fillId="0" borderId="15" xfId="1" applyNumberFormat="1" applyFont="1" applyBorder="1" applyAlignment="1"/>
    <xf numFmtId="0" fontId="19" fillId="0" borderId="35" xfId="0" applyFont="1" applyBorder="1" applyAlignment="1">
      <alignment horizontal="center"/>
    </xf>
    <xf numFmtId="0" fontId="18" fillId="0" borderId="15" xfId="0" applyFont="1" applyBorder="1"/>
    <xf numFmtId="174" fontId="18" fillId="0" borderId="15" xfId="1" applyNumberFormat="1" applyFont="1" applyBorder="1" applyAlignment="1">
      <alignment horizontal="center"/>
    </xf>
    <xf numFmtId="174" fontId="18" fillId="0" borderId="16" xfId="1" applyNumberFormat="1" applyFont="1" applyBorder="1"/>
    <xf numFmtId="3" fontId="19" fillId="0" borderId="15" xfId="0" applyNumberFormat="1" applyFont="1" applyBorder="1"/>
    <xf numFmtId="174" fontId="19" fillId="0" borderId="15" xfId="1" applyNumberFormat="1" applyFont="1" applyBorder="1" applyAlignment="1">
      <alignment horizontal="center"/>
    </xf>
    <xf numFmtId="173" fontId="19" fillId="0" borderId="15" xfId="0" applyNumberFormat="1" applyFont="1" applyBorder="1"/>
    <xf numFmtId="0" fontId="19" fillId="0" borderId="22" xfId="0" applyFont="1" applyBorder="1" applyAlignment="1">
      <alignment horizontal="center"/>
    </xf>
    <xf numFmtId="0" fontId="19" fillId="0" borderId="12" xfId="0" applyFont="1" applyBorder="1"/>
    <xf numFmtId="0" fontId="18" fillId="0" borderId="12" xfId="0" applyFont="1" applyBorder="1"/>
    <xf numFmtId="174" fontId="18" fillId="0" borderId="12" xfId="1" applyNumberFormat="1" applyFont="1" applyBorder="1"/>
    <xf numFmtId="174" fontId="18" fillId="0" borderId="28" xfId="1" applyNumberFormat="1" applyFont="1" applyBorder="1"/>
    <xf numFmtId="174" fontId="18" fillId="0" borderId="13" xfId="1" applyNumberFormat="1" applyFont="1" applyBorder="1"/>
    <xf numFmtId="0" fontId="20" fillId="0" borderId="22" xfId="0" applyFont="1" applyFill="1" applyBorder="1" applyAlignment="1"/>
    <xf numFmtId="0" fontId="18" fillId="0" borderId="22" xfId="0" applyFont="1" applyBorder="1"/>
    <xf numFmtId="174" fontId="18" fillId="0" borderId="22" xfId="1" applyNumberFormat="1" applyFont="1" applyFill="1" applyBorder="1" applyAlignment="1"/>
    <xf numFmtId="174" fontId="18" fillId="0" borderId="29" xfId="1" applyNumberFormat="1" applyFont="1" applyFill="1" applyBorder="1" applyAlignment="1"/>
    <xf numFmtId="174" fontId="18" fillId="0" borderId="23" xfId="1" applyNumberFormat="1" applyFont="1" applyFill="1" applyBorder="1" applyAlignment="1"/>
    <xf numFmtId="164" fontId="0" fillId="0" borderId="76" xfId="0" applyNumberFormat="1" applyFont="1" applyBorder="1" applyAlignment="1">
      <alignment horizontal="center"/>
    </xf>
    <xf numFmtId="164" fontId="0" fillId="0" borderId="73" xfId="0" applyNumberFormat="1" applyFont="1" applyBorder="1" applyAlignment="1">
      <alignment horizontal="center"/>
    </xf>
    <xf numFmtId="164" fontId="0" fillId="0" borderId="77" xfId="0" applyNumberFormat="1" applyFont="1" applyBorder="1" applyAlignment="1">
      <alignment horizontal="center"/>
    </xf>
    <xf numFmtId="0" fontId="1" fillId="0" borderId="66" xfId="0" applyFont="1" applyBorder="1" applyAlignment="1"/>
    <xf numFmtId="0" fontId="1" fillId="0" borderId="35" xfId="0" applyFont="1" applyBorder="1" applyAlignment="1">
      <alignment vertical="center"/>
    </xf>
    <xf numFmtId="0" fontId="24" fillId="0" borderId="30" xfId="0" applyFont="1" applyFill="1" applyBorder="1"/>
    <xf numFmtId="0" fontId="0" fillId="0" borderId="71" xfId="0" applyBorder="1"/>
    <xf numFmtId="3" fontId="0" fillId="0" borderId="70" xfId="0" applyNumberFormat="1" applyBorder="1"/>
    <xf numFmtId="164" fontId="0" fillId="0" borderId="70" xfId="0" applyNumberFormat="1" applyFill="1" applyBorder="1" applyAlignment="1">
      <alignment horizontal="center"/>
    </xf>
    <xf numFmtId="0" fontId="1" fillId="0" borderId="70" xfId="0" applyFont="1" applyBorder="1"/>
    <xf numFmtId="0" fontId="0" fillId="0" borderId="70" xfId="0" applyBorder="1" applyAlignment="1">
      <alignment wrapText="1"/>
    </xf>
    <xf numFmtId="164" fontId="0" fillId="8" borderId="70" xfId="0" applyNumberFormat="1" applyFill="1" applyBorder="1" applyAlignment="1">
      <alignment horizontal="left" vertical="center"/>
    </xf>
    <xf numFmtId="0" fontId="0" fillId="0" borderId="43" xfId="0" applyBorder="1"/>
    <xf numFmtId="170" fontId="0" fillId="0" borderId="43" xfId="0" applyNumberFormat="1" applyBorder="1"/>
    <xf numFmtId="0" fontId="13" fillId="0" borderId="43" xfId="0" applyFont="1" applyBorder="1"/>
    <xf numFmtId="3" fontId="0" fillId="0" borderId="43" xfId="0" applyNumberFormat="1" applyBorder="1"/>
    <xf numFmtId="0" fontId="0" fillId="0" borderId="18" xfId="0" applyBorder="1"/>
    <xf numFmtId="0" fontId="0" fillId="0" borderId="24" xfId="0" applyBorder="1"/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33" xfId="0" applyBorder="1"/>
    <xf numFmtId="0" fontId="0" fillId="0" borderId="34" xfId="0" applyBorder="1"/>
    <xf numFmtId="0" fontId="0" fillId="0" borderId="45" xfId="0" applyBorder="1"/>
    <xf numFmtId="170" fontId="0" fillId="0" borderId="44" xfId="0" applyNumberFormat="1" applyBorder="1"/>
    <xf numFmtId="0" fontId="0" fillId="0" borderId="44" xfId="0" applyBorder="1"/>
    <xf numFmtId="0" fontId="1" fillId="0" borderId="32" xfId="0" applyFont="1" applyBorder="1"/>
    <xf numFmtId="0" fontId="1" fillId="0" borderId="45" xfId="0" applyFont="1" applyBorder="1"/>
    <xf numFmtId="0" fontId="0" fillId="0" borderId="50" xfId="0" applyBorder="1"/>
    <xf numFmtId="0" fontId="0" fillId="0" borderId="35" xfId="0" applyBorder="1"/>
    <xf numFmtId="0" fontId="0" fillId="0" borderId="51" xfId="0" applyBorder="1"/>
    <xf numFmtId="1" fontId="0" fillId="0" borderId="25" xfId="0" applyNumberFormat="1" applyBorder="1"/>
    <xf numFmtId="0" fontId="0" fillId="9" borderId="24" xfId="0" applyFill="1" applyBorder="1" applyAlignment="1">
      <alignment wrapText="1"/>
    </xf>
    <xf numFmtId="0" fontId="0" fillId="9" borderId="33" xfId="0" applyFill="1" applyBorder="1"/>
    <xf numFmtId="170" fontId="0" fillId="9" borderId="43" xfId="0" applyNumberFormat="1" applyFill="1" applyBorder="1"/>
    <xf numFmtId="0" fontId="0" fillId="9" borderId="43" xfId="0" applyFill="1" applyBorder="1"/>
    <xf numFmtId="0" fontId="0" fillId="9" borderId="35" xfId="0" applyFill="1" applyBorder="1"/>
    <xf numFmtId="0" fontId="0" fillId="0" borderId="24" xfId="0" applyFill="1" applyBorder="1"/>
    <xf numFmtId="0" fontId="17" fillId="2" borderId="11" xfId="0" applyFont="1" applyFill="1" applyBorder="1" applyAlignment="1">
      <alignment horizontal="center" vertical="top"/>
    </xf>
    <xf numFmtId="0" fontId="17" fillId="2" borderId="12" xfId="0" applyFont="1" applyFill="1" applyBorder="1" applyAlignment="1">
      <alignment horizontal="center" vertical="top"/>
    </xf>
    <xf numFmtId="0" fontId="17" fillId="2" borderId="13" xfId="0" applyFont="1" applyFill="1" applyBorder="1" applyAlignment="1">
      <alignment horizontal="center" vertical="top"/>
    </xf>
    <xf numFmtId="0" fontId="4" fillId="2" borderId="53" xfId="0" applyFont="1" applyFill="1" applyBorder="1" applyAlignment="1">
      <alignment horizontal="center" vertical="top"/>
    </xf>
    <xf numFmtId="0" fontId="4" fillId="2" borderId="54" xfId="0" applyFont="1" applyFill="1" applyBorder="1" applyAlignment="1">
      <alignment horizontal="center" vertical="top"/>
    </xf>
    <xf numFmtId="0" fontId="4" fillId="2" borderId="55" xfId="0" applyFont="1" applyFill="1" applyBorder="1" applyAlignment="1">
      <alignment horizontal="center" vertical="top"/>
    </xf>
    <xf numFmtId="0" fontId="20" fillId="0" borderId="26" xfId="0" applyFont="1" applyFill="1" applyBorder="1" applyAlignment="1">
      <alignment horizontal="center"/>
    </xf>
    <xf numFmtId="0" fontId="20" fillId="0" borderId="27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23" fillId="0" borderId="29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23" fillId="0" borderId="21" xfId="0" applyFont="1" applyFill="1" applyBorder="1" applyAlignment="1">
      <alignment horizontal="center"/>
    </xf>
    <xf numFmtId="0" fontId="0" fillId="0" borderId="66" xfId="0" applyBorder="1" applyAlignment="1">
      <alignment horizontal="center" vertical="center" textRotation="48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2" borderId="18" xfId="0" applyFont="1" applyFill="1" applyBorder="1" applyAlignment="1">
      <alignment horizontal="center" vertical="top"/>
    </xf>
    <xf numFmtId="0" fontId="4" fillId="2" borderId="24" xfId="0" applyFont="1" applyFill="1" applyBorder="1" applyAlignment="1">
      <alignment horizontal="center" vertical="top"/>
    </xf>
    <xf numFmtId="0" fontId="4" fillId="2" borderId="25" xfId="0" applyFont="1" applyFill="1" applyBorder="1" applyAlignment="1">
      <alignment horizontal="center" vertical="top"/>
    </xf>
    <xf numFmtId="0" fontId="4" fillId="3" borderId="26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8" fontId="0" fillId="0" borderId="35" xfId="0" applyNumberFormat="1" applyBorder="1" applyAlignment="1">
      <alignment horizontal="center"/>
    </xf>
    <xf numFmtId="168" fontId="0" fillId="0" borderId="15" xfId="0" applyNumberFormat="1" applyBorder="1" applyAlignment="1">
      <alignment horizontal="center"/>
    </xf>
    <xf numFmtId="168" fontId="0" fillId="0" borderId="22" xfId="0" applyNumberFormat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68" fontId="0" fillId="0" borderId="12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5" borderId="26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6" borderId="26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 vertical="top"/>
    </xf>
    <xf numFmtId="0" fontId="4" fillId="5" borderId="24" xfId="0" applyFont="1" applyFill="1" applyBorder="1" applyAlignment="1">
      <alignment horizontal="center" vertical="top"/>
    </xf>
    <xf numFmtId="0" fontId="4" fillId="5" borderId="25" xfId="0" applyFont="1" applyFill="1" applyBorder="1" applyAlignment="1">
      <alignment horizontal="center" vertical="top"/>
    </xf>
    <xf numFmtId="168" fontId="5" fillId="0" borderId="35" xfId="0" applyNumberFormat="1" applyFont="1" applyBorder="1" applyAlignment="1">
      <alignment horizontal="center"/>
    </xf>
    <xf numFmtId="168" fontId="5" fillId="0" borderId="15" xfId="0" applyNumberFormat="1" applyFont="1" applyBorder="1" applyAlignment="1">
      <alignment horizontal="center"/>
    </xf>
    <xf numFmtId="168" fontId="5" fillId="0" borderId="22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168" fontId="9" fillId="0" borderId="12" xfId="0" applyNumberFormat="1" applyFont="1" applyBorder="1" applyAlignment="1">
      <alignment horizontal="center"/>
    </xf>
    <xf numFmtId="168" fontId="9" fillId="0" borderId="22" xfId="0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1" xfId="0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66" fontId="0" fillId="0" borderId="15" xfId="0" applyNumberFormat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166" fontId="4" fillId="4" borderId="56" xfId="0" applyNumberFormat="1" applyFont="1" applyFill="1" applyBorder="1" applyAlignment="1">
      <alignment horizontal="center"/>
    </xf>
    <xf numFmtId="166" fontId="4" fillId="4" borderId="42" xfId="0" applyNumberFormat="1" applyFont="1" applyFill="1" applyBorder="1" applyAlignment="1">
      <alignment horizontal="center"/>
    </xf>
    <xf numFmtId="166" fontId="4" fillId="4" borderId="57" xfId="0" applyNumberFormat="1" applyFont="1" applyFill="1" applyBorder="1" applyAlignment="1">
      <alignment horizontal="center"/>
    </xf>
    <xf numFmtId="166" fontId="14" fillId="4" borderId="26" xfId="0" applyNumberFormat="1" applyFont="1" applyFill="1" applyBorder="1" applyAlignment="1">
      <alignment horizontal="center"/>
    </xf>
    <xf numFmtId="166" fontId="14" fillId="4" borderId="27" xfId="0" applyNumberFormat="1" applyFont="1" applyFill="1" applyBorder="1" applyAlignment="1">
      <alignment horizontal="center"/>
    </xf>
    <xf numFmtId="166" fontId="14" fillId="4" borderId="19" xfId="0" applyNumberFormat="1" applyFon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30" xfId="0" applyNumberFormat="1" applyBorder="1" applyAlignment="1">
      <alignment horizontal="center"/>
    </xf>
    <xf numFmtId="166" fontId="0" fillId="0" borderId="35" xfId="0" applyNumberFormat="1" applyBorder="1" applyAlignment="1">
      <alignment horizontal="center"/>
    </xf>
    <xf numFmtId="166" fontId="16" fillId="6" borderId="26" xfId="0" applyNumberFormat="1" applyFont="1" applyFill="1" applyBorder="1" applyAlignment="1">
      <alignment horizontal="center"/>
    </xf>
    <xf numFmtId="166" fontId="16" fillId="6" borderId="27" xfId="0" applyNumberFormat="1" applyFont="1" applyFill="1" applyBorder="1" applyAlignment="1">
      <alignment horizontal="center"/>
    </xf>
    <xf numFmtId="166" fontId="16" fillId="6" borderId="19" xfId="0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6" fontId="0" fillId="0" borderId="31" xfId="0" applyNumberFormat="1" applyBorder="1" applyAlignment="1">
      <alignment horizontal="center"/>
    </xf>
    <xf numFmtId="0" fontId="14" fillId="2" borderId="11" xfId="0" applyFont="1" applyFill="1" applyBorder="1" applyAlignment="1">
      <alignment horizontal="center" vertical="top"/>
    </xf>
    <xf numFmtId="0" fontId="14" fillId="2" borderId="12" xfId="0" applyFont="1" applyFill="1" applyBorder="1" applyAlignment="1">
      <alignment horizontal="center" vertical="top"/>
    </xf>
    <xf numFmtId="0" fontId="14" fillId="2" borderId="13" xfId="0" applyFont="1" applyFill="1" applyBorder="1" applyAlignment="1">
      <alignment horizontal="center" vertical="top"/>
    </xf>
    <xf numFmtId="0" fontId="14" fillId="3" borderId="26" xfId="0" applyFont="1" applyFill="1" applyBorder="1" applyAlignment="1">
      <alignment horizontal="center"/>
    </xf>
    <xf numFmtId="0" fontId="14" fillId="3" borderId="27" xfId="0" applyFont="1" applyFill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 vertical="top"/>
    </xf>
    <xf numFmtId="0" fontId="4" fillId="2" borderId="43" xfId="0" applyFont="1" applyFill="1" applyBorder="1" applyAlignment="1">
      <alignment horizontal="center" vertical="top"/>
    </xf>
    <xf numFmtId="0" fontId="4" fillId="2" borderId="44" xfId="0" applyFont="1" applyFill="1" applyBorder="1" applyAlignment="1">
      <alignment horizontal="center" vertical="top"/>
    </xf>
    <xf numFmtId="0" fontId="0" fillId="0" borderId="60" xfId="0" applyBorder="1" applyAlignment="1">
      <alignment horizontal="center"/>
    </xf>
    <xf numFmtId="0" fontId="0" fillId="0" borderId="48" xfId="0" applyBorder="1" applyAlignment="1">
      <alignment horizontal="center"/>
    </xf>
    <xf numFmtId="166" fontId="4" fillId="3" borderId="56" xfId="0" applyNumberFormat="1" applyFont="1" applyFill="1" applyBorder="1" applyAlignment="1">
      <alignment horizontal="center"/>
    </xf>
    <xf numFmtId="166" fontId="4" fillId="3" borderId="42" xfId="0" applyNumberFormat="1" applyFont="1" applyFill="1" applyBorder="1" applyAlignment="1">
      <alignment horizontal="center"/>
    </xf>
    <xf numFmtId="166" fontId="4" fillId="3" borderId="57" xfId="0" applyNumberFormat="1" applyFont="1" applyFill="1" applyBorder="1" applyAlignment="1">
      <alignment horizontal="center"/>
    </xf>
    <xf numFmtId="166" fontId="6" fillId="6" borderId="62" xfId="0" applyNumberFormat="1" applyFont="1" applyFill="1" applyBorder="1" applyAlignment="1">
      <alignment horizontal="center"/>
    </xf>
    <xf numFmtId="166" fontId="6" fillId="6" borderId="2" xfId="0" applyNumberFormat="1" applyFont="1" applyFill="1" applyBorder="1" applyAlignment="1">
      <alignment horizontal="center"/>
    </xf>
    <xf numFmtId="166" fontId="6" fillId="6" borderId="63" xfId="0" applyNumberFormat="1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1" fillId="3" borderId="35" xfId="0" applyNumberFormat="1" applyFont="1" applyFill="1" applyBorder="1" applyAlignment="1">
      <alignment horizontal="center"/>
    </xf>
    <xf numFmtId="164" fontId="1" fillId="4" borderId="35" xfId="0" applyNumberFormat="1" applyFont="1" applyFill="1" applyBorder="1" applyAlignment="1">
      <alignment horizontal="center"/>
    </xf>
    <xf numFmtId="164" fontId="10" fillId="6" borderId="35" xfId="0" applyNumberFormat="1" applyFont="1" applyFill="1" applyBorder="1" applyAlignment="1">
      <alignment horizontal="center"/>
    </xf>
    <xf numFmtId="166" fontId="0" fillId="0" borderId="35" xfId="0" applyNumberFormat="1" applyBorder="1" applyAlignment="1">
      <alignment horizontal="center" vertical="center"/>
    </xf>
    <xf numFmtId="166" fontId="0" fillId="0" borderId="15" xfId="0" applyNumberFormat="1" applyBorder="1" applyAlignment="1">
      <alignment horizontal="center" vertical="center"/>
    </xf>
    <xf numFmtId="166" fontId="0" fillId="0" borderId="38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 wrapText="1"/>
    </xf>
    <xf numFmtId="164" fontId="0" fillId="0" borderId="38" xfId="0" applyNumberFormat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/>
    </xf>
    <xf numFmtId="0" fontId="4" fillId="3" borderId="54" xfId="0" applyFont="1" applyFill="1" applyBorder="1" applyAlignment="1">
      <alignment horizontal="center"/>
    </xf>
    <xf numFmtId="0" fontId="4" fillId="3" borderId="55" xfId="0" applyFont="1" applyFill="1" applyBorder="1" applyAlignment="1">
      <alignment horizontal="center"/>
    </xf>
    <xf numFmtId="166" fontId="4" fillId="4" borderId="53" xfId="0" applyNumberFormat="1" applyFont="1" applyFill="1" applyBorder="1" applyAlignment="1">
      <alignment horizontal="center"/>
    </xf>
    <xf numFmtId="166" fontId="4" fillId="4" borderId="54" xfId="0" applyNumberFormat="1" applyFont="1" applyFill="1" applyBorder="1" applyAlignment="1">
      <alignment horizontal="center"/>
    </xf>
    <xf numFmtId="166" fontId="4" fillId="4" borderId="55" xfId="0" applyNumberFormat="1" applyFont="1" applyFill="1" applyBorder="1" applyAlignment="1">
      <alignment horizontal="center"/>
    </xf>
    <xf numFmtId="166" fontId="6" fillId="6" borderId="53" xfId="0" applyNumberFormat="1" applyFont="1" applyFill="1" applyBorder="1" applyAlignment="1">
      <alignment horizontal="center"/>
    </xf>
    <xf numFmtId="166" fontId="6" fillId="6" borderId="54" xfId="0" applyNumberFormat="1" applyFont="1" applyFill="1" applyBorder="1" applyAlignment="1">
      <alignment horizontal="center"/>
    </xf>
    <xf numFmtId="166" fontId="6" fillId="6" borderId="55" xfId="0" applyNumberFormat="1" applyFon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2" fontId="0" fillId="0" borderId="43" xfId="0" applyNumberFormat="1" applyBorder="1"/>
    <xf numFmtId="1" fontId="0" fillId="0" borderId="44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GHG</a:t>
            </a:r>
            <a:r>
              <a:rPr lang="en-US" baseline="0"/>
              <a:t> emissions distribution: 2013/2014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1CD-4FC7-ADAA-E0938E16E58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1CD-4FC7-ADAA-E0938E16E58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1CD-4FC7-ADAA-E0938E16E58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1CD-4FC7-ADAA-E0938E16E58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('3 Most Recent Years'!$B$5,'3 Most Recent Years'!$B$6,'3 Most Recent Years'!$B$10,'3 Most Recent Years'!$B$12)</c:f>
              <c:strCache>
                <c:ptCount val="4"/>
                <c:pt idx="0">
                  <c:v>Bunker oil</c:v>
                </c:pt>
                <c:pt idx="1">
                  <c:v>Natural Gas</c:v>
                </c:pt>
                <c:pt idx="2">
                  <c:v>Total Fleet Fuels </c:v>
                </c:pt>
                <c:pt idx="3">
                  <c:v>Electricity</c:v>
                </c:pt>
              </c:strCache>
            </c:strRef>
          </c:cat>
          <c:val>
            <c:numRef>
              <c:f>('3 Most Recent Years'!$J$5,'3 Most Recent Years'!$J$6,'3 Most Recent Years'!$J$10,'3 Most Recent Years'!$J$12)</c:f>
              <c:numCache>
                <c:formatCode>_(* #,##0_);_(* \(#,##0\);_(* "-"??_);_(@_)</c:formatCode>
                <c:ptCount val="4"/>
                <c:pt idx="0">
                  <c:v>1353.708678</c:v>
                </c:pt>
                <c:pt idx="1">
                  <c:v>14188.936040000001</c:v>
                </c:pt>
                <c:pt idx="2">
                  <c:v>125.69974999999999</c:v>
                </c:pt>
                <c:pt idx="3">
                  <c:v>21598.202603999998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CD-4FC7-ADAA-E0938E16E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Baseline-2014/2015</a:t>
            </a:r>
            <a:r>
              <a:rPr lang="en-US" baseline="0"/>
              <a:t> Comparison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'Baseline Years'!$F$80</c:f>
              <c:strCache>
                <c:ptCount val="1"/>
                <c:pt idx="0">
                  <c:v>Furnace Oil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('Baseline Years'!$G$79,'Baseline Years'!$I$79)</c:f>
              <c:strCache>
                <c:ptCount val="2"/>
                <c:pt idx="0">
                  <c:v>Baseline</c:v>
                </c:pt>
                <c:pt idx="1">
                  <c:v>2014/2015 </c:v>
                </c:pt>
              </c:strCache>
            </c:strRef>
          </c:cat>
          <c:val>
            <c:numRef>
              <c:f>('Baseline Years'!$G$80,'Baseline Years'!$I$80)</c:f>
              <c:numCache>
                <c:formatCode>_(* #,##0_);_(* \(#,##0\);_(* "-"??_);_(@_)</c:formatCode>
                <c:ptCount val="2"/>
                <c:pt idx="0">
                  <c:v>29511.190743113388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7-4DDD-AC37-23030828F9F2}"/>
            </c:ext>
          </c:extLst>
        </c:ser>
        <c:ser>
          <c:idx val="1"/>
          <c:order val="1"/>
          <c:tx>
            <c:strRef>
              <c:f>'Baseline Years'!$F$81</c:f>
              <c:strCache>
                <c:ptCount val="1"/>
                <c:pt idx="0">
                  <c:v>Bunker Oil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('Baseline Years'!$G$79,'Baseline Years'!$I$79)</c:f>
              <c:strCache>
                <c:ptCount val="2"/>
                <c:pt idx="0">
                  <c:v>Baseline</c:v>
                </c:pt>
                <c:pt idx="1">
                  <c:v>2014/2015 </c:v>
                </c:pt>
              </c:strCache>
            </c:strRef>
          </c:cat>
          <c:val>
            <c:numRef>
              <c:f>('Baseline Years'!$G$81,'Baseline Years'!$I$81)</c:f>
              <c:numCache>
                <c:formatCode>_(* #,##0_);_(* \(#,##0\);_(* "-"??_);_(@_)</c:formatCode>
                <c:ptCount val="2"/>
                <c:pt idx="0">
                  <c:v>304450.40237499739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27-4DDD-AC37-23030828F9F2}"/>
            </c:ext>
          </c:extLst>
        </c:ser>
        <c:ser>
          <c:idx val="2"/>
          <c:order val="2"/>
          <c:tx>
            <c:strRef>
              <c:f>'Baseline Years'!$F$82</c:f>
              <c:strCache>
                <c:ptCount val="1"/>
                <c:pt idx="0">
                  <c:v>Natural Gas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('Baseline Years'!$G$79,'Baseline Years'!$I$79)</c:f>
              <c:strCache>
                <c:ptCount val="2"/>
                <c:pt idx="0">
                  <c:v>Baseline</c:v>
                </c:pt>
                <c:pt idx="1">
                  <c:v>2014/2015 </c:v>
                </c:pt>
              </c:strCache>
            </c:strRef>
          </c:cat>
          <c:val>
            <c:numRef>
              <c:f>('Baseline Years'!$G$82,'Baseline Years'!$I$82)</c:f>
              <c:numCache>
                <c:formatCode>_(* #,##0_);_(* \(#,##0\);_(* "-"??_);_(@_)</c:formatCode>
                <c:ptCount val="2"/>
                <c:pt idx="0">
                  <c:v>135535.04735192211</c:v>
                </c:pt>
                <c:pt idx="1">
                  <c:v>417779.89517102437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27-4DDD-AC37-23030828F9F2}"/>
            </c:ext>
          </c:extLst>
        </c:ser>
        <c:ser>
          <c:idx val="3"/>
          <c:order val="3"/>
          <c:tx>
            <c:strRef>
              <c:f>'Baseline Years'!$F$83</c:f>
              <c:strCache>
                <c:ptCount val="1"/>
                <c:pt idx="0">
                  <c:v>Total Fleet Fuels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('Baseline Years'!$G$79,'Baseline Years'!$I$79)</c:f>
              <c:strCache>
                <c:ptCount val="2"/>
                <c:pt idx="0">
                  <c:v>Baseline</c:v>
                </c:pt>
                <c:pt idx="1">
                  <c:v>2014/2015 </c:v>
                </c:pt>
              </c:strCache>
            </c:strRef>
          </c:cat>
          <c:val>
            <c:numRef>
              <c:f>('Baseline Years'!$G$83,'Baseline Years'!$I$83)</c:f>
              <c:numCache>
                <c:formatCode>_(* #,##0_);_(* \(#,##0\);_(* "-"??_);_(@_)</c:formatCode>
                <c:ptCount val="2"/>
                <c:pt idx="0">
                  <c:v>3947.5814399999999</c:v>
                </c:pt>
                <c:pt idx="1">
                  <c:v>4644.1685400000006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27-4DDD-AC37-23030828F9F2}"/>
            </c:ext>
          </c:extLst>
        </c:ser>
        <c:ser>
          <c:idx val="4"/>
          <c:order val="4"/>
          <c:tx>
            <c:strRef>
              <c:f>'Baseline Years'!$F$84</c:f>
              <c:strCache>
                <c:ptCount val="1"/>
                <c:pt idx="0">
                  <c:v>Electricity : MCW Factor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('Baseline Years'!$G$79,'Baseline Years'!$I$79)</c:f>
              <c:strCache>
                <c:ptCount val="2"/>
                <c:pt idx="0">
                  <c:v>Baseline</c:v>
                </c:pt>
                <c:pt idx="1">
                  <c:v>2014/2015 </c:v>
                </c:pt>
              </c:strCache>
            </c:strRef>
          </c:cat>
          <c:val>
            <c:numRef>
              <c:f>('Baseline Years'!$G$84,'Baseline Years'!$I$84)</c:f>
              <c:numCache>
                <c:formatCode>_(* #,##0_);_(* \(#,##0\);_(* "-"??_);_(@_)</c:formatCode>
                <c:ptCount val="2"/>
                <c:pt idx="0">
                  <c:v>653495.03432999994</c:v>
                </c:pt>
                <c:pt idx="1">
                  <c:v>639406.02483000001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27-4DDD-AC37-23030828F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9129264"/>
        <c:axId val="227287832"/>
        <c:axId val="0"/>
      </c:bar3DChart>
      <c:catAx>
        <c:axId val="22912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287832"/>
        <c:crosses val="autoZero"/>
        <c:auto val="1"/>
        <c:lblAlgn val="ctr"/>
        <c:lblOffset val="100"/>
        <c:noMultiLvlLbl val="0"/>
      </c:catAx>
      <c:valAx>
        <c:axId val="227287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129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Baseline-2015/2016 Comparison</a:t>
            </a:r>
          </a:p>
        </c:rich>
      </c:tx>
      <c:layout>
        <c:manualLayout>
          <c:xMode val="edge"/>
          <c:yMode val="edge"/>
          <c:x val="0.20115966754155734"/>
          <c:y val="2.75980988821411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'Baseline Years'!$F$80</c:f>
              <c:strCache>
                <c:ptCount val="1"/>
                <c:pt idx="0">
                  <c:v>Furnace Oil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('Baseline Years'!$G$79,'Baseline Years'!$J$79)</c:f>
              <c:strCache>
                <c:ptCount val="2"/>
                <c:pt idx="0">
                  <c:v>Baseline</c:v>
                </c:pt>
                <c:pt idx="1">
                  <c:v>2015/2016 </c:v>
                </c:pt>
              </c:strCache>
            </c:strRef>
          </c:cat>
          <c:val>
            <c:numRef>
              <c:f>('Baseline Years'!$G$80,'Baseline Years'!$J$80)</c:f>
              <c:numCache>
                <c:formatCode>_(* #,##0_);_(* \(#,##0\);_(* "-"??_);_(@_)</c:formatCode>
                <c:ptCount val="2"/>
                <c:pt idx="0">
                  <c:v>29511.190743113388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3-4C46-A7FA-7F9973D3C5B5}"/>
            </c:ext>
          </c:extLst>
        </c:ser>
        <c:ser>
          <c:idx val="1"/>
          <c:order val="1"/>
          <c:tx>
            <c:strRef>
              <c:f>'Baseline Years'!$F$81</c:f>
              <c:strCache>
                <c:ptCount val="1"/>
                <c:pt idx="0">
                  <c:v>Bunker Oil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('Baseline Years'!$G$79,'Baseline Years'!$J$79)</c:f>
              <c:strCache>
                <c:ptCount val="2"/>
                <c:pt idx="0">
                  <c:v>Baseline</c:v>
                </c:pt>
                <c:pt idx="1">
                  <c:v>2015/2016 </c:v>
                </c:pt>
              </c:strCache>
            </c:strRef>
          </c:cat>
          <c:val>
            <c:numRef>
              <c:f>('Baseline Years'!$G$81,'Baseline Years'!$J$81)</c:f>
              <c:numCache>
                <c:formatCode>_(* #,##0_);_(* \(#,##0\);_(* "-"??_);_(@_)</c:formatCode>
                <c:ptCount val="2"/>
                <c:pt idx="0">
                  <c:v>304450.40237499739</c:v>
                </c:pt>
                <c:pt idx="1">
                  <c:v>2303.3870362975263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83-4C46-A7FA-7F9973D3C5B5}"/>
            </c:ext>
          </c:extLst>
        </c:ser>
        <c:ser>
          <c:idx val="2"/>
          <c:order val="2"/>
          <c:tx>
            <c:strRef>
              <c:f>'Baseline Years'!$F$82</c:f>
              <c:strCache>
                <c:ptCount val="1"/>
                <c:pt idx="0">
                  <c:v>Natural Gas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('Baseline Years'!$G$79,'Baseline Years'!$J$79)</c:f>
              <c:strCache>
                <c:ptCount val="2"/>
                <c:pt idx="0">
                  <c:v>Baseline</c:v>
                </c:pt>
                <c:pt idx="1">
                  <c:v>2015/2016 </c:v>
                </c:pt>
              </c:strCache>
            </c:strRef>
          </c:cat>
          <c:val>
            <c:numRef>
              <c:f>('Baseline Years'!$G$82,'Baseline Years'!$J$82)</c:f>
              <c:numCache>
                <c:formatCode>_(* #,##0_);_(* \(#,##0\);_(* "-"??_);_(@_)</c:formatCode>
                <c:ptCount val="2"/>
                <c:pt idx="0">
                  <c:v>135535.04735192211</c:v>
                </c:pt>
                <c:pt idx="1">
                  <c:v>300076.17143254104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83-4C46-A7FA-7F9973D3C5B5}"/>
            </c:ext>
          </c:extLst>
        </c:ser>
        <c:ser>
          <c:idx val="3"/>
          <c:order val="3"/>
          <c:tx>
            <c:strRef>
              <c:f>'Baseline Years'!$F$83</c:f>
              <c:strCache>
                <c:ptCount val="1"/>
                <c:pt idx="0">
                  <c:v>Total Fleet Fuels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('Baseline Years'!$G$79,'Baseline Years'!$J$79)</c:f>
              <c:strCache>
                <c:ptCount val="2"/>
                <c:pt idx="0">
                  <c:v>Baseline</c:v>
                </c:pt>
                <c:pt idx="1">
                  <c:v>2015/2016 </c:v>
                </c:pt>
              </c:strCache>
            </c:strRef>
          </c:cat>
          <c:val>
            <c:numRef>
              <c:f>('Baseline Years'!$G$83,'Baseline Years'!$J$83)</c:f>
              <c:numCache>
                <c:formatCode>_(* #,##0_);_(* \(#,##0\);_(* "-"??_);_(@_)</c:formatCode>
                <c:ptCount val="2"/>
                <c:pt idx="0">
                  <c:v>3947.5814399999999</c:v>
                </c:pt>
                <c:pt idx="1">
                  <c:v>4387.4344799999999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83-4C46-A7FA-7F9973D3C5B5}"/>
            </c:ext>
          </c:extLst>
        </c:ser>
        <c:ser>
          <c:idx val="4"/>
          <c:order val="4"/>
          <c:tx>
            <c:strRef>
              <c:f>'Baseline Years'!$F$84</c:f>
              <c:strCache>
                <c:ptCount val="1"/>
                <c:pt idx="0">
                  <c:v>Electricity : MCW Factor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('Baseline Years'!$G$79,'Baseline Years'!$J$79)</c:f>
              <c:strCache>
                <c:ptCount val="2"/>
                <c:pt idx="0">
                  <c:v>Baseline</c:v>
                </c:pt>
                <c:pt idx="1">
                  <c:v>2015/2016 </c:v>
                </c:pt>
              </c:strCache>
            </c:strRef>
          </c:cat>
          <c:val>
            <c:numRef>
              <c:f>('Baseline Years'!$G$84,'Baseline Years'!$J$84)</c:f>
              <c:numCache>
                <c:formatCode>_(* #,##0_);_(* \(#,##0\);_(* "-"??_);_(@_)</c:formatCode>
                <c:ptCount val="2"/>
                <c:pt idx="0">
                  <c:v>653495.03432999994</c:v>
                </c:pt>
                <c:pt idx="1">
                  <c:v>619413.50367000001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83-4C46-A7FA-7F9973D3C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7288616"/>
        <c:axId val="227289008"/>
        <c:axId val="0"/>
      </c:bar3DChart>
      <c:catAx>
        <c:axId val="227288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289008"/>
        <c:crosses val="autoZero"/>
        <c:auto val="1"/>
        <c:lblAlgn val="ctr"/>
        <c:lblOffset val="100"/>
        <c:noMultiLvlLbl val="0"/>
      </c:catAx>
      <c:valAx>
        <c:axId val="22728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288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2013/2014 GHG Emissions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2824091579581574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'SCOPES 1 &amp; 2'!$L$13</c:f>
              <c:strCache>
                <c:ptCount val="1"/>
                <c:pt idx="0">
                  <c:v>2013/2014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10-4BD9-BAC1-A688156862E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10-4BD9-BAC1-A688156862E6}"/>
              </c:ext>
            </c:extLst>
          </c:dPt>
          <c:dLbls>
            <c:dLbl>
              <c:idx val="0"/>
              <c:layout>
                <c:manualLayout>
                  <c:x val="0.14423922603342129"/>
                  <c:y val="-0.1527777777777778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10-4BD9-BAC1-A688156862E6}"/>
                </c:ext>
              </c:extLst>
            </c:dLbl>
            <c:dLbl>
              <c:idx val="1"/>
              <c:layout>
                <c:manualLayout>
                  <c:x val="-0.15831134564643801"/>
                  <c:y val="3.703703703703703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10-4BD9-BAC1-A688156862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'SCOPES 1 &amp; 2'!$K$14:$K$15</c:f>
              <c:strCache>
                <c:ptCount val="2"/>
                <c:pt idx="0">
                  <c:v>Scope 1</c:v>
                </c:pt>
                <c:pt idx="1">
                  <c:v>Scope 2</c:v>
                </c:pt>
              </c:strCache>
            </c:strRef>
          </c:cat>
          <c:val>
            <c:numRef>
              <c:f>'SCOPES 1 &amp; 2'!$L$14:$L$15</c:f>
              <c:numCache>
                <c:formatCode>_(* #,##0_);_(* \(#,##0\);_(* "-"_);_(@_)</c:formatCode>
                <c:ptCount val="2"/>
                <c:pt idx="0">
                  <c:v>15668.344467999999</c:v>
                </c:pt>
                <c:pt idx="1">
                  <c:v>21598.202603999998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10-4BD9-BAC1-A688156862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2014/2015 GHG Emissions</a:t>
            </a:r>
          </a:p>
        </c:rich>
      </c:tx>
      <c:layout>
        <c:manualLayout>
          <c:xMode val="edge"/>
          <c:yMode val="edge"/>
          <c:x val="0.23316905335019647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0323143060354868"/>
          <c:y val="0.23393336249635463"/>
          <c:w val="0.39353740105028839"/>
          <c:h val="0.54701698745990079"/>
        </c:manualLayout>
      </c:layout>
      <c:doughnutChart>
        <c:varyColors val="1"/>
        <c:ser>
          <c:idx val="0"/>
          <c:order val="0"/>
          <c:tx>
            <c:strRef>
              <c:f>'SCOPES 1 &amp; 2'!$L$28</c:f>
              <c:strCache>
                <c:ptCount val="1"/>
                <c:pt idx="0">
                  <c:v>2014/2015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BD-48CB-933A-96AEA73BAE35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BD-48CB-933A-96AEA73BAE35}"/>
              </c:ext>
            </c:extLst>
          </c:dPt>
          <c:dLbls>
            <c:dLbl>
              <c:idx val="0"/>
              <c:layout>
                <c:manualLayout>
                  <c:x val="0.15544041450777202"/>
                  <c:y val="-8.333333333333332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D-48CB-933A-96AEA73BAE35}"/>
                </c:ext>
              </c:extLst>
            </c:dLbl>
            <c:dLbl>
              <c:idx val="1"/>
              <c:layout>
                <c:manualLayout>
                  <c:x val="-0.17567185246539824"/>
                  <c:y val="6.2560233948029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79805866592815"/>
                      <c:h val="0.125050959539148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8BD-48CB-933A-96AEA73BAE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'SCOPES 1 &amp; 2'!$K$29:$K$30</c:f>
              <c:strCache>
                <c:ptCount val="2"/>
                <c:pt idx="0">
                  <c:v>Scope 1</c:v>
                </c:pt>
                <c:pt idx="1">
                  <c:v>Scope 2</c:v>
                </c:pt>
              </c:strCache>
            </c:strRef>
          </c:cat>
          <c:val>
            <c:numRef>
              <c:f>'SCOPES 1 &amp; 2'!$L$29:$L$30</c:f>
              <c:numCache>
                <c:formatCode>_(* #,##0_);_(* \(#,##0\);_(* "-"_);_(@_)</c:formatCode>
                <c:ptCount val="2"/>
                <c:pt idx="0">
                  <c:v>14165.977025999999</c:v>
                </c:pt>
                <c:pt idx="1">
                  <c:v>21313.534161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BD-48CB-933A-96AEA73BAE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2015/2016 GHG Emissions</a:t>
            </a:r>
          </a:p>
        </c:rich>
      </c:tx>
      <c:layout>
        <c:manualLayout>
          <c:xMode val="edge"/>
          <c:yMode val="edge"/>
          <c:x val="0.23938355876978204"/>
          <c:y val="3.45759107995951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508192920729029"/>
          <c:y val="0.23652777777777778"/>
          <c:w val="0.38980442942234139"/>
          <c:h val="0.54182815689705455"/>
        </c:manualLayout>
      </c:layout>
      <c:doughnutChart>
        <c:varyColors val="1"/>
        <c:ser>
          <c:idx val="0"/>
          <c:order val="0"/>
          <c:tx>
            <c:strRef>
              <c:f>'SCOPES 1 &amp; 2'!$L$43</c:f>
              <c:strCache>
                <c:ptCount val="1"/>
                <c:pt idx="0">
                  <c:v>2015/2016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CB3-4F70-B0D0-B3EA3444F2A2}"/>
              </c:ext>
            </c:extLst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CB3-4F70-B0D0-B3EA3444F2A2}"/>
              </c:ext>
            </c:extLst>
          </c:dPt>
          <c:dLbls>
            <c:dLbl>
              <c:idx val="0"/>
              <c:layout>
                <c:manualLayout>
                  <c:x val="9.9920063948840926E-2"/>
                  <c:y val="-0.1111111111111111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B3-4F70-B0D0-B3EA3444F2A2}"/>
                </c:ext>
              </c:extLst>
            </c:dLbl>
            <c:dLbl>
              <c:idx val="1"/>
              <c:layout>
                <c:manualLayout>
                  <c:x val="-0.15654143351985078"/>
                  <c:y val="5.555555555555555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B3-4F70-B0D0-B3EA3444F2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'SCOPES 1 &amp; 2'!$K$44:$K$45</c:f>
              <c:strCache>
                <c:ptCount val="2"/>
                <c:pt idx="0">
                  <c:v>Scope 1</c:v>
                </c:pt>
                <c:pt idx="1">
                  <c:v>Scope 2</c:v>
                </c:pt>
              </c:strCache>
            </c:strRef>
          </c:cat>
          <c:val>
            <c:numRef>
              <c:f>'SCOPES 1 &amp; 2'!$L$44:$L$45</c:f>
              <c:numCache>
                <c:formatCode>_(* #,##0_);_(* \(#,##0\);_(* "-"_);_(@_)</c:formatCode>
                <c:ptCount val="2"/>
                <c:pt idx="0">
                  <c:v>10287.02195</c:v>
                </c:pt>
                <c:pt idx="1">
                  <c:v>20647.116789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B3-4F70-B0D0-B3EA3444F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Baseline Years GHG Emissions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1109312025445263"/>
          <c:y val="0.24344618055555559"/>
          <c:w val="0.39113669694165926"/>
          <c:h val="0.50970000820209971"/>
        </c:manualLayout>
      </c:layout>
      <c:doughnutChart>
        <c:varyColors val="1"/>
        <c:ser>
          <c:idx val="0"/>
          <c:order val="0"/>
          <c:tx>
            <c:strRef>
              <c:f>'SCOPES 1 &amp; 2'!$L$59</c:f>
              <c:strCache>
                <c:ptCount val="1"/>
                <c:pt idx="0">
                  <c:v>Baseline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F2-45F2-AC22-B161DBF464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2-45F2-AC22-B161DBF46429}"/>
              </c:ext>
            </c:extLst>
          </c:dPt>
          <c:dLbls>
            <c:dLbl>
              <c:idx val="0"/>
              <c:layout>
                <c:manualLayout>
                  <c:x val="0.11657340794031429"/>
                  <c:y val="-0.16927083333333334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2-45F2-AC22-B161DBF46429}"/>
                </c:ext>
              </c:extLst>
            </c:dLbl>
            <c:dLbl>
              <c:idx val="1"/>
              <c:layout>
                <c:manualLayout>
                  <c:x val="-0.13655742073008259"/>
                  <c:y val="6.510416666666667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F2-45F2-AC22-B161DBF464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'SCOPES 1 &amp; 2'!$K$60:$K$61</c:f>
              <c:strCache>
                <c:ptCount val="2"/>
                <c:pt idx="0">
                  <c:v>Scope 1</c:v>
                </c:pt>
                <c:pt idx="1">
                  <c:v>Scope 2</c:v>
                </c:pt>
              </c:strCache>
            </c:strRef>
          </c:cat>
          <c:val>
            <c:numRef>
              <c:f>'SCOPES 1 &amp; 2'!$L$60:$L$61</c:f>
              <c:numCache>
                <c:formatCode>_(* #,##0_);_(* \(#,##0\);_(* "-"_);_(@_)</c:formatCode>
                <c:ptCount val="2"/>
                <c:pt idx="0">
                  <c:v>15850.554450000001</c:v>
                </c:pt>
                <c:pt idx="1">
                  <c:v>21783.167810999999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F2-45F2-AC22-B161DBF46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2013/2014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9D-4FF8-B60A-D20514DAC2E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9D-4FF8-B60A-D20514DAC2EA}"/>
              </c:ext>
            </c:extLst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9D-4FF8-B60A-D20514DAC2EA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9D-4FF8-B60A-D20514DAC2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'SCOPES 1 &amp; 2'!$X$6:$X$7</c:f>
              <c:strCache>
                <c:ptCount val="2"/>
                <c:pt idx="0">
                  <c:v>Scope 1</c:v>
                </c:pt>
                <c:pt idx="1">
                  <c:v>Scope 2</c:v>
                </c:pt>
              </c:strCache>
            </c:strRef>
          </c:cat>
          <c:val>
            <c:numRef>
              <c:f>'SCOPES 1 &amp; 2'!$Y$6:$Y$7</c:f>
              <c:numCache>
                <c:formatCode>_(* #,##0_);_(* \(#,##0\);_(* "-"_);_(@_)</c:formatCode>
                <c:ptCount val="2"/>
                <c:pt idx="0">
                  <c:v>467316.43297615234</c:v>
                </c:pt>
                <c:pt idx="1">
                  <c:v>647946.07811999996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9D-4FF8-B60A-D20514DAC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2014/2015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04-49AC-A591-1314755029BC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04-49AC-A591-1314755029BC}"/>
              </c:ext>
            </c:extLst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04-49AC-A591-1314755029BC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04-49AC-A591-1314755029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'SCOPES 1 &amp; 2'!$X$20:$X$21</c:f>
              <c:strCache>
                <c:ptCount val="2"/>
                <c:pt idx="0">
                  <c:v>Scope 1</c:v>
                </c:pt>
                <c:pt idx="1">
                  <c:v>Scope 2</c:v>
                </c:pt>
              </c:strCache>
            </c:strRef>
          </c:cat>
          <c:val>
            <c:numRef>
              <c:f>'SCOPES 1 &amp; 2'!$Y$20:$Y$21</c:f>
              <c:numCache>
                <c:formatCode>_(* #,##0_);_(* \(#,##0\);_(* "-"_);_(@_)</c:formatCode>
                <c:ptCount val="2"/>
                <c:pt idx="0">
                  <c:v>422424.06371102436</c:v>
                </c:pt>
                <c:pt idx="1">
                  <c:v>639406.02483000001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04-49AC-A591-131475502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2015/2016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85-47DC-B2EB-1D1142A074C2}"/>
              </c:ext>
            </c:extLst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85-47DC-B2EB-1D1142A074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'SCOPES 1 &amp; 2'!$X$35:$X$36</c:f>
              <c:strCache>
                <c:ptCount val="2"/>
                <c:pt idx="0">
                  <c:v>Scope 1</c:v>
                </c:pt>
                <c:pt idx="1">
                  <c:v>Scope 2</c:v>
                </c:pt>
              </c:strCache>
            </c:strRef>
          </c:cat>
          <c:val>
            <c:numRef>
              <c:f>'SCOPES 1 &amp; 2'!$Y$35:$Y$36</c:f>
              <c:numCache>
                <c:formatCode>_(* #,##0_);_(* \(#,##0\);_(* "-"_);_(@_)</c:formatCode>
                <c:ptCount val="2"/>
                <c:pt idx="0">
                  <c:v>306766.99294883857</c:v>
                </c:pt>
                <c:pt idx="1">
                  <c:v>619413.50367000001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85-47DC-B2EB-1D1142A07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Baseline</a:t>
            </a:r>
            <a:r>
              <a:rPr lang="en-US" baseline="0"/>
              <a:t> Years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A4-49E9-AA6A-DB305169EC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A4-49E9-AA6A-DB305169EC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'SCOPES 1 &amp; 2'!$X$50:$X$51</c:f>
              <c:strCache>
                <c:ptCount val="2"/>
                <c:pt idx="0">
                  <c:v>Scope 1</c:v>
                </c:pt>
                <c:pt idx="1">
                  <c:v>Scope 2</c:v>
                </c:pt>
              </c:strCache>
            </c:strRef>
          </c:cat>
          <c:val>
            <c:numRef>
              <c:f>'SCOPES 1 &amp; 2'!$Y$50:$Y$51</c:f>
              <c:numCache>
                <c:formatCode>_(* #,##0_);_(* \(#,##0\);_(* "-"_);_(@_)</c:formatCode>
                <c:ptCount val="2"/>
                <c:pt idx="0">
                  <c:v>473444.22191003291</c:v>
                </c:pt>
                <c:pt idx="1">
                  <c:v>653495.03432999994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A4-49E9-AA6A-DB305169E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GHG</a:t>
            </a:r>
            <a:r>
              <a:rPr lang="en-US" baseline="0"/>
              <a:t> emissions distribution: 2014/2015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277126283871893"/>
          <c:y val="0.18380635114666671"/>
          <c:w val="0.58723183004941393"/>
          <c:h val="0.721641086863940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409-4485-B467-2EA7B346694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409-4485-B467-2EA7B346694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409-4485-B467-2EA7B3466940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409-4485-B467-2EA7B346694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('3 Most Recent Years'!$B$19,'3 Most Recent Years'!$B$20,'3 Most Recent Years'!$B$24,'3 Most Recent Years'!$B$26)</c:f>
              <c:strCache>
                <c:ptCount val="4"/>
                <c:pt idx="0">
                  <c:v>Bunker </c:v>
                </c:pt>
                <c:pt idx="1">
                  <c:v>Natural Gas</c:v>
                </c:pt>
                <c:pt idx="2">
                  <c:v>Total Fleet Fuels </c:v>
                </c:pt>
                <c:pt idx="3">
                  <c:v>Eletricity</c:v>
                </c:pt>
              </c:strCache>
            </c:strRef>
          </c:cat>
          <c:val>
            <c:numRef>
              <c:f>('3 Most Recent Years'!$J$19,'3 Most Recent Years'!$J$20,'3 Most Recent Years'!$J$24,'3 Most Recent Years'!$J$26)</c:f>
              <c:numCache>
                <c:formatCode>_(* #,##0_);_(* \(#,##0\);_(* "-"??_);_(@_)</c:formatCode>
                <c:ptCount val="4"/>
                <c:pt idx="0" formatCode="General">
                  <c:v>0</c:v>
                </c:pt>
                <c:pt idx="1">
                  <c:v>14011.171408</c:v>
                </c:pt>
                <c:pt idx="2">
                  <c:v>154.80561800000001</c:v>
                </c:pt>
                <c:pt idx="3">
                  <c:v>21313.534161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09-4485-B467-2EA7B3466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GHG</a:t>
            </a:r>
            <a:r>
              <a:rPr lang="en-US" baseline="0"/>
              <a:t> emissions distribution: 2015/2016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DF-4896-8B8F-374D799B4EEB}"/>
              </c:ext>
            </c:extLst>
          </c:dPt>
          <c:dPt>
            <c:idx val="1"/>
            <c:bubble3D val="0"/>
            <c:spPr>
              <a:solidFill>
                <a:schemeClr val="accent6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DF-4896-8B8F-374D799B4EEB}"/>
              </c:ext>
            </c:extLst>
          </c:dPt>
          <c:dPt>
            <c:idx val="2"/>
            <c:bubble3D val="0"/>
            <c:spPr>
              <a:solidFill>
                <a:schemeClr val="accent6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DF-4896-8B8F-374D799B4EEB}"/>
              </c:ext>
            </c:extLst>
          </c:dPt>
          <c:dPt>
            <c:idx val="3"/>
            <c:bubble3D val="0"/>
            <c:spPr>
              <a:solidFill>
                <a:schemeClr val="accent6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DF-4896-8B8F-374D799B4EE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('3 Most Recent Years'!$B$33,'3 Most Recent Years'!$B$34,'3 Most Recent Years'!$B$38,'3 Most Recent Years'!$B$40)</c:f>
              <c:strCache>
                <c:ptCount val="4"/>
                <c:pt idx="0">
                  <c:v>Bunker </c:v>
                </c:pt>
                <c:pt idx="1">
                  <c:v>Natural Gas</c:v>
                </c:pt>
                <c:pt idx="2">
                  <c:v>Total Fleet Fuels </c:v>
                </c:pt>
                <c:pt idx="3">
                  <c:v>Eletricity</c:v>
                </c:pt>
              </c:strCache>
            </c:strRef>
          </c:cat>
          <c:val>
            <c:numRef>
              <c:f>('3 Most Recent Years'!$J$33,'3 Most Recent Years'!$J$34,'3 Most Recent Years'!$J$38,'3 Most Recent Years'!$J$40)</c:f>
              <c:numCache>
                <c:formatCode>0</c:formatCode>
                <c:ptCount val="4"/>
                <c:pt idx="0" formatCode="0.00">
                  <c:v>77.057038000000006</c:v>
                </c:pt>
                <c:pt idx="1">
                  <c:v>10063.717096</c:v>
                </c:pt>
                <c:pt idx="2" formatCode="_(* #,##0_);_(* \(#,##0\);_(* &quot;-&quot;??_);_(@_)">
                  <c:v>146.247816</c:v>
                </c:pt>
                <c:pt idx="3" formatCode="_(* #,##0_);_(* \(#,##0\);_(* &quot;-&quot;??_);_(@_)">
                  <c:v>20647.116789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DF-4896-8B8F-374D799B4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Yearly GHG</a:t>
            </a:r>
            <a:r>
              <a:rPr lang="en-US" baseline="0"/>
              <a:t> emissions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 Most Recent Years'!$B$53</c:f>
              <c:strCache>
                <c:ptCount val="1"/>
                <c:pt idx="0">
                  <c:v>Bunker Oil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 Most Recent Years'!$C$52:$F$52</c:f>
              <c:strCache>
                <c:ptCount val="3"/>
                <c:pt idx="0">
                  <c:v>2013/2014</c:v>
                </c:pt>
                <c:pt idx="1">
                  <c:v>2014/2015</c:v>
                </c:pt>
                <c:pt idx="2">
                  <c:v>2015/2016</c:v>
                </c:pt>
              </c:strCache>
            </c:strRef>
          </c:cat>
          <c:val>
            <c:numRef>
              <c:f>'3 Most Recent Years'!$C$53:$F$53</c:f>
              <c:numCache>
                <c:formatCode>_(* #,##0_);_(* \(#,##0\);_(* "-"??_);_(@_)</c:formatCode>
                <c:ptCount val="3"/>
                <c:pt idx="0">
                  <c:v>1353.708678</c:v>
                </c:pt>
                <c:pt idx="1">
                  <c:v>0</c:v>
                </c:pt>
                <c:pt idx="2">
                  <c:v>77.057038000000006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8-48B2-BE27-904362F904BE}"/>
            </c:ext>
          </c:extLst>
        </c:ser>
        <c:ser>
          <c:idx val="1"/>
          <c:order val="1"/>
          <c:tx>
            <c:strRef>
              <c:f>'3 Most Recent Years'!$B$54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 Most Recent Years'!$C$52:$F$52</c:f>
              <c:strCache>
                <c:ptCount val="3"/>
                <c:pt idx="0">
                  <c:v>2013/2014</c:v>
                </c:pt>
                <c:pt idx="1">
                  <c:v>2014/2015</c:v>
                </c:pt>
                <c:pt idx="2">
                  <c:v>2015/2016</c:v>
                </c:pt>
              </c:strCache>
            </c:strRef>
          </c:cat>
          <c:val>
            <c:numRef>
              <c:f>'3 Most Recent Years'!$C$54:$F$54</c:f>
              <c:numCache>
                <c:formatCode>_(* #,##0_);_(* \(#,##0\);_(* "-"??_);_(@_)</c:formatCode>
                <c:ptCount val="3"/>
                <c:pt idx="0">
                  <c:v>14188.936040000001</c:v>
                </c:pt>
                <c:pt idx="1">
                  <c:v>14011.171408</c:v>
                </c:pt>
                <c:pt idx="2">
                  <c:v>10063.717096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8-48B2-BE27-904362F904BE}"/>
            </c:ext>
          </c:extLst>
        </c:ser>
        <c:ser>
          <c:idx val="2"/>
          <c:order val="2"/>
          <c:tx>
            <c:strRef>
              <c:f>'3 Most Recent Years'!$B$55</c:f>
              <c:strCache>
                <c:ptCount val="1"/>
                <c:pt idx="0">
                  <c:v>Total Fleet Fuels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'3 Most Recent Years'!$C$52:$F$52</c:f>
              <c:strCache>
                <c:ptCount val="3"/>
                <c:pt idx="0">
                  <c:v>2013/2014</c:v>
                </c:pt>
                <c:pt idx="1">
                  <c:v>2014/2015</c:v>
                </c:pt>
                <c:pt idx="2">
                  <c:v>2015/2016</c:v>
                </c:pt>
              </c:strCache>
            </c:strRef>
          </c:cat>
          <c:val>
            <c:numRef>
              <c:f>'3 Most Recent Years'!$C$55:$F$55</c:f>
              <c:numCache>
                <c:formatCode>_(* #,##0_);_(* \(#,##0\);_(* "-"??_);_(@_)</c:formatCode>
                <c:ptCount val="3"/>
                <c:pt idx="0">
                  <c:v>125.69974999999999</c:v>
                </c:pt>
                <c:pt idx="1">
                  <c:v>154.80561800000001</c:v>
                </c:pt>
                <c:pt idx="2">
                  <c:v>146.247816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8-48B2-BE27-904362F904BE}"/>
            </c:ext>
          </c:extLst>
        </c:ser>
        <c:ser>
          <c:idx val="3"/>
          <c:order val="3"/>
          <c:tx>
            <c:strRef>
              <c:f>'3 Most Recent Years'!$B$56</c:f>
              <c:strCache>
                <c:ptCount val="1"/>
                <c:pt idx="0">
                  <c:v>Electricity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 Most Recent Years'!$C$52:$F$52</c:f>
              <c:strCache>
                <c:ptCount val="3"/>
                <c:pt idx="0">
                  <c:v>2013/2014</c:v>
                </c:pt>
                <c:pt idx="1">
                  <c:v>2014/2015</c:v>
                </c:pt>
                <c:pt idx="2">
                  <c:v>2015/2016</c:v>
                </c:pt>
              </c:strCache>
            </c:strRef>
          </c:cat>
          <c:val>
            <c:numRef>
              <c:f>'3 Most Recent Years'!$C$56:$F$56</c:f>
              <c:numCache>
                <c:formatCode>_(* #,##0_);_(* \(#,##0\);_(* "-"??_);_(@_)</c:formatCode>
                <c:ptCount val="3"/>
                <c:pt idx="0">
                  <c:v>21598.202603999998</c:v>
                </c:pt>
                <c:pt idx="1">
                  <c:v>21313.534161</c:v>
                </c:pt>
                <c:pt idx="2">
                  <c:v>20647.116789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8-48B2-BE27-904362F90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6273392"/>
        <c:axId val="193622592"/>
      </c:barChart>
      <c:catAx>
        <c:axId val="14627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622592"/>
        <c:crosses val="autoZero"/>
        <c:auto val="1"/>
        <c:lblAlgn val="ctr"/>
        <c:lblOffset val="100"/>
        <c:noMultiLvlLbl val="0"/>
      </c:catAx>
      <c:valAx>
        <c:axId val="19362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GHG emissions (metric</a:t>
                </a:r>
                <a:r>
                  <a:rPr lang="en-US" baseline="0"/>
                  <a:t> tonnes)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5594541910331383E-2"/>
              <c:y val="0.237373608337158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27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Yearly</a:t>
            </a:r>
            <a:r>
              <a:rPr lang="en-US" baseline="0"/>
              <a:t> Carbon Tax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'3 Most Recent Years'!$B$61</c:f>
              <c:strCache>
                <c:ptCount val="1"/>
                <c:pt idx="0">
                  <c:v>Bunker Oil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'3 Most Recent Years'!$C$60:$F$60</c:f>
              <c:strCache>
                <c:ptCount val="3"/>
                <c:pt idx="0">
                  <c:v>2013/2014 </c:v>
                </c:pt>
                <c:pt idx="1">
                  <c:v>2014/2015 </c:v>
                </c:pt>
                <c:pt idx="2">
                  <c:v>2015/2016 </c:v>
                </c:pt>
              </c:strCache>
            </c:strRef>
          </c:cat>
          <c:val>
            <c:numRef>
              <c:f>'3 Most Recent Years'!$C$61:$F$61</c:f>
              <c:numCache>
                <c:formatCode>_(* #,##0_);_(* \(#,##0\);_(* "-"??_);_(@_)</c:formatCode>
                <c:ptCount val="3"/>
                <c:pt idx="0">
                  <c:v>40465.025658378698</c:v>
                </c:pt>
                <c:pt idx="1">
                  <c:v>0</c:v>
                </c:pt>
                <c:pt idx="2">
                  <c:v>2303.3870362975263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B-4097-900A-630136592F22}"/>
            </c:ext>
          </c:extLst>
        </c:ser>
        <c:ser>
          <c:idx val="1"/>
          <c:order val="1"/>
          <c:tx>
            <c:strRef>
              <c:f>'3 Most Recent Years'!$B$62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'3 Most Recent Years'!$C$60:$F$60</c:f>
              <c:strCache>
                <c:ptCount val="3"/>
                <c:pt idx="0">
                  <c:v>2013/2014 </c:v>
                </c:pt>
                <c:pt idx="1">
                  <c:v>2014/2015 </c:v>
                </c:pt>
                <c:pt idx="2">
                  <c:v>2015/2016 </c:v>
                </c:pt>
              </c:strCache>
            </c:strRef>
          </c:cat>
          <c:val>
            <c:numRef>
              <c:f>'3 Most Recent Years'!$C$62:$F$62</c:f>
              <c:numCache>
                <c:formatCode>_(* #,##0_);_(* \(#,##0\);_(* "-"??_);_(@_)</c:formatCode>
                <c:ptCount val="3"/>
                <c:pt idx="0">
                  <c:v>423080.41481777368</c:v>
                </c:pt>
                <c:pt idx="1">
                  <c:v>417779.89517102437</c:v>
                </c:pt>
                <c:pt idx="2">
                  <c:v>300076.17143254104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FB-4097-900A-630136592F22}"/>
            </c:ext>
          </c:extLst>
        </c:ser>
        <c:ser>
          <c:idx val="2"/>
          <c:order val="2"/>
          <c:tx>
            <c:strRef>
              <c:f>'3 Most Recent Years'!$B$63</c:f>
              <c:strCache>
                <c:ptCount val="1"/>
                <c:pt idx="0">
                  <c:v>Total Fleet Fuels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'3 Most Recent Years'!$C$60:$F$60</c:f>
              <c:strCache>
                <c:ptCount val="3"/>
                <c:pt idx="0">
                  <c:v>2013/2014 </c:v>
                </c:pt>
                <c:pt idx="1">
                  <c:v>2014/2015 </c:v>
                </c:pt>
                <c:pt idx="2">
                  <c:v>2015/2016 </c:v>
                </c:pt>
              </c:strCache>
            </c:strRef>
          </c:cat>
          <c:val>
            <c:numRef>
              <c:f>'3 Most Recent Years'!$C$63:$F$63</c:f>
              <c:numCache>
                <c:formatCode>_(* #,##0_);_(* \(#,##0\);_(* "-"??_);_(@_)</c:formatCode>
                <c:ptCount val="3"/>
                <c:pt idx="0">
                  <c:v>3770.9924999999998</c:v>
                </c:pt>
                <c:pt idx="1">
                  <c:v>4644.1685400000006</c:v>
                </c:pt>
                <c:pt idx="2">
                  <c:v>4387.4344799999999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FB-4097-900A-630136592F22}"/>
            </c:ext>
          </c:extLst>
        </c:ser>
        <c:ser>
          <c:idx val="3"/>
          <c:order val="3"/>
          <c:tx>
            <c:strRef>
              <c:f>'3 Most Recent Years'!$B$64</c:f>
              <c:strCache>
                <c:ptCount val="1"/>
                <c:pt idx="0">
                  <c:v>Electricity : MCW Factor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'3 Most Recent Years'!$C$60:$F$60</c:f>
              <c:strCache>
                <c:ptCount val="3"/>
                <c:pt idx="0">
                  <c:v>2013/2014 </c:v>
                </c:pt>
                <c:pt idx="1">
                  <c:v>2014/2015 </c:v>
                </c:pt>
                <c:pt idx="2">
                  <c:v>2015/2016 </c:v>
                </c:pt>
              </c:strCache>
            </c:strRef>
          </c:cat>
          <c:val>
            <c:numRef>
              <c:f>'3 Most Recent Years'!$C$64:$F$64</c:f>
              <c:numCache>
                <c:formatCode>_(* #,##0_);_(* \(#,##0\);_(* "-"??_);_(@_)</c:formatCode>
                <c:ptCount val="3"/>
                <c:pt idx="0">
                  <c:v>647946.07811999996</c:v>
                </c:pt>
                <c:pt idx="1">
                  <c:v>639406.02483000001</c:v>
                </c:pt>
                <c:pt idx="2">
                  <c:v>619413.50367000001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FB-4097-900A-630136592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4871992"/>
        <c:axId val="224872384"/>
        <c:axId val="0"/>
      </c:bar3DChart>
      <c:catAx>
        <c:axId val="224871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872384"/>
        <c:crosses val="autoZero"/>
        <c:auto val="1"/>
        <c:lblAlgn val="ctr"/>
        <c:lblOffset val="100"/>
        <c:noMultiLvlLbl val="0"/>
      </c:catAx>
      <c:valAx>
        <c:axId val="22487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871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Yearly Carbon</a:t>
            </a:r>
            <a:r>
              <a:rPr lang="en-US" baseline="0"/>
              <a:t> Tax Paid (Baseline included)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'Baseline Years'!$F$80</c:f>
              <c:strCache>
                <c:ptCount val="1"/>
                <c:pt idx="0">
                  <c:v>Furnace Oil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'Baseline Years'!$G$79:$J$79</c:f>
              <c:strCache>
                <c:ptCount val="4"/>
                <c:pt idx="0">
                  <c:v>Baseline</c:v>
                </c:pt>
                <c:pt idx="1">
                  <c:v>2013/2014 </c:v>
                </c:pt>
                <c:pt idx="2">
                  <c:v>2014/2015 </c:v>
                </c:pt>
                <c:pt idx="3">
                  <c:v>2015/2016 </c:v>
                </c:pt>
              </c:strCache>
            </c:strRef>
          </c:cat>
          <c:val>
            <c:numRef>
              <c:f>'Baseline Years'!$G$80:$J$80</c:f>
              <c:numCache>
                <c:formatCode>_(* #,##0_);_(* \(#,##0\);_(* "-"??_);_(@_)</c:formatCode>
                <c:ptCount val="4"/>
                <c:pt idx="0">
                  <c:v>29511.190743113388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3-48D4-881B-71B508853126}"/>
            </c:ext>
          </c:extLst>
        </c:ser>
        <c:ser>
          <c:idx val="1"/>
          <c:order val="1"/>
          <c:tx>
            <c:strRef>
              <c:f>'Baseline Years'!$F$81</c:f>
              <c:strCache>
                <c:ptCount val="1"/>
                <c:pt idx="0">
                  <c:v>Bunker Oil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'Baseline Years'!$G$79:$J$79</c:f>
              <c:strCache>
                <c:ptCount val="4"/>
                <c:pt idx="0">
                  <c:v>Baseline</c:v>
                </c:pt>
                <c:pt idx="1">
                  <c:v>2013/2014 </c:v>
                </c:pt>
                <c:pt idx="2">
                  <c:v>2014/2015 </c:v>
                </c:pt>
                <c:pt idx="3">
                  <c:v>2015/2016 </c:v>
                </c:pt>
              </c:strCache>
            </c:strRef>
          </c:cat>
          <c:val>
            <c:numRef>
              <c:f>'Baseline Years'!$G$81:$J$81</c:f>
              <c:numCache>
                <c:formatCode>_(* #,##0_);_(* \(#,##0\);_(* "-"??_);_(@_)</c:formatCode>
                <c:ptCount val="4"/>
                <c:pt idx="0">
                  <c:v>304450.40237499739</c:v>
                </c:pt>
                <c:pt idx="1">
                  <c:v>40465.025658378698</c:v>
                </c:pt>
                <c:pt idx="2">
                  <c:v>0</c:v>
                </c:pt>
                <c:pt idx="3">
                  <c:v>2303.3870362975263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3-48D4-881B-71B508853126}"/>
            </c:ext>
          </c:extLst>
        </c:ser>
        <c:ser>
          <c:idx val="2"/>
          <c:order val="2"/>
          <c:tx>
            <c:strRef>
              <c:f>'Baseline Years'!$F$82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'Baseline Years'!$G$79:$J$79</c:f>
              <c:strCache>
                <c:ptCount val="4"/>
                <c:pt idx="0">
                  <c:v>Baseline</c:v>
                </c:pt>
                <c:pt idx="1">
                  <c:v>2013/2014 </c:v>
                </c:pt>
                <c:pt idx="2">
                  <c:v>2014/2015 </c:v>
                </c:pt>
                <c:pt idx="3">
                  <c:v>2015/2016 </c:v>
                </c:pt>
              </c:strCache>
            </c:strRef>
          </c:cat>
          <c:val>
            <c:numRef>
              <c:f>'Baseline Years'!$G$82:$J$82</c:f>
              <c:numCache>
                <c:formatCode>_(* #,##0_);_(* \(#,##0\);_(* "-"??_);_(@_)</c:formatCode>
                <c:ptCount val="4"/>
                <c:pt idx="0">
                  <c:v>135535.04735192211</c:v>
                </c:pt>
                <c:pt idx="1">
                  <c:v>423080.41481777368</c:v>
                </c:pt>
                <c:pt idx="2">
                  <c:v>417779.89517102437</c:v>
                </c:pt>
                <c:pt idx="3">
                  <c:v>300076.17143254104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23-48D4-881B-71B508853126}"/>
            </c:ext>
          </c:extLst>
        </c:ser>
        <c:ser>
          <c:idx val="3"/>
          <c:order val="3"/>
          <c:tx>
            <c:strRef>
              <c:f>'Baseline Years'!$F$83</c:f>
              <c:strCache>
                <c:ptCount val="1"/>
                <c:pt idx="0">
                  <c:v>Total Fleet Fuels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'Baseline Years'!$G$79:$J$79</c:f>
              <c:strCache>
                <c:ptCount val="4"/>
                <c:pt idx="0">
                  <c:v>Baseline</c:v>
                </c:pt>
                <c:pt idx="1">
                  <c:v>2013/2014 </c:v>
                </c:pt>
                <c:pt idx="2">
                  <c:v>2014/2015 </c:v>
                </c:pt>
                <c:pt idx="3">
                  <c:v>2015/2016 </c:v>
                </c:pt>
              </c:strCache>
            </c:strRef>
          </c:cat>
          <c:val>
            <c:numRef>
              <c:f>'Baseline Years'!$G$83:$J$83</c:f>
              <c:numCache>
                <c:formatCode>_(* #,##0_);_(* \(#,##0\);_(* "-"??_);_(@_)</c:formatCode>
                <c:ptCount val="4"/>
                <c:pt idx="0">
                  <c:v>3947.5814399999999</c:v>
                </c:pt>
                <c:pt idx="1">
                  <c:v>3770.9924999999998</c:v>
                </c:pt>
                <c:pt idx="2">
                  <c:v>4644.1685400000006</c:v>
                </c:pt>
                <c:pt idx="3">
                  <c:v>4387.4344799999999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23-48D4-881B-71B508853126}"/>
            </c:ext>
          </c:extLst>
        </c:ser>
        <c:ser>
          <c:idx val="4"/>
          <c:order val="4"/>
          <c:tx>
            <c:strRef>
              <c:f>'Baseline Years'!$F$84</c:f>
              <c:strCache>
                <c:ptCount val="1"/>
                <c:pt idx="0">
                  <c:v>Electricity : MCW Factor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'Baseline Years'!$G$79:$J$79</c:f>
              <c:strCache>
                <c:ptCount val="4"/>
                <c:pt idx="0">
                  <c:v>Baseline</c:v>
                </c:pt>
                <c:pt idx="1">
                  <c:v>2013/2014 </c:v>
                </c:pt>
                <c:pt idx="2">
                  <c:v>2014/2015 </c:v>
                </c:pt>
                <c:pt idx="3">
                  <c:v>2015/2016 </c:v>
                </c:pt>
              </c:strCache>
            </c:strRef>
          </c:cat>
          <c:val>
            <c:numRef>
              <c:f>'Baseline Years'!$G$84:$J$84</c:f>
              <c:numCache>
                <c:formatCode>_(* #,##0_);_(* \(#,##0\);_(* "-"??_);_(@_)</c:formatCode>
                <c:ptCount val="4"/>
                <c:pt idx="0">
                  <c:v>653495.03432999994</c:v>
                </c:pt>
                <c:pt idx="1">
                  <c:v>647946.07811999996</c:v>
                </c:pt>
                <c:pt idx="2">
                  <c:v>639406.02483000001</c:v>
                </c:pt>
                <c:pt idx="3">
                  <c:v>619413.50367000001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23-48D4-881B-71B508853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4873168"/>
        <c:axId val="229125736"/>
        <c:axId val="0"/>
      </c:bar3DChart>
      <c:catAx>
        <c:axId val="22487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125736"/>
        <c:crosses val="autoZero"/>
        <c:auto val="1"/>
        <c:lblAlgn val="ctr"/>
        <c:lblOffset val="100"/>
        <c:noMultiLvlLbl val="0"/>
      </c:catAx>
      <c:valAx>
        <c:axId val="229125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87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Yearly</a:t>
            </a:r>
            <a:r>
              <a:rPr lang="en-US" baseline="0"/>
              <a:t> Carbon Dioxide Emissions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'Baseline Years'!$F$91</c:f>
              <c:strCache>
                <c:ptCount val="1"/>
                <c:pt idx="0">
                  <c:v>Furnace Oil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'Baseline Years'!$G$90:$J$90</c:f>
              <c:strCache>
                <c:ptCount val="4"/>
                <c:pt idx="0">
                  <c:v>Baseline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</c:strCache>
            </c:strRef>
          </c:cat>
          <c:val>
            <c:numRef>
              <c:f>'Baseline Years'!$G$91:$J$91</c:f>
              <c:numCache>
                <c:formatCode>_(* #,##0_);_(* \(#,##0\);_(* "-"??_);_(@_)</c:formatCode>
                <c:ptCount val="4"/>
                <c:pt idx="0">
                  <c:v>983.70635810377962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C-4B16-A35B-BEC6F095C669}"/>
            </c:ext>
          </c:extLst>
        </c:ser>
        <c:ser>
          <c:idx val="1"/>
          <c:order val="1"/>
          <c:tx>
            <c:strRef>
              <c:f>'Baseline Years'!$F$92</c:f>
              <c:strCache>
                <c:ptCount val="1"/>
                <c:pt idx="0">
                  <c:v>Bunker Oil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'Baseline Years'!$G$90:$J$90</c:f>
              <c:strCache>
                <c:ptCount val="4"/>
                <c:pt idx="0">
                  <c:v>Baseline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</c:strCache>
            </c:strRef>
          </c:cat>
          <c:val>
            <c:numRef>
              <c:f>'Baseline Years'!$G$92:$J$92</c:f>
              <c:numCache>
                <c:formatCode>_(* #,##0_);_(* \(#,##0\);_(* "-"??_);_(@_)</c:formatCode>
                <c:ptCount val="4"/>
                <c:pt idx="0">
                  <c:v>10148.346745833245</c:v>
                </c:pt>
                <c:pt idx="1">
                  <c:v>1348.8341886126232</c:v>
                </c:pt>
                <c:pt idx="2">
                  <c:v>0</c:v>
                </c:pt>
                <c:pt idx="3">
                  <c:v>76.77956787658421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DC-4B16-A35B-BEC6F095C669}"/>
            </c:ext>
          </c:extLst>
        </c:ser>
        <c:ser>
          <c:idx val="2"/>
          <c:order val="2"/>
          <c:tx>
            <c:strRef>
              <c:f>'Baseline Years'!$F$93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'Baseline Years'!$G$90:$J$90</c:f>
              <c:strCache>
                <c:ptCount val="4"/>
                <c:pt idx="0">
                  <c:v>Baseline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</c:strCache>
            </c:strRef>
          </c:cat>
          <c:val>
            <c:numRef>
              <c:f>'Baseline Years'!$G$93:$J$93</c:f>
              <c:numCache>
                <c:formatCode>_(* #,##0_);_(* \(#,##0\);_(* "-"??_);_(@_)</c:formatCode>
                <c:ptCount val="4"/>
                <c:pt idx="0">
                  <c:v>4517.8349117307371</c:v>
                </c:pt>
                <c:pt idx="1">
                  <c:v>14102.680493925789</c:v>
                </c:pt>
                <c:pt idx="2">
                  <c:v>13925.996505700812</c:v>
                </c:pt>
                <c:pt idx="3">
                  <c:v>10002.539047751368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DC-4B16-A35B-BEC6F095C669}"/>
            </c:ext>
          </c:extLst>
        </c:ser>
        <c:ser>
          <c:idx val="3"/>
          <c:order val="3"/>
          <c:tx>
            <c:strRef>
              <c:f>'Baseline Years'!$F$94</c:f>
              <c:strCache>
                <c:ptCount val="1"/>
                <c:pt idx="0">
                  <c:v>Total Fleet Fuels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'Baseline Years'!$G$90:$J$90</c:f>
              <c:strCache>
                <c:ptCount val="4"/>
                <c:pt idx="0">
                  <c:v>Baseline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</c:strCache>
            </c:strRef>
          </c:cat>
          <c:val>
            <c:numRef>
              <c:f>'Baseline Years'!$G$94:$J$94</c:f>
              <c:numCache>
                <c:formatCode>_(* #,##0_);_(* \(#,##0\);_(* "-"??_);_(@_)</c:formatCode>
                <c:ptCount val="4"/>
                <c:pt idx="0">
                  <c:v>131.58604800000001</c:v>
                </c:pt>
                <c:pt idx="1">
                  <c:v>125.69974999999999</c:v>
                </c:pt>
                <c:pt idx="2">
                  <c:v>154.80561800000001</c:v>
                </c:pt>
                <c:pt idx="3">
                  <c:v>146.247816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DC-4B16-A35B-BEC6F095C669}"/>
            </c:ext>
          </c:extLst>
        </c:ser>
        <c:ser>
          <c:idx val="4"/>
          <c:order val="4"/>
          <c:tx>
            <c:strRef>
              <c:f>'Baseline Years'!$F$95</c:f>
              <c:strCache>
                <c:ptCount val="1"/>
                <c:pt idx="0">
                  <c:v>Electricity (MCW)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'Baseline Years'!$G$90:$J$90</c:f>
              <c:strCache>
                <c:ptCount val="4"/>
                <c:pt idx="0">
                  <c:v>Baseline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</c:strCache>
            </c:strRef>
          </c:cat>
          <c:val>
            <c:numRef>
              <c:f>'Baseline Years'!$G$95:$J$95</c:f>
              <c:numCache>
                <c:formatCode>_(* #,##0_);_(* \(#,##0\);_(* "-"??_);_(@_)</c:formatCode>
                <c:ptCount val="4"/>
                <c:pt idx="0">
                  <c:v>21542.317854000001</c:v>
                </c:pt>
                <c:pt idx="1">
                  <c:v>21598.202603999998</c:v>
                </c:pt>
                <c:pt idx="2">
                  <c:v>21313.534161</c:v>
                </c:pt>
                <c:pt idx="3">
                  <c:v>20647.116789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DC-4B16-A35B-BEC6F095C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9126520"/>
        <c:axId val="229126912"/>
        <c:axId val="0"/>
      </c:bar3DChart>
      <c:catAx>
        <c:axId val="229126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126912"/>
        <c:crosses val="autoZero"/>
        <c:auto val="1"/>
        <c:lblAlgn val="ctr"/>
        <c:lblOffset val="100"/>
        <c:noMultiLvlLbl val="0"/>
      </c:catAx>
      <c:valAx>
        <c:axId val="22912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126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Baseline: Carbon</a:t>
            </a:r>
            <a:r>
              <a:rPr lang="en-US" baseline="0"/>
              <a:t> dioxide emissions</a:t>
            </a:r>
            <a:endParaRPr lang="en-US"/>
          </a:p>
        </c:rich>
      </c:tx>
      <c:layout>
        <c:manualLayout>
          <c:xMode val="edge"/>
          <c:yMode val="edge"/>
          <c:x val="0.136153280839895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'Baseline Years'!$G$90</c:f>
              <c:strCache>
                <c:ptCount val="1"/>
                <c:pt idx="0">
                  <c:v>Baseline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E74-4D1F-8485-8E31D2C8BB8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E74-4D1F-8485-8E31D2C8BB8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E74-4D1F-8485-8E31D2C8BB8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E74-4D1F-8485-8E31D2C8BB8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E74-4D1F-8485-8E31D2C8BB80}"/>
              </c:ext>
            </c:extLst>
          </c:dPt>
          <c:cat>
            <c:strRef>
              <c:f>'Baseline Years'!$F$91:$F$95</c:f>
              <c:strCache>
                <c:ptCount val="5"/>
                <c:pt idx="0">
                  <c:v>Furnace Oil</c:v>
                </c:pt>
                <c:pt idx="1">
                  <c:v>Bunker Oil</c:v>
                </c:pt>
                <c:pt idx="2">
                  <c:v>Natural Gas</c:v>
                </c:pt>
                <c:pt idx="3">
                  <c:v>Total Fleet Fuels</c:v>
                </c:pt>
                <c:pt idx="4">
                  <c:v>Electricity (MCW)</c:v>
                </c:pt>
              </c:strCache>
            </c:strRef>
          </c:cat>
          <c:val>
            <c:numRef>
              <c:f>'Baseline Years'!$G$91:$G$95</c:f>
              <c:numCache>
                <c:formatCode>_(* #,##0_);_(* \(#,##0\);_(* "-"??_);_(@_)</c:formatCode>
                <c:ptCount val="5"/>
                <c:pt idx="0">
                  <c:v>983.70635810377962</c:v>
                </c:pt>
                <c:pt idx="1">
                  <c:v>10148.346745833245</c:v>
                </c:pt>
                <c:pt idx="2">
                  <c:v>4517.8349117307371</c:v>
                </c:pt>
                <c:pt idx="3">
                  <c:v>131.58604800000001</c:v>
                </c:pt>
                <c:pt idx="4">
                  <c:v>21542.317854000001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74-4D1F-8485-8E31D2C8B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Baseline-2013/2014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'Baseline Years'!$F$80</c:f>
              <c:strCache>
                <c:ptCount val="1"/>
                <c:pt idx="0">
                  <c:v>Furnace Oil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'Baseline Years'!$G$79:$H$79</c:f>
              <c:strCache>
                <c:ptCount val="2"/>
                <c:pt idx="0">
                  <c:v>Baseline</c:v>
                </c:pt>
                <c:pt idx="1">
                  <c:v>2013/2014 </c:v>
                </c:pt>
              </c:strCache>
            </c:strRef>
          </c:cat>
          <c:val>
            <c:numRef>
              <c:f>'Baseline Years'!$G$80:$H$80</c:f>
              <c:numCache>
                <c:formatCode>_(* #,##0_);_(* \(#,##0\);_(* "-"??_);_(@_)</c:formatCode>
                <c:ptCount val="2"/>
                <c:pt idx="0">
                  <c:v>29511.190743113388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B-4AF7-932E-A9CE365EB161}"/>
            </c:ext>
          </c:extLst>
        </c:ser>
        <c:ser>
          <c:idx val="1"/>
          <c:order val="1"/>
          <c:tx>
            <c:strRef>
              <c:f>'Baseline Years'!$F$81</c:f>
              <c:strCache>
                <c:ptCount val="1"/>
                <c:pt idx="0">
                  <c:v>Bunker Oil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'Baseline Years'!$G$79:$H$79</c:f>
              <c:strCache>
                <c:ptCount val="2"/>
                <c:pt idx="0">
                  <c:v>Baseline</c:v>
                </c:pt>
                <c:pt idx="1">
                  <c:v>2013/2014 </c:v>
                </c:pt>
              </c:strCache>
            </c:strRef>
          </c:cat>
          <c:val>
            <c:numRef>
              <c:f>'Baseline Years'!$G$81:$H$81</c:f>
              <c:numCache>
                <c:formatCode>_(* #,##0_);_(* \(#,##0\);_(* "-"??_);_(@_)</c:formatCode>
                <c:ptCount val="2"/>
                <c:pt idx="0">
                  <c:v>304450.40237499739</c:v>
                </c:pt>
                <c:pt idx="1">
                  <c:v>40465.025658378698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7B-4AF7-932E-A9CE365EB161}"/>
            </c:ext>
          </c:extLst>
        </c:ser>
        <c:ser>
          <c:idx val="2"/>
          <c:order val="2"/>
          <c:tx>
            <c:strRef>
              <c:f>'Baseline Years'!$F$82</c:f>
              <c:strCache>
                <c:ptCount val="1"/>
                <c:pt idx="0">
                  <c:v>Natural Gas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'Baseline Years'!$G$79:$H$79</c:f>
              <c:strCache>
                <c:ptCount val="2"/>
                <c:pt idx="0">
                  <c:v>Baseline</c:v>
                </c:pt>
                <c:pt idx="1">
                  <c:v>2013/2014 </c:v>
                </c:pt>
              </c:strCache>
            </c:strRef>
          </c:cat>
          <c:val>
            <c:numRef>
              <c:f>'Baseline Years'!$G$82:$H$82</c:f>
              <c:numCache>
                <c:formatCode>_(* #,##0_);_(* \(#,##0\);_(* "-"??_);_(@_)</c:formatCode>
                <c:ptCount val="2"/>
                <c:pt idx="0">
                  <c:v>135535.04735192211</c:v>
                </c:pt>
                <c:pt idx="1">
                  <c:v>423080.41481777368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7B-4AF7-932E-A9CE365EB161}"/>
            </c:ext>
          </c:extLst>
        </c:ser>
        <c:ser>
          <c:idx val="3"/>
          <c:order val="3"/>
          <c:tx>
            <c:strRef>
              <c:f>'Baseline Years'!$F$83</c:f>
              <c:strCache>
                <c:ptCount val="1"/>
                <c:pt idx="0">
                  <c:v>Total Fleet Fuels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'Baseline Years'!$G$79:$H$79</c:f>
              <c:strCache>
                <c:ptCount val="2"/>
                <c:pt idx="0">
                  <c:v>Baseline</c:v>
                </c:pt>
                <c:pt idx="1">
                  <c:v>2013/2014 </c:v>
                </c:pt>
              </c:strCache>
            </c:strRef>
          </c:cat>
          <c:val>
            <c:numRef>
              <c:f>'Baseline Years'!$G$83:$H$83</c:f>
              <c:numCache>
                <c:formatCode>_(* #,##0_);_(* \(#,##0\);_(* "-"??_);_(@_)</c:formatCode>
                <c:ptCount val="2"/>
                <c:pt idx="0">
                  <c:v>3947.5814399999999</c:v>
                </c:pt>
                <c:pt idx="1">
                  <c:v>3770.9924999999998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7B-4AF7-932E-A9CE365EB161}"/>
            </c:ext>
          </c:extLst>
        </c:ser>
        <c:ser>
          <c:idx val="4"/>
          <c:order val="4"/>
          <c:tx>
            <c:strRef>
              <c:f>'Baseline Years'!$F$84</c:f>
              <c:strCache>
                <c:ptCount val="1"/>
                <c:pt idx="0">
                  <c:v>Electricity : MCW Factor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'Baseline Years'!$G$79:$H$79</c:f>
              <c:strCache>
                <c:ptCount val="2"/>
                <c:pt idx="0">
                  <c:v>Baseline</c:v>
                </c:pt>
                <c:pt idx="1">
                  <c:v>2013/2014 </c:v>
                </c:pt>
              </c:strCache>
            </c:strRef>
          </c:cat>
          <c:val>
            <c:numRef>
              <c:f>'Baseline Years'!$G$84:$H$84</c:f>
              <c:numCache>
                <c:formatCode>_(* #,##0_);_(* \(#,##0\);_(* "-"??_);_(@_)</c:formatCode>
                <c:ptCount val="2"/>
                <c:pt idx="0">
                  <c:v>653495.03432999994</c:v>
                </c:pt>
                <c:pt idx="1">
                  <c:v>647946.07811999996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7B-4AF7-932E-A9CE365EB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9128088"/>
        <c:axId val="229128480"/>
        <c:axId val="0"/>
      </c:bar3DChart>
      <c:catAx>
        <c:axId val="229128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128480"/>
        <c:crosses val="autoZero"/>
        <c:auto val="1"/>
        <c:lblAlgn val="ctr"/>
        <c:lblOffset val="100"/>
        <c:noMultiLvlLbl val="0"/>
      </c:catAx>
      <c:valAx>
        <c:axId val="22912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128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52</xdr:row>
      <xdr:rowOff>0</xdr:rowOff>
    </xdr:from>
    <xdr:to>
      <xdr:col>10</xdr:col>
      <xdr:colOff>28575</xdr:colOff>
      <xdr:row>58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7981950" y="11468100"/>
          <a:ext cx="819150" cy="1171575"/>
        </a:xfrm>
        <a:prstGeom prst="line">
          <a:avLst/>
        </a:prstGeom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52</xdr:row>
      <xdr:rowOff>9525</xdr:rowOff>
    </xdr:from>
    <xdr:to>
      <xdr:col>10</xdr:col>
      <xdr:colOff>0</xdr:colOff>
      <xdr:row>57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6191250" y="11763375"/>
          <a:ext cx="885825" cy="1123950"/>
        </a:xfrm>
        <a:prstGeom prst="line">
          <a:avLst/>
        </a:prstGeom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52</xdr:row>
      <xdr:rowOff>0</xdr:rowOff>
    </xdr:from>
    <xdr:to>
      <xdr:col>12</xdr:col>
      <xdr:colOff>9525</xdr:colOff>
      <xdr:row>58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7077075" y="11753850"/>
          <a:ext cx="885825" cy="1152525"/>
        </a:xfrm>
        <a:prstGeom prst="line">
          <a:avLst/>
        </a:prstGeom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52</xdr:row>
      <xdr:rowOff>0</xdr:rowOff>
    </xdr:from>
    <xdr:to>
      <xdr:col>12</xdr:col>
      <xdr:colOff>0</xdr:colOff>
      <xdr:row>58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7086600" y="11753850"/>
          <a:ext cx="866775" cy="1152525"/>
        </a:xfrm>
        <a:prstGeom prst="line">
          <a:avLst/>
        </a:prstGeom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904875</xdr:colOff>
      <xdr:row>7</xdr:row>
      <xdr:rowOff>9525</xdr:rowOff>
    </xdr:from>
    <xdr:to>
      <xdr:col>9</xdr:col>
      <xdr:colOff>9525</xdr:colOff>
      <xdr:row>13</xdr:row>
      <xdr:rowOff>9525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6705600" y="1800225"/>
          <a:ext cx="981075" cy="1143000"/>
        </a:xfrm>
        <a:prstGeom prst="line">
          <a:avLst/>
        </a:prstGeom>
        <a:ln>
          <a:solidFill>
            <a:schemeClr val="accent4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9525</xdr:rowOff>
    </xdr:from>
    <xdr:to>
      <xdr:col>8</xdr:col>
      <xdr:colOff>9525</xdr:colOff>
      <xdr:row>12</xdr:row>
      <xdr:rowOff>180975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5800725" y="1800225"/>
          <a:ext cx="923925" cy="1123950"/>
        </a:xfrm>
        <a:prstGeom prst="line">
          <a:avLst/>
        </a:prstGeom>
        <a:ln>
          <a:solidFill>
            <a:schemeClr val="accent4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1</xdr:rowOff>
    </xdr:from>
    <xdr:to>
      <xdr:col>8</xdr:col>
      <xdr:colOff>9525</xdr:colOff>
      <xdr:row>13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 flipV="1">
          <a:off x="5810250" y="1790701"/>
          <a:ext cx="914400" cy="1142999"/>
        </a:xfrm>
        <a:prstGeom prst="line">
          <a:avLst/>
        </a:prstGeom>
        <a:ln>
          <a:solidFill>
            <a:schemeClr val="accent4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7</xdr:row>
      <xdr:rowOff>19050</xdr:rowOff>
    </xdr:from>
    <xdr:to>
      <xdr:col>8</xdr:col>
      <xdr:colOff>952500</xdr:colOff>
      <xdr:row>13</xdr:row>
      <xdr:rowOff>9525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V="1">
          <a:off x="6724650" y="1809750"/>
          <a:ext cx="942975" cy="1133475"/>
        </a:xfrm>
        <a:prstGeom prst="line">
          <a:avLst/>
        </a:prstGeom>
        <a:ln>
          <a:solidFill>
            <a:schemeClr val="accent4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21</xdr:row>
      <xdr:rowOff>9525</xdr:rowOff>
    </xdr:from>
    <xdr:to>
      <xdr:col>8</xdr:col>
      <xdr:colOff>9525</xdr:colOff>
      <xdr:row>27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5800725" y="4562475"/>
          <a:ext cx="923925" cy="1143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21</xdr:row>
      <xdr:rowOff>0</xdr:rowOff>
    </xdr:from>
    <xdr:to>
      <xdr:col>9</xdr:col>
      <xdr:colOff>0</xdr:colOff>
      <xdr:row>27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6724650" y="4552950"/>
          <a:ext cx="952500" cy="1152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21</xdr:row>
      <xdr:rowOff>9526</xdr:rowOff>
    </xdr:from>
    <xdr:to>
      <xdr:col>7</xdr:col>
      <xdr:colOff>904875</xdr:colOff>
      <xdr:row>27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V="1">
          <a:off x="5810250" y="4562476"/>
          <a:ext cx="895350" cy="114299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21</xdr:row>
      <xdr:rowOff>9528</xdr:rowOff>
    </xdr:from>
    <xdr:to>
      <xdr:col>9</xdr:col>
      <xdr:colOff>0</xdr:colOff>
      <xdr:row>27</xdr:row>
      <xdr:rowOff>9525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 flipV="1">
          <a:off x="6734175" y="4562478"/>
          <a:ext cx="942975" cy="115252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35</xdr:row>
      <xdr:rowOff>0</xdr:rowOff>
    </xdr:from>
    <xdr:to>
      <xdr:col>8</xdr:col>
      <xdr:colOff>0</xdr:colOff>
      <xdr:row>41</xdr:row>
      <xdr:rowOff>9525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>
          <a:off x="5800725" y="7248525"/>
          <a:ext cx="914400" cy="1152525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35</xdr:row>
      <xdr:rowOff>9526</xdr:rowOff>
    </xdr:from>
    <xdr:to>
      <xdr:col>8</xdr:col>
      <xdr:colOff>0</xdr:colOff>
      <xdr:row>41</xdr:row>
      <xdr:rowOff>9525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/>
      </xdr:nvCxnSpPr>
      <xdr:spPr>
        <a:xfrm flipV="1">
          <a:off x="5819775" y="7258051"/>
          <a:ext cx="895350" cy="1142999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35</xdr:row>
      <xdr:rowOff>0</xdr:rowOff>
    </xdr:from>
    <xdr:to>
      <xdr:col>9</xdr:col>
      <xdr:colOff>9525</xdr:colOff>
      <xdr:row>40</xdr:row>
      <xdr:rowOff>180975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/>
      </xdr:nvCxnSpPr>
      <xdr:spPr>
        <a:xfrm>
          <a:off x="6715125" y="7248525"/>
          <a:ext cx="971550" cy="1133475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35</xdr:row>
      <xdr:rowOff>19052</xdr:rowOff>
    </xdr:from>
    <xdr:to>
      <xdr:col>9</xdr:col>
      <xdr:colOff>0</xdr:colOff>
      <xdr:row>41</xdr:row>
      <xdr:rowOff>9525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/>
      </xdr:nvCxnSpPr>
      <xdr:spPr>
        <a:xfrm flipV="1">
          <a:off x="6715125" y="7267577"/>
          <a:ext cx="962025" cy="1133473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148829</xdr:colOff>
      <xdr:row>1</xdr:row>
      <xdr:rowOff>42863</xdr:rowOff>
    </xdr:from>
    <xdr:to>
      <xdr:col>16</xdr:col>
      <xdr:colOff>371475</xdr:colOff>
      <xdr:row>14</xdr:row>
      <xdr:rowOff>188516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248047</xdr:colOff>
      <xdr:row>15</xdr:row>
      <xdr:rowOff>186929</xdr:rowOff>
    </xdr:from>
    <xdr:to>
      <xdr:col>16</xdr:col>
      <xdr:colOff>500459</xdr:colOff>
      <xdr:row>30</xdr:row>
      <xdr:rowOff>49610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218282</xdr:colOff>
      <xdr:row>30</xdr:row>
      <xdr:rowOff>150415</xdr:rowOff>
    </xdr:from>
    <xdr:to>
      <xdr:col>16</xdr:col>
      <xdr:colOff>508795</xdr:colOff>
      <xdr:row>43</xdr:row>
      <xdr:rowOff>69454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795734</xdr:colOff>
      <xdr:row>44</xdr:row>
      <xdr:rowOff>171846</xdr:rowOff>
    </xdr:from>
    <xdr:to>
      <xdr:col>17</xdr:col>
      <xdr:colOff>76200</xdr:colOff>
      <xdr:row>63</xdr:row>
      <xdr:rowOff>167878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228600</xdr:colOff>
      <xdr:row>69</xdr:row>
      <xdr:rowOff>119060</xdr:rowOff>
    </xdr:from>
    <xdr:to>
      <xdr:col>5</xdr:col>
      <xdr:colOff>1066800</xdr:colOff>
      <xdr:row>87</xdr:row>
      <xdr:rowOff>76200</xdr:rowOff>
    </xdr:to>
    <xdr:graphicFrame macro="">
      <xdr:nvGraphicFramePr>
        <xdr:cNvPr id="66" name="Chart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9525</xdr:rowOff>
    </xdr:from>
    <xdr:to>
      <xdr:col>8</xdr:col>
      <xdr:colOff>866775</xdr:colOff>
      <xdr:row>12</xdr:row>
      <xdr:rowOff>190500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6448425" y="1790700"/>
          <a:ext cx="866775" cy="1133475"/>
        </a:xfrm>
        <a:prstGeom prst="line">
          <a:avLst/>
        </a:prstGeom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9525</xdr:rowOff>
    </xdr:from>
    <xdr:to>
      <xdr:col>8</xdr:col>
      <xdr:colOff>0</xdr:colOff>
      <xdr:row>12</xdr:row>
      <xdr:rowOff>180975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5553075" y="1790700"/>
          <a:ext cx="895350" cy="1123950"/>
        </a:xfrm>
        <a:prstGeom prst="line">
          <a:avLst/>
        </a:prstGeom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</xdr:rowOff>
    </xdr:from>
    <xdr:to>
      <xdr:col>8</xdr:col>
      <xdr:colOff>9525</xdr:colOff>
      <xdr:row>12</xdr:row>
      <xdr:rowOff>190500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V="1">
          <a:off x="5553075" y="1781176"/>
          <a:ext cx="904875" cy="1142999"/>
        </a:xfrm>
        <a:prstGeom prst="line">
          <a:avLst/>
        </a:prstGeom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7</xdr:row>
      <xdr:rowOff>1</xdr:rowOff>
    </xdr:from>
    <xdr:to>
      <xdr:col>9</xdr:col>
      <xdr:colOff>0</xdr:colOff>
      <xdr:row>13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6457950" y="1781176"/>
          <a:ext cx="866775" cy="1152524"/>
        </a:xfrm>
        <a:prstGeom prst="line">
          <a:avLst/>
        </a:prstGeom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22</xdr:row>
      <xdr:rowOff>9525</xdr:rowOff>
    </xdr:from>
    <xdr:to>
      <xdr:col>8</xdr:col>
      <xdr:colOff>0</xdr:colOff>
      <xdr:row>27</xdr:row>
      <xdr:rowOff>190500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5553075" y="5114925"/>
          <a:ext cx="895350" cy="1133475"/>
        </a:xfrm>
        <a:prstGeom prst="line">
          <a:avLst/>
        </a:prstGeom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22</xdr:row>
      <xdr:rowOff>0</xdr:rowOff>
    </xdr:from>
    <xdr:to>
      <xdr:col>9</xdr:col>
      <xdr:colOff>0</xdr:colOff>
      <xdr:row>28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6457950" y="5105400"/>
          <a:ext cx="866775" cy="1152525"/>
        </a:xfrm>
        <a:prstGeom prst="line">
          <a:avLst/>
        </a:prstGeom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22</xdr:row>
      <xdr:rowOff>9526</xdr:rowOff>
    </xdr:from>
    <xdr:to>
      <xdr:col>8</xdr:col>
      <xdr:colOff>0</xdr:colOff>
      <xdr:row>28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V="1">
          <a:off x="5562600" y="5114926"/>
          <a:ext cx="885825" cy="1142999"/>
        </a:xfrm>
        <a:prstGeom prst="line">
          <a:avLst/>
        </a:prstGeom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22</xdr:row>
      <xdr:rowOff>9526</xdr:rowOff>
    </xdr:from>
    <xdr:to>
      <xdr:col>9</xdr:col>
      <xdr:colOff>0</xdr:colOff>
      <xdr:row>28</xdr:row>
      <xdr:rowOff>9525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 flipV="1">
          <a:off x="6448425" y="5114926"/>
          <a:ext cx="876300" cy="1152524"/>
        </a:xfrm>
        <a:prstGeom prst="line">
          <a:avLst/>
        </a:prstGeom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37</xdr:row>
      <xdr:rowOff>0</xdr:rowOff>
    </xdr:from>
    <xdr:to>
      <xdr:col>8</xdr:col>
      <xdr:colOff>9525</xdr:colOff>
      <xdr:row>43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5553075" y="8429625"/>
          <a:ext cx="904875" cy="1152525"/>
        </a:xfrm>
        <a:prstGeom prst="line">
          <a:avLst/>
        </a:prstGeom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885825</xdr:colOff>
      <xdr:row>37</xdr:row>
      <xdr:rowOff>9525</xdr:rowOff>
    </xdr:from>
    <xdr:to>
      <xdr:col>8</xdr:col>
      <xdr:colOff>0</xdr:colOff>
      <xdr:row>43</xdr:row>
      <xdr:rowOff>9525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 flipV="1">
          <a:off x="5543550" y="8439150"/>
          <a:ext cx="904875" cy="1152525"/>
        </a:xfrm>
        <a:prstGeom prst="line">
          <a:avLst/>
        </a:prstGeom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37</xdr:row>
      <xdr:rowOff>0</xdr:rowOff>
    </xdr:from>
    <xdr:to>
      <xdr:col>9</xdr:col>
      <xdr:colOff>9525</xdr:colOff>
      <xdr:row>43</xdr:row>
      <xdr:rowOff>9525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6448425" y="8429625"/>
          <a:ext cx="885825" cy="1162050"/>
        </a:xfrm>
        <a:prstGeom prst="line">
          <a:avLst/>
        </a:prstGeom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37</xdr:row>
      <xdr:rowOff>9525</xdr:rowOff>
    </xdr:from>
    <xdr:to>
      <xdr:col>9</xdr:col>
      <xdr:colOff>0</xdr:colOff>
      <xdr:row>42</xdr:row>
      <xdr:rowOff>190500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 flipV="1">
          <a:off x="6457950" y="8439150"/>
          <a:ext cx="866775" cy="1133475"/>
        </a:xfrm>
        <a:prstGeom prst="line">
          <a:avLst/>
        </a:prstGeom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54</xdr:row>
      <xdr:rowOff>0</xdr:rowOff>
    </xdr:from>
    <xdr:to>
      <xdr:col>8</xdr:col>
      <xdr:colOff>9525</xdr:colOff>
      <xdr:row>59</xdr:row>
      <xdr:rowOff>190500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>
          <a:off x="5553075" y="12134850"/>
          <a:ext cx="904875" cy="1143000"/>
        </a:xfrm>
        <a:prstGeom prst="line">
          <a:avLst/>
        </a:prstGeom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54</xdr:row>
      <xdr:rowOff>9525</xdr:rowOff>
    </xdr:from>
    <xdr:to>
      <xdr:col>8</xdr:col>
      <xdr:colOff>0</xdr:colOff>
      <xdr:row>59</xdr:row>
      <xdr:rowOff>180975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 flipV="1">
          <a:off x="5562600" y="12144375"/>
          <a:ext cx="885825" cy="1123950"/>
        </a:xfrm>
        <a:prstGeom prst="line">
          <a:avLst/>
        </a:prstGeom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54</xdr:row>
      <xdr:rowOff>0</xdr:rowOff>
    </xdr:from>
    <xdr:to>
      <xdr:col>9</xdr:col>
      <xdr:colOff>9525</xdr:colOff>
      <xdr:row>60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>
          <a:off x="6448425" y="12134850"/>
          <a:ext cx="885825" cy="1152525"/>
        </a:xfrm>
        <a:prstGeom prst="line">
          <a:avLst/>
        </a:prstGeom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54</xdr:row>
      <xdr:rowOff>0</xdr:rowOff>
    </xdr:from>
    <xdr:to>
      <xdr:col>9</xdr:col>
      <xdr:colOff>0</xdr:colOff>
      <xdr:row>60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/>
      </xdr:nvCxnSpPr>
      <xdr:spPr>
        <a:xfrm flipV="1">
          <a:off x="6457950" y="12134850"/>
          <a:ext cx="866775" cy="1152525"/>
        </a:xfrm>
        <a:prstGeom prst="line">
          <a:avLst/>
        </a:prstGeom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352424</xdr:colOff>
      <xdr:row>70</xdr:row>
      <xdr:rowOff>128586</xdr:rowOff>
    </xdr:from>
    <xdr:to>
      <xdr:col>14</xdr:col>
      <xdr:colOff>190499</xdr:colOff>
      <xdr:row>88</xdr:row>
      <xdr:rowOff>9524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357187</xdr:colOff>
      <xdr:row>88</xdr:row>
      <xdr:rowOff>128586</xdr:rowOff>
    </xdr:from>
    <xdr:to>
      <xdr:col>14</xdr:col>
      <xdr:colOff>238125</xdr:colOff>
      <xdr:row>105</xdr:row>
      <xdr:rowOff>57150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200025</xdr:colOff>
      <xdr:row>48</xdr:row>
      <xdr:rowOff>61912</xdr:rowOff>
    </xdr:from>
    <xdr:to>
      <xdr:col>15</xdr:col>
      <xdr:colOff>47625</xdr:colOff>
      <xdr:row>61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123824</xdr:colOff>
      <xdr:row>110</xdr:row>
      <xdr:rowOff>42861</xdr:rowOff>
    </xdr:from>
    <xdr:to>
      <xdr:col>5</xdr:col>
      <xdr:colOff>942975</xdr:colOff>
      <xdr:row>129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1104899</xdr:colOff>
      <xdr:row>110</xdr:row>
      <xdr:rowOff>33336</xdr:rowOff>
    </xdr:from>
    <xdr:to>
      <xdr:col>10</xdr:col>
      <xdr:colOff>666750</xdr:colOff>
      <xdr:row>128</xdr:row>
      <xdr:rowOff>180975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52387</xdr:colOff>
      <xdr:row>110</xdr:row>
      <xdr:rowOff>52386</xdr:rowOff>
    </xdr:from>
    <xdr:to>
      <xdr:col>15</xdr:col>
      <xdr:colOff>547687</xdr:colOff>
      <xdr:row>128</xdr:row>
      <xdr:rowOff>180975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8</xdr:col>
      <xdr:colOff>0</xdr:colOff>
      <xdr:row>12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6734175" y="1790700"/>
          <a:ext cx="838200" cy="952500"/>
        </a:xfrm>
        <a:prstGeom prst="line">
          <a:avLst/>
        </a:prstGeom>
        <a:ln>
          <a:solidFill>
            <a:schemeClr val="accent4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19051</xdr:rowOff>
    </xdr:from>
    <xdr:to>
      <xdr:col>8</xdr:col>
      <xdr:colOff>0</xdr:colOff>
      <xdr:row>11</xdr:row>
      <xdr:rowOff>190500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flipV="1">
          <a:off x="6743700" y="1809751"/>
          <a:ext cx="828675" cy="933449"/>
        </a:xfrm>
        <a:prstGeom prst="line">
          <a:avLst/>
        </a:prstGeom>
        <a:ln>
          <a:solidFill>
            <a:schemeClr val="accent4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7</xdr:row>
      <xdr:rowOff>1</xdr:rowOff>
    </xdr:from>
    <xdr:to>
      <xdr:col>8</xdr:col>
      <xdr:colOff>942975</xdr:colOff>
      <xdr:row>12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flipV="1">
          <a:off x="7581900" y="1790701"/>
          <a:ext cx="933450" cy="952499"/>
        </a:xfrm>
        <a:prstGeom prst="line">
          <a:avLst/>
        </a:prstGeom>
        <a:ln>
          <a:solidFill>
            <a:schemeClr val="accent4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0</xdr:rowOff>
    </xdr:from>
    <xdr:to>
      <xdr:col>9</xdr:col>
      <xdr:colOff>0</xdr:colOff>
      <xdr:row>12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>
          <a:off x="7572375" y="1790700"/>
          <a:ext cx="990600" cy="952500"/>
        </a:xfrm>
        <a:prstGeom prst="line">
          <a:avLst/>
        </a:prstGeom>
        <a:ln>
          <a:solidFill>
            <a:schemeClr val="accent4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22</xdr:row>
      <xdr:rowOff>0</xdr:rowOff>
    </xdr:from>
    <xdr:to>
      <xdr:col>8</xdr:col>
      <xdr:colOff>0</xdr:colOff>
      <xdr:row>27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6734175" y="4943475"/>
          <a:ext cx="838200" cy="952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22</xdr:row>
      <xdr:rowOff>0</xdr:rowOff>
    </xdr:from>
    <xdr:to>
      <xdr:col>9</xdr:col>
      <xdr:colOff>9525</xdr:colOff>
      <xdr:row>27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>
          <a:off x="7572375" y="4143375"/>
          <a:ext cx="1000125" cy="952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22</xdr:row>
      <xdr:rowOff>28575</xdr:rowOff>
    </xdr:from>
    <xdr:to>
      <xdr:col>7</xdr:col>
      <xdr:colOff>828675</xdr:colOff>
      <xdr:row>27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 flipV="1">
          <a:off x="6753225" y="4972050"/>
          <a:ext cx="809625" cy="923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22</xdr:row>
      <xdr:rowOff>9525</xdr:rowOff>
    </xdr:from>
    <xdr:to>
      <xdr:col>8</xdr:col>
      <xdr:colOff>981075</xdr:colOff>
      <xdr:row>26</xdr:row>
      <xdr:rowOff>161928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CxnSpPr/>
      </xdr:nvCxnSpPr>
      <xdr:spPr>
        <a:xfrm flipV="1">
          <a:off x="7572375" y="4953000"/>
          <a:ext cx="981075" cy="9144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38</xdr:row>
      <xdr:rowOff>1</xdr:rowOff>
    </xdr:from>
    <xdr:to>
      <xdr:col>8</xdr:col>
      <xdr:colOff>9525</xdr:colOff>
      <xdr:row>42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CxnSpPr/>
      </xdr:nvCxnSpPr>
      <xdr:spPr>
        <a:xfrm flipV="1">
          <a:off x="6743700" y="6686551"/>
          <a:ext cx="838200" cy="761999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38</xdr:row>
      <xdr:rowOff>9525</xdr:rowOff>
    </xdr:from>
    <xdr:to>
      <xdr:col>9</xdr:col>
      <xdr:colOff>0</xdr:colOff>
      <xdr:row>42</xdr:row>
      <xdr:rowOff>9528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CxnSpPr/>
      </xdr:nvCxnSpPr>
      <xdr:spPr>
        <a:xfrm flipV="1">
          <a:off x="7581900" y="6696075"/>
          <a:ext cx="981075" cy="762003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38</xdr:row>
      <xdr:rowOff>0</xdr:rowOff>
    </xdr:from>
    <xdr:to>
      <xdr:col>8</xdr:col>
      <xdr:colOff>0</xdr:colOff>
      <xdr:row>42</xdr:row>
      <xdr:rowOff>0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CxnSpPr/>
      </xdr:nvCxnSpPr>
      <xdr:spPr>
        <a:xfrm>
          <a:off x="6734175" y="6686550"/>
          <a:ext cx="838200" cy="76200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38</xdr:row>
      <xdr:rowOff>0</xdr:rowOff>
    </xdr:from>
    <xdr:to>
      <xdr:col>9</xdr:col>
      <xdr:colOff>0</xdr:colOff>
      <xdr:row>42</xdr:row>
      <xdr:rowOff>9525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CxnSpPr/>
      </xdr:nvCxnSpPr>
      <xdr:spPr>
        <a:xfrm>
          <a:off x="7572375" y="6686550"/>
          <a:ext cx="990600" cy="771525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0</xdr:rowOff>
    </xdr:from>
    <xdr:to>
      <xdr:col>8</xdr:col>
      <xdr:colOff>9525</xdr:colOff>
      <xdr:row>15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6734175" y="2962275"/>
          <a:ext cx="847725" cy="390525"/>
        </a:xfrm>
        <a:prstGeom prst="line">
          <a:avLst/>
        </a:prstGeom>
        <a:ln>
          <a:solidFill>
            <a:schemeClr val="accent4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13</xdr:row>
      <xdr:rowOff>1</xdr:rowOff>
    </xdr:from>
    <xdr:to>
      <xdr:col>7</xdr:col>
      <xdr:colOff>828675</xdr:colOff>
      <xdr:row>15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flipV="1">
          <a:off x="6753225" y="2962276"/>
          <a:ext cx="809625" cy="390524"/>
        </a:xfrm>
        <a:prstGeom prst="line">
          <a:avLst/>
        </a:prstGeom>
        <a:ln>
          <a:solidFill>
            <a:schemeClr val="accent4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0</xdr:rowOff>
    </xdr:from>
    <xdr:to>
      <xdr:col>9</xdr:col>
      <xdr:colOff>0</xdr:colOff>
      <xdr:row>15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7572375" y="2962275"/>
          <a:ext cx="990600" cy="390525"/>
        </a:xfrm>
        <a:prstGeom prst="line">
          <a:avLst/>
        </a:prstGeom>
        <a:ln>
          <a:solidFill>
            <a:schemeClr val="accent4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0</xdr:rowOff>
    </xdr:from>
    <xdr:to>
      <xdr:col>9</xdr:col>
      <xdr:colOff>0</xdr:colOff>
      <xdr:row>14</xdr:row>
      <xdr:rowOff>200024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 flipV="1">
          <a:off x="7572375" y="2962275"/>
          <a:ext cx="990600" cy="390524"/>
        </a:xfrm>
        <a:prstGeom prst="line">
          <a:avLst/>
        </a:prstGeom>
        <a:ln>
          <a:solidFill>
            <a:schemeClr val="accent4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28</xdr:row>
      <xdr:rowOff>0</xdr:rowOff>
    </xdr:from>
    <xdr:to>
      <xdr:col>7</xdr:col>
      <xdr:colOff>809625</xdr:colOff>
      <xdr:row>30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 flipV="1">
          <a:off x="6743700" y="6105525"/>
          <a:ext cx="800100" cy="400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28</xdr:row>
      <xdr:rowOff>0</xdr:rowOff>
    </xdr:from>
    <xdr:to>
      <xdr:col>8</xdr:col>
      <xdr:colOff>9525</xdr:colOff>
      <xdr:row>29</xdr:row>
      <xdr:rowOff>190500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CxnSpPr/>
      </xdr:nvCxnSpPr>
      <xdr:spPr>
        <a:xfrm>
          <a:off x="6734175" y="6105525"/>
          <a:ext cx="847725" cy="390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28</xdr:row>
      <xdr:rowOff>0</xdr:rowOff>
    </xdr:from>
    <xdr:to>
      <xdr:col>9</xdr:col>
      <xdr:colOff>9525</xdr:colOff>
      <xdr:row>29</xdr:row>
      <xdr:rowOff>180975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CxnSpPr/>
      </xdr:nvCxnSpPr>
      <xdr:spPr>
        <a:xfrm>
          <a:off x="7572375" y="6105525"/>
          <a:ext cx="1000125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28</xdr:row>
      <xdr:rowOff>0</xdr:rowOff>
    </xdr:from>
    <xdr:to>
      <xdr:col>9</xdr:col>
      <xdr:colOff>9525</xdr:colOff>
      <xdr:row>30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CxnSpPr/>
      </xdr:nvCxnSpPr>
      <xdr:spPr>
        <a:xfrm flipV="1">
          <a:off x="7572375" y="6105525"/>
          <a:ext cx="1000125" cy="400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0</xdr:rowOff>
    </xdr:from>
    <xdr:to>
      <xdr:col>8</xdr:col>
      <xdr:colOff>9525</xdr:colOff>
      <xdr:row>44</xdr:row>
      <xdr:rowOff>190500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CxnSpPr/>
      </xdr:nvCxnSpPr>
      <xdr:spPr>
        <a:xfrm>
          <a:off x="6734175" y="8886825"/>
          <a:ext cx="847725" cy="38100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43</xdr:row>
      <xdr:rowOff>0</xdr:rowOff>
    </xdr:from>
    <xdr:to>
      <xdr:col>8</xdr:col>
      <xdr:colOff>0</xdr:colOff>
      <xdr:row>44</xdr:row>
      <xdr:rowOff>190500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CxnSpPr/>
      </xdr:nvCxnSpPr>
      <xdr:spPr>
        <a:xfrm flipV="1">
          <a:off x="6743700" y="8886825"/>
          <a:ext cx="828675" cy="38100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43</xdr:row>
      <xdr:rowOff>0</xdr:rowOff>
    </xdr:from>
    <xdr:to>
      <xdr:col>9</xdr:col>
      <xdr:colOff>9525</xdr:colOff>
      <xdr:row>44</xdr:row>
      <xdr:rowOff>190500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CxnSpPr/>
      </xdr:nvCxnSpPr>
      <xdr:spPr>
        <a:xfrm>
          <a:off x="6734175" y="8886825"/>
          <a:ext cx="847725" cy="38100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43</xdr:row>
      <xdr:rowOff>0</xdr:rowOff>
    </xdr:from>
    <xdr:to>
      <xdr:col>9</xdr:col>
      <xdr:colOff>0</xdr:colOff>
      <xdr:row>44</xdr:row>
      <xdr:rowOff>190500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CxnSpPr/>
      </xdr:nvCxnSpPr>
      <xdr:spPr>
        <a:xfrm flipV="1">
          <a:off x="6743700" y="8886825"/>
          <a:ext cx="828675" cy="381000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600075</xdr:colOff>
      <xdr:row>2</xdr:row>
      <xdr:rowOff>4762</xdr:rowOff>
    </xdr:from>
    <xdr:to>
      <xdr:col>19</xdr:col>
      <xdr:colOff>142875</xdr:colOff>
      <xdr:row>13</xdr:row>
      <xdr:rowOff>185737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16</xdr:row>
      <xdr:rowOff>195262</xdr:rowOff>
    </xdr:from>
    <xdr:to>
      <xdr:col>19</xdr:col>
      <xdr:colOff>155448</xdr:colOff>
      <xdr:row>29</xdr:row>
      <xdr:rowOff>176212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19050</xdr:colOff>
      <xdr:row>32</xdr:row>
      <xdr:rowOff>1</xdr:rowOff>
    </xdr:from>
    <xdr:to>
      <xdr:col>19</xdr:col>
      <xdr:colOff>174498</xdr:colOff>
      <xdr:row>44</xdr:row>
      <xdr:rowOff>157163</xdr:rowOff>
    </xdr:to>
    <xdr:graphicFrame macro="">
      <xdr:nvGraphicFramePr>
        <xdr:cNvPr id="52" name="Chart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9525</xdr:colOff>
      <xdr:row>53</xdr:row>
      <xdr:rowOff>180975</xdr:rowOff>
    </xdr:from>
    <xdr:to>
      <xdr:col>8</xdr:col>
      <xdr:colOff>19050</xdr:colOff>
      <xdr:row>57</xdr:row>
      <xdr:rowOff>190500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CxnSpPr/>
      </xdr:nvCxnSpPr>
      <xdr:spPr>
        <a:xfrm flipV="1">
          <a:off x="6743700" y="11830050"/>
          <a:ext cx="847725" cy="771525"/>
        </a:xfrm>
        <a:prstGeom prst="line">
          <a:avLst/>
        </a:prstGeom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54</xdr:row>
      <xdr:rowOff>0</xdr:rowOff>
    </xdr:from>
    <xdr:to>
      <xdr:col>8</xdr:col>
      <xdr:colOff>9525</xdr:colOff>
      <xdr:row>57</xdr:row>
      <xdr:rowOff>180975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CxnSpPr/>
      </xdr:nvCxnSpPr>
      <xdr:spPr>
        <a:xfrm>
          <a:off x="6734175" y="11839575"/>
          <a:ext cx="847725" cy="752475"/>
        </a:xfrm>
        <a:prstGeom prst="line">
          <a:avLst/>
        </a:prstGeom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54</xdr:row>
      <xdr:rowOff>19050</xdr:rowOff>
    </xdr:from>
    <xdr:to>
      <xdr:col>9</xdr:col>
      <xdr:colOff>0</xdr:colOff>
      <xdr:row>58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CxnSpPr/>
      </xdr:nvCxnSpPr>
      <xdr:spPr>
        <a:xfrm flipV="1">
          <a:off x="7581900" y="11858625"/>
          <a:ext cx="981075" cy="752475"/>
        </a:xfrm>
        <a:prstGeom prst="line">
          <a:avLst/>
        </a:prstGeom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54</xdr:row>
      <xdr:rowOff>0</xdr:rowOff>
    </xdr:from>
    <xdr:to>
      <xdr:col>9</xdr:col>
      <xdr:colOff>0</xdr:colOff>
      <xdr:row>58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CxnSpPr/>
      </xdr:nvCxnSpPr>
      <xdr:spPr>
        <a:xfrm>
          <a:off x="7572375" y="11839575"/>
          <a:ext cx="990600" cy="771525"/>
        </a:xfrm>
        <a:prstGeom prst="line">
          <a:avLst/>
        </a:prstGeom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47</xdr:row>
      <xdr:rowOff>4762</xdr:rowOff>
    </xdr:from>
    <xdr:to>
      <xdr:col>19</xdr:col>
      <xdr:colOff>164973</xdr:colOff>
      <xdr:row>59</xdr:row>
      <xdr:rowOff>25717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9525</xdr:colOff>
      <xdr:row>3</xdr:row>
      <xdr:rowOff>14287</xdr:rowOff>
    </xdr:from>
    <xdr:to>
      <xdr:col>32</xdr:col>
      <xdr:colOff>9525</xdr:colOff>
      <xdr:row>15</xdr:row>
      <xdr:rowOff>23812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4762</xdr:colOff>
      <xdr:row>17</xdr:row>
      <xdr:rowOff>14287</xdr:rowOff>
    </xdr:from>
    <xdr:to>
      <xdr:col>32</xdr:col>
      <xdr:colOff>4762</xdr:colOff>
      <xdr:row>29</xdr:row>
      <xdr:rowOff>4762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4762</xdr:colOff>
      <xdr:row>31</xdr:row>
      <xdr:rowOff>185737</xdr:rowOff>
    </xdr:from>
    <xdr:to>
      <xdr:col>32</xdr:col>
      <xdr:colOff>4762</xdr:colOff>
      <xdr:row>43</xdr:row>
      <xdr:rowOff>138112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14287</xdr:colOff>
      <xdr:row>47</xdr:row>
      <xdr:rowOff>14287</xdr:rowOff>
    </xdr:from>
    <xdr:to>
      <xdr:col>32</xdr:col>
      <xdr:colOff>14287</xdr:colOff>
      <xdr:row>58</xdr:row>
      <xdr:rowOff>52387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U79"/>
  <sheetViews>
    <sheetView tabSelected="1" topLeftCell="J64" workbookViewId="0">
      <selection activeCell="M72" sqref="M72"/>
    </sheetView>
  </sheetViews>
  <sheetFormatPr defaultRowHeight="15" x14ac:dyDescent="0.25"/>
  <cols>
    <col min="3" max="3" width="22.140625" customWidth="1"/>
    <col min="4" max="5" width="15.28515625" bestFit="1" customWidth="1"/>
    <col min="6" max="6" width="12.140625" customWidth="1"/>
    <col min="8" max="8" width="16.7109375" customWidth="1"/>
    <col min="9" max="9" width="20.42578125" customWidth="1"/>
    <col min="10" max="10" width="16.140625" customWidth="1"/>
    <col min="11" max="11" width="15.7109375" customWidth="1"/>
    <col min="12" max="12" width="17.28515625" customWidth="1"/>
    <col min="13" max="13" width="12" customWidth="1"/>
    <col min="15" max="15" width="6.42578125" customWidth="1"/>
    <col min="16" max="17" width="6" bestFit="1" customWidth="1"/>
  </cols>
  <sheetData>
    <row r="4" spans="2:21" x14ac:dyDescent="0.25">
      <c r="D4" s="225"/>
      <c r="E4" s="225"/>
    </row>
    <row r="6" spans="2:21" x14ac:dyDescent="0.25">
      <c r="B6" s="11" t="s">
        <v>126</v>
      </c>
    </row>
    <row r="8" spans="2:21" ht="15.75" thickBot="1" x14ac:dyDescent="0.3"/>
    <row r="9" spans="2:21" ht="19.5" thickBot="1" x14ac:dyDescent="0.3">
      <c r="B9" s="391" t="s">
        <v>127</v>
      </c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3"/>
      <c r="O9" s="11" t="s">
        <v>99</v>
      </c>
    </row>
    <row r="10" spans="2:21" ht="15.75" x14ac:dyDescent="0.25">
      <c r="B10" s="394" t="s">
        <v>128</v>
      </c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6"/>
    </row>
    <row r="11" spans="2:21" ht="63" x14ac:dyDescent="0.35">
      <c r="B11" s="357"/>
      <c r="C11" s="358" t="s">
        <v>0</v>
      </c>
      <c r="D11" s="73" t="s">
        <v>6</v>
      </c>
      <c r="E11" s="73" t="s">
        <v>7</v>
      </c>
      <c r="F11" s="31" t="s">
        <v>95</v>
      </c>
      <c r="G11" s="73" t="s">
        <v>94</v>
      </c>
      <c r="H11" s="32" t="s">
        <v>53</v>
      </c>
      <c r="I11" s="274" t="s">
        <v>56</v>
      </c>
      <c r="J11" s="71" t="s">
        <v>56</v>
      </c>
      <c r="K11" s="274" t="s">
        <v>57</v>
      </c>
      <c r="L11" s="71" t="s">
        <v>57</v>
      </c>
      <c r="M11" s="33" t="s">
        <v>24</v>
      </c>
      <c r="O11" t="s">
        <v>100</v>
      </c>
      <c r="P11" t="s">
        <v>101</v>
      </c>
      <c r="Q11" t="s">
        <v>102</v>
      </c>
      <c r="R11" t="s">
        <v>103</v>
      </c>
      <c r="T11" s="272" t="s">
        <v>109</v>
      </c>
      <c r="U11" s="272" t="s">
        <v>110</v>
      </c>
    </row>
    <row r="12" spans="2:21" x14ac:dyDescent="0.25">
      <c r="B12" s="413" t="s">
        <v>118</v>
      </c>
      <c r="C12" s="313" t="s">
        <v>108</v>
      </c>
      <c r="D12" s="289">
        <f>D49</f>
        <v>357368</v>
      </c>
      <c r="E12" s="290" t="s">
        <v>117</v>
      </c>
      <c r="F12" s="291">
        <f>D12</f>
        <v>357368</v>
      </c>
      <c r="G12" s="290"/>
      <c r="H12" s="292">
        <f>(D12*O12)/1000000</f>
        <v>983.83410400000002</v>
      </c>
      <c r="I12" s="293">
        <f>(F12*P12)/1000000</f>
        <v>9.291568E-3</v>
      </c>
      <c r="J12" s="294">
        <f>I12*T13</f>
        <v>0.2322892</v>
      </c>
      <c r="K12" s="293">
        <f>(F12*Q12)/1000000</f>
        <v>1.1078408E-2</v>
      </c>
      <c r="L12" s="295">
        <f>K12*U12</f>
        <v>3.301365584</v>
      </c>
      <c r="M12" s="296">
        <f>H12+J12+L12</f>
        <v>987.36775878399999</v>
      </c>
      <c r="O12">
        <v>2753</v>
      </c>
      <c r="P12">
        <v>2.5999999999999999E-2</v>
      </c>
      <c r="Q12">
        <v>3.1E-2</v>
      </c>
      <c r="R12" t="s">
        <v>104</v>
      </c>
      <c r="T12">
        <v>25</v>
      </c>
      <c r="U12">
        <v>298</v>
      </c>
    </row>
    <row r="13" spans="2:21" x14ac:dyDescent="0.25">
      <c r="B13" s="413"/>
      <c r="C13" s="297" t="s">
        <v>19</v>
      </c>
      <c r="D13" s="298">
        <f>D50</f>
        <v>3687553</v>
      </c>
      <c r="E13" s="299" t="s">
        <v>16</v>
      </c>
      <c r="F13" s="299">
        <f>D13</f>
        <v>3687553</v>
      </c>
      <c r="G13" s="299" t="s">
        <v>16</v>
      </c>
      <c r="H13" s="300">
        <f>(D13*O13)/1000000</f>
        <v>11637.917267999999</v>
      </c>
      <c r="I13" s="301">
        <f>(F13*P13)/1000000</f>
        <v>0.21019052100000002</v>
      </c>
      <c r="J13" s="302">
        <f>I13*T14</f>
        <v>5.2547630250000008</v>
      </c>
      <c r="K13" s="301">
        <f>(F13*Q13)/1000000</f>
        <v>0.23600339200000001</v>
      </c>
      <c r="L13" s="303">
        <f>K13*U13</f>
        <v>70.329010816000007</v>
      </c>
      <c r="M13" s="304">
        <f>H13+J13+L13</f>
        <v>11713.501041840998</v>
      </c>
      <c r="O13">
        <v>3156</v>
      </c>
      <c r="P13">
        <v>5.7000000000000002E-2</v>
      </c>
      <c r="Q13">
        <v>6.4000000000000001E-2</v>
      </c>
      <c r="R13" t="s">
        <v>104</v>
      </c>
      <c r="T13" s="273">
        <v>25</v>
      </c>
      <c r="U13" s="273">
        <v>298</v>
      </c>
    </row>
    <row r="14" spans="2:21" x14ac:dyDescent="0.25">
      <c r="B14" s="413"/>
      <c r="C14" s="297" t="s">
        <v>2</v>
      </c>
      <c r="D14" s="298">
        <f>D51</f>
        <v>90953</v>
      </c>
      <c r="E14" s="299" t="s">
        <v>17</v>
      </c>
      <c r="F14" s="299">
        <f>D14*26.137</f>
        <v>2377238.5610000002</v>
      </c>
      <c r="G14" s="299" t="s">
        <v>93</v>
      </c>
      <c r="H14" s="300">
        <f>(F14*O14)/1000000</f>
        <v>4519.1305044610008</v>
      </c>
      <c r="I14" s="305">
        <f>(F14*P14)/1000000</f>
        <v>8.7957826757000007E-2</v>
      </c>
      <c r="J14" s="302">
        <f>I14*T15</f>
        <v>2.198945668925</v>
      </c>
      <c r="K14" s="306">
        <f>F14*Q14/1000000</f>
        <v>8.3203349635000021E-2</v>
      </c>
      <c r="L14" s="303">
        <f t="shared" ref="L14" si="0">K14*U14</f>
        <v>24.794598191230005</v>
      </c>
      <c r="M14" s="304">
        <f>H14+J14+L14</f>
        <v>4546.1240483211559</v>
      </c>
      <c r="O14">
        <v>1901</v>
      </c>
      <c r="P14">
        <v>3.6999999999999998E-2</v>
      </c>
      <c r="Q14">
        <v>3.5000000000000003E-2</v>
      </c>
      <c r="R14" t="s">
        <v>105</v>
      </c>
      <c r="T14" s="273">
        <v>25</v>
      </c>
      <c r="U14" s="273">
        <v>298</v>
      </c>
    </row>
    <row r="15" spans="2:21" ht="28.5" customHeight="1" x14ac:dyDescent="0.25">
      <c r="B15" s="413"/>
      <c r="C15" s="364" t="s">
        <v>129</v>
      </c>
      <c r="D15" s="298">
        <v>22044.78</v>
      </c>
      <c r="E15" s="299" t="s">
        <v>98</v>
      </c>
      <c r="F15" s="299">
        <f>D15*1000</f>
        <v>22044780</v>
      </c>
      <c r="G15" s="299" t="s">
        <v>97</v>
      </c>
      <c r="H15" s="365">
        <f>(F15*O15)/1000000</f>
        <v>18517.6152</v>
      </c>
      <c r="I15" s="307">
        <f>(F15*P15)/1000000</f>
        <v>1.9840301999999999</v>
      </c>
      <c r="J15" s="302">
        <f>I15*T15</f>
        <v>49.600754999999999</v>
      </c>
      <c r="K15" s="307">
        <f>(F15*Q15)/1000000</f>
        <v>1.3226868000000001</v>
      </c>
      <c r="L15" s="303">
        <f>K15*U15</f>
        <v>394.16066640000003</v>
      </c>
      <c r="M15" s="304">
        <f>J15+L15</f>
        <v>443.76142140000002</v>
      </c>
      <c r="O15" s="271">
        <v>840</v>
      </c>
      <c r="P15">
        <v>0.09</v>
      </c>
      <c r="Q15">
        <v>0.06</v>
      </c>
      <c r="R15" t="s">
        <v>106</v>
      </c>
      <c r="T15" s="273">
        <v>25</v>
      </c>
      <c r="U15" s="273">
        <v>298</v>
      </c>
    </row>
    <row r="16" spans="2:21" x14ac:dyDescent="0.25">
      <c r="B16" s="413"/>
      <c r="C16" s="84"/>
      <c r="D16" s="28"/>
      <c r="E16" s="28"/>
      <c r="F16" s="28"/>
      <c r="G16" s="23" t="s">
        <v>96</v>
      </c>
      <c r="H16" s="314">
        <f>H13+H14+H12</f>
        <v>17140.881876461001</v>
      </c>
      <c r="I16" s="278">
        <f>SUM(I13:I15)</f>
        <v>2.2821785477569998</v>
      </c>
      <c r="J16" s="279">
        <f>SUM(J12:J15)</f>
        <v>57.286752893924998</v>
      </c>
      <c r="K16" s="278">
        <f>SUM(K13:K15)</f>
        <v>1.641893541635</v>
      </c>
      <c r="L16" s="279">
        <f>SUM(L12:L15)</f>
        <v>492.58564099123004</v>
      </c>
      <c r="M16" s="280">
        <f>M13+M14+M15+M12</f>
        <v>17690.754270346151</v>
      </c>
      <c r="O16" s="271" t="s">
        <v>107</v>
      </c>
      <c r="P16" s="271"/>
      <c r="Q16" s="271"/>
      <c r="R16" s="271"/>
      <c r="S16" s="271"/>
      <c r="T16" s="271"/>
    </row>
    <row r="17" spans="2:21" ht="18" x14ac:dyDescent="0.35">
      <c r="B17" s="413"/>
      <c r="C17" s="359" t="s">
        <v>3</v>
      </c>
      <c r="D17" s="28"/>
      <c r="E17" s="28"/>
      <c r="F17" s="28"/>
      <c r="G17" s="23"/>
      <c r="H17" s="277"/>
      <c r="I17" s="278"/>
      <c r="J17" s="279"/>
      <c r="K17" s="278"/>
      <c r="L17" s="279"/>
      <c r="M17" s="280"/>
      <c r="O17" t="s">
        <v>100</v>
      </c>
      <c r="P17" t="s">
        <v>101</v>
      </c>
      <c r="Q17" t="s">
        <v>102</v>
      </c>
      <c r="R17" t="s">
        <v>103</v>
      </c>
      <c r="T17" s="272" t="s">
        <v>109</v>
      </c>
      <c r="U17" s="272" t="s">
        <v>110</v>
      </c>
    </row>
    <row r="18" spans="2:21" x14ac:dyDescent="0.25">
      <c r="B18" s="413"/>
      <c r="C18" s="360" t="s">
        <v>4</v>
      </c>
      <c r="D18" s="361">
        <f>D35</f>
        <v>10880</v>
      </c>
      <c r="E18" s="362" t="s">
        <v>16</v>
      </c>
      <c r="F18" s="361">
        <f>D18</f>
        <v>10880</v>
      </c>
      <c r="G18" s="363"/>
      <c r="H18" s="300">
        <f>(D18*O18)/1000000</f>
        <v>25.198080000000001</v>
      </c>
      <c r="I18" s="301">
        <f>(F18*P18)/1000000</f>
        <v>1.5231999999999999E-3</v>
      </c>
      <c r="J18" s="302">
        <f>I18*T18</f>
        <v>3.8079999999999996E-2</v>
      </c>
      <c r="K18" s="301">
        <f>(F18*Q18)/1000000</f>
        <v>2.3935999999999999E-4</v>
      </c>
      <c r="L18" s="302">
        <f t="shared" ref="L18:L19" si="1">K18*U18</f>
        <v>7.1329279999999995E-2</v>
      </c>
      <c r="M18" s="304">
        <f>H18+J18+L18</f>
        <v>25.307489280000002</v>
      </c>
      <c r="O18" s="276">
        <v>2316</v>
      </c>
      <c r="P18" s="276">
        <v>0.14000000000000001</v>
      </c>
      <c r="Q18" s="276">
        <v>2.1999999999999999E-2</v>
      </c>
      <c r="R18" t="s">
        <v>104</v>
      </c>
      <c r="S18" s="276"/>
      <c r="T18" s="273">
        <v>25</v>
      </c>
      <c r="U18" s="273">
        <v>298</v>
      </c>
    </row>
    <row r="19" spans="2:21" x14ac:dyDescent="0.25">
      <c r="B19" s="413"/>
      <c r="C19" s="360" t="s">
        <v>5</v>
      </c>
      <c r="D19" s="361">
        <f>D36</f>
        <v>37803</v>
      </c>
      <c r="E19" s="362" t="s">
        <v>16</v>
      </c>
      <c r="F19" s="361">
        <f>D19</f>
        <v>37803</v>
      </c>
      <c r="G19" s="363"/>
      <c r="H19" s="300">
        <f>(D19*O19)/1000000</f>
        <v>101.69007000000001</v>
      </c>
      <c r="I19" s="301">
        <f>(F19*P19)/1000000</f>
        <v>2.5706040000000002E-3</v>
      </c>
      <c r="J19" s="302">
        <f>I19*T19</f>
        <v>6.4265100000000006E-2</v>
      </c>
      <c r="K19" s="301">
        <f>(F19*Q19)/1000000</f>
        <v>8.31666E-3</v>
      </c>
      <c r="L19" s="302">
        <f t="shared" si="1"/>
        <v>2.4783646799999999</v>
      </c>
      <c r="M19" s="304">
        <f>H19+J19+L19</f>
        <v>104.23269978</v>
      </c>
      <c r="O19" s="276">
        <v>2690</v>
      </c>
      <c r="P19" s="276">
        <v>6.8000000000000005E-2</v>
      </c>
      <c r="Q19" s="276">
        <v>0.22</v>
      </c>
      <c r="R19" t="s">
        <v>104</v>
      </c>
      <c r="S19" s="276"/>
      <c r="T19" s="273">
        <v>25</v>
      </c>
      <c r="U19" s="273">
        <v>298</v>
      </c>
    </row>
    <row r="20" spans="2:21" x14ac:dyDescent="0.25">
      <c r="B20" s="281"/>
      <c r="C20" s="28"/>
      <c r="D20" s="28"/>
      <c r="E20" s="28"/>
      <c r="F20" s="28"/>
      <c r="G20" s="23"/>
      <c r="H20" s="277"/>
      <c r="I20" s="278"/>
      <c r="J20" s="279"/>
      <c r="K20" s="278"/>
      <c r="L20" s="279"/>
      <c r="M20" s="280"/>
      <c r="O20" s="276"/>
      <c r="P20" s="276"/>
      <c r="Q20" s="276"/>
      <c r="R20" s="276"/>
      <c r="S20" s="276"/>
      <c r="T20" s="276"/>
    </row>
    <row r="21" spans="2:21" x14ac:dyDescent="0.25">
      <c r="B21" s="308" t="s">
        <v>82</v>
      </c>
      <c r="C21" s="273" t="s">
        <v>20</v>
      </c>
      <c r="D21" s="309">
        <f>D39</f>
        <v>26992773</v>
      </c>
      <c r="E21" s="273" t="s">
        <v>18</v>
      </c>
      <c r="F21" s="309">
        <f>D21</f>
        <v>26992773</v>
      </c>
      <c r="G21" s="310" t="s">
        <v>119</v>
      </c>
      <c r="H21" s="311">
        <f>F21*O21</f>
        <v>21783.167810999999</v>
      </c>
      <c r="I21" s="354" t="s">
        <v>125</v>
      </c>
      <c r="J21" s="355" t="s">
        <v>125</v>
      </c>
      <c r="K21" s="355" t="s">
        <v>125</v>
      </c>
      <c r="L21" s="356" t="s">
        <v>125</v>
      </c>
      <c r="M21" s="312">
        <f>H21</f>
        <v>21783.167810999999</v>
      </c>
      <c r="O21" s="276">
        <v>8.0699999999999999E-4</v>
      </c>
      <c r="P21" s="276"/>
      <c r="Q21" s="276"/>
      <c r="R21" s="276"/>
      <c r="S21" s="276"/>
      <c r="T21" s="276"/>
    </row>
    <row r="22" spans="2:21" x14ac:dyDescent="0.25">
      <c r="B22" s="281"/>
      <c r="C22" s="28"/>
      <c r="D22" s="28"/>
      <c r="E22" s="28"/>
      <c r="F22" s="28"/>
      <c r="G22" s="23"/>
      <c r="H22" s="277"/>
      <c r="I22" s="278"/>
      <c r="J22" s="279"/>
      <c r="K22" s="278"/>
      <c r="L22" s="279"/>
      <c r="M22" s="280"/>
      <c r="O22" s="276"/>
      <c r="P22" s="276"/>
      <c r="Q22" s="276"/>
      <c r="R22" s="276"/>
      <c r="S22" s="276"/>
      <c r="T22" s="276"/>
    </row>
    <row r="23" spans="2:21" ht="15.75" thickBot="1" x14ac:dyDescent="0.3">
      <c r="B23" s="282"/>
      <c r="C23" s="283"/>
      <c r="D23" s="283"/>
      <c r="E23" s="283"/>
      <c r="F23" s="283"/>
      <c r="G23" s="284"/>
      <c r="H23" s="285"/>
      <c r="I23" s="286"/>
      <c r="J23" s="287"/>
      <c r="K23" s="286"/>
      <c r="L23" s="287" t="s">
        <v>120</v>
      </c>
      <c r="M23" s="288">
        <f>M21+M16</f>
        <v>39473.922081346151</v>
      </c>
      <c r="O23" s="276"/>
      <c r="P23" s="276"/>
      <c r="Q23" s="276"/>
      <c r="R23" s="276"/>
      <c r="S23" s="276"/>
      <c r="T23" s="276"/>
    </row>
    <row r="24" spans="2:21" x14ac:dyDescent="0.25">
      <c r="G24" s="11"/>
      <c r="H24" s="268"/>
      <c r="I24" s="275"/>
      <c r="J24" s="270"/>
      <c r="K24" s="275"/>
      <c r="L24" s="270"/>
      <c r="M24" s="268"/>
      <c r="O24" s="276"/>
      <c r="P24" s="276"/>
      <c r="Q24" s="276"/>
      <c r="R24" s="276"/>
      <c r="S24" s="276"/>
      <c r="T24" s="276"/>
    </row>
    <row r="25" spans="2:21" x14ac:dyDescent="0.25">
      <c r="G25" s="269"/>
    </row>
    <row r="26" spans="2:21" x14ac:dyDescent="0.25">
      <c r="B26" s="315" t="s">
        <v>111</v>
      </c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</row>
    <row r="27" spans="2:21" x14ac:dyDescent="0.25">
      <c r="B27" s="315" t="s">
        <v>116</v>
      </c>
      <c r="C27" s="316"/>
      <c r="D27" s="316"/>
      <c r="E27" s="316"/>
      <c r="F27" s="316"/>
      <c r="G27" s="316"/>
      <c r="H27" s="316"/>
      <c r="I27" s="316"/>
      <c r="J27" s="316"/>
      <c r="K27" s="316"/>
      <c r="L27" s="316"/>
      <c r="M27" s="316"/>
    </row>
    <row r="28" spans="2:21" x14ac:dyDescent="0.25">
      <c r="B28" s="316"/>
      <c r="C28" s="316"/>
      <c r="D28" s="316"/>
      <c r="E28" s="316"/>
      <c r="F28" s="316"/>
      <c r="G28" s="316" t="s">
        <v>40</v>
      </c>
      <c r="H28" s="316"/>
      <c r="I28" s="316"/>
      <c r="J28" s="316"/>
      <c r="K28" s="316"/>
      <c r="L28" s="316"/>
      <c r="M28" s="316"/>
    </row>
    <row r="29" spans="2:21" x14ac:dyDescent="0.25">
      <c r="B29" s="316" t="s">
        <v>41</v>
      </c>
      <c r="C29" s="316"/>
      <c r="D29" s="316"/>
      <c r="E29" s="316"/>
      <c r="F29" s="316"/>
      <c r="G29" s="316"/>
      <c r="H29" s="316"/>
      <c r="I29" s="316"/>
      <c r="J29" s="316"/>
      <c r="K29" s="316"/>
      <c r="L29" s="316"/>
      <c r="M29" s="316"/>
    </row>
    <row r="30" spans="2:21" x14ac:dyDescent="0.25">
      <c r="B30" s="316"/>
      <c r="C30" s="316" t="s">
        <v>0</v>
      </c>
      <c r="D30" s="316" t="s">
        <v>6</v>
      </c>
      <c r="E30" s="316" t="s">
        <v>7</v>
      </c>
      <c r="F30" s="316"/>
      <c r="G30" s="316" t="s">
        <v>112</v>
      </c>
      <c r="H30" s="316" t="s">
        <v>113</v>
      </c>
      <c r="I30" s="316" t="s">
        <v>114</v>
      </c>
      <c r="J30" s="316" t="s">
        <v>115</v>
      </c>
      <c r="K30" s="316" t="s">
        <v>24</v>
      </c>
      <c r="L30" s="316"/>
      <c r="M30" s="316"/>
    </row>
    <row r="31" spans="2:21" x14ac:dyDescent="0.25">
      <c r="B31" s="316">
        <v>1</v>
      </c>
      <c r="C31" s="316" t="s">
        <v>67</v>
      </c>
      <c r="D31" s="317">
        <v>357368</v>
      </c>
      <c r="E31" s="316" t="s">
        <v>16</v>
      </c>
      <c r="F31" s="316"/>
      <c r="G31" s="317">
        <v>2.7659999999999998E-3</v>
      </c>
      <c r="H31" s="317">
        <v>983.70635810377962</v>
      </c>
      <c r="I31" s="317">
        <v>1.4308456117873158</v>
      </c>
      <c r="J31" s="317">
        <v>3.5771140294682895</v>
      </c>
      <c r="K31" s="317">
        <v>988.47988799999996</v>
      </c>
      <c r="L31" s="316"/>
      <c r="M31" s="316"/>
    </row>
    <row r="32" spans="2:21" x14ac:dyDescent="0.25">
      <c r="B32" s="316">
        <v>2</v>
      </c>
      <c r="C32" s="316" t="s">
        <v>34</v>
      </c>
      <c r="D32" s="317">
        <v>3687553</v>
      </c>
      <c r="E32" s="316" t="s">
        <v>16</v>
      </c>
      <c r="F32" s="316"/>
      <c r="G32" s="317">
        <v>2.7620000000000001E-3</v>
      </c>
      <c r="H32" s="317">
        <v>10148.346745833245</v>
      </c>
      <c r="I32" s="317">
        <v>0.77503793690493716</v>
      </c>
      <c r="J32" s="317">
        <v>35.651745097627099</v>
      </c>
      <c r="K32" s="317">
        <v>10185.021386</v>
      </c>
      <c r="L32" s="316"/>
      <c r="M32" s="316"/>
    </row>
    <row r="33" spans="2:13" x14ac:dyDescent="0.25">
      <c r="B33" s="316">
        <v>3</v>
      </c>
      <c r="C33" s="316" t="s">
        <v>2</v>
      </c>
      <c r="D33" s="317">
        <v>90953</v>
      </c>
      <c r="E33" s="316" t="s">
        <v>17</v>
      </c>
      <c r="F33" s="316"/>
      <c r="G33" s="317">
        <v>4.9976E-2</v>
      </c>
      <c r="H33" s="317">
        <v>4517.8349117307371</v>
      </c>
      <c r="I33" s="317">
        <v>1.8955287906286091</v>
      </c>
      <c r="J33" s="317">
        <v>25.74759940603861</v>
      </c>
      <c r="K33" s="317">
        <v>4545.4671280000002</v>
      </c>
      <c r="L33" s="316"/>
      <c r="M33" s="316"/>
    </row>
    <row r="34" spans="2:13" x14ac:dyDescent="0.25">
      <c r="B34" s="316"/>
      <c r="C34" s="315" t="s">
        <v>3</v>
      </c>
      <c r="D34" s="317"/>
      <c r="E34" s="316"/>
      <c r="F34" s="316"/>
      <c r="G34" s="317"/>
      <c r="H34" s="317"/>
      <c r="I34" s="317"/>
      <c r="J34" s="317"/>
      <c r="K34" s="317"/>
      <c r="L34" s="316"/>
      <c r="M34" s="316"/>
    </row>
    <row r="35" spans="2:13" x14ac:dyDescent="0.25">
      <c r="B35" s="316">
        <v>4</v>
      </c>
      <c r="C35" s="316" t="s">
        <v>4</v>
      </c>
      <c r="D35" s="317">
        <v>10880</v>
      </c>
      <c r="E35" s="316" t="s">
        <v>16</v>
      </c>
      <c r="F35" s="316"/>
      <c r="G35" s="317">
        <v>2.31E-3</v>
      </c>
      <c r="H35" s="317">
        <v>25.1328</v>
      </c>
      <c r="I35" s="317"/>
      <c r="J35" s="317"/>
      <c r="K35" s="317">
        <v>25.1328</v>
      </c>
      <c r="L35" s="316"/>
      <c r="M35" s="316"/>
    </row>
    <row r="36" spans="2:13" x14ac:dyDescent="0.25">
      <c r="B36" s="316">
        <v>5</v>
      </c>
      <c r="C36" s="316" t="s">
        <v>5</v>
      </c>
      <c r="D36" s="317">
        <v>37803</v>
      </c>
      <c r="E36" s="316" t="s">
        <v>16</v>
      </c>
      <c r="F36" s="316"/>
      <c r="G36" s="317">
        <v>2.8159999999999999E-3</v>
      </c>
      <c r="H36" s="317">
        <v>106.453248</v>
      </c>
      <c r="I36" s="317"/>
      <c r="J36" s="317"/>
      <c r="K36" s="317">
        <v>106.453248</v>
      </c>
      <c r="L36" s="316"/>
      <c r="M36" s="316"/>
    </row>
    <row r="37" spans="2:13" x14ac:dyDescent="0.25">
      <c r="B37" s="316"/>
      <c r="C37" s="316" t="s">
        <v>38</v>
      </c>
      <c r="D37" s="317">
        <v>48683</v>
      </c>
      <c r="E37" s="316" t="s">
        <v>16</v>
      </c>
      <c r="F37" s="316"/>
      <c r="G37" s="317">
        <v>5.1260000000000003E-3</v>
      </c>
      <c r="H37" s="317">
        <v>131.58604800000001</v>
      </c>
      <c r="I37" s="317"/>
      <c r="J37" s="317"/>
      <c r="K37" s="317">
        <v>131.58604800000001</v>
      </c>
      <c r="L37" s="316"/>
      <c r="M37" s="316"/>
    </row>
    <row r="38" spans="2:13" x14ac:dyDescent="0.25">
      <c r="B38" s="316"/>
      <c r="C38" s="316" t="s">
        <v>42</v>
      </c>
      <c r="D38" s="317"/>
      <c r="E38" s="316"/>
      <c r="F38" s="316"/>
      <c r="G38" s="317"/>
      <c r="H38" s="317">
        <v>15781.474063667762</v>
      </c>
      <c r="I38" s="317"/>
      <c r="J38" s="317"/>
      <c r="K38" s="317">
        <v>15850.554450000001</v>
      </c>
      <c r="L38" s="316"/>
      <c r="M38" s="316"/>
    </row>
    <row r="39" spans="2:13" x14ac:dyDescent="0.25">
      <c r="B39" s="316">
        <v>6</v>
      </c>
      <c r="C39" s="315" t="s">
        <v>12</v>
      </c>
      <c r="D39" s="317">
        <v>26992773</v>
      </c>
      <c r="E39" s="316" t="s">
        <v>18</v>
      </c>
      <c r="F39" s="316"/>
      <c r="G39" s="317">
        <v>8.0699999999999999E-4</v>
      </c>
      <c r="H39" s="317">
        <v>21783.167810999999</v>
      </c>
      <c r="I39" s="317"/>
      <c r="J39" s="317"/>
      <c r="K39" s="317">
        <v>21783.167810999999</v>
      </c>
      <c r="L39" s="316"/>
      <c r="M39" s="316"/>
    </row>
    <row r="40" spans="2:13" x14ac:dyDescent="0.25">
      <c r="B40" s="316"/>
      <c r="C40" s="316"/>
      <c r="D40" s="316"/>
      <c r="E40" s="316"/>
      <c r="F40" s="316"/>
      <c r="G40" s="317">
        <v>6.9298000000000005E-4</v>
      </c>
      <c r="H40" s="317">
        <v>18705.451833540003</v>
      </c>
      <c r="I40" s="317"/>
      <c r="J40" s="317"/>
      <c r="K40" s="317">
        <v>18705.451833540003</v>
      </c>
      <c r="L40" s="316"/>
      <c r="M40" s="316"/>
    </row>
    <row r="41" spans="2:13" x14ac:dyDescent="0.25">
      <c r="B41" s="316"/>
      <c r="C41" s="316" t="s">
        <v>35</v>
      </c>
      <c r="D41" s="316"/>
      <c r="E41" s="316"/>
      <c r="F41" s="316"/>
      <c r="G41" s="317" t="s">
        <v>51</v>
      </c>
      <c r="H41" s="317">
        <v>37564.641874667759</v>
      </c>
      <c r="I41" s="317" t="s">
        <v>54</v>
      </c>
      <c r="J41" s="317"/>
      <c r="K41" s="317">
        <v>37633.722261000003</v>
      </c>
      <c r="L41" s="316"/>
      <c r="M41" s="316"/>
    </row>
    <row r="42" spans="2:13" x14ac:dyDescent="0.25">
      <c r="B42" s="316"/>
      <c r="C42" s="316"/>
      <c r="D42" s="316"/>
      <c r="E42" s="316"/>
      <c r="F42" s="316"/>
      <c r="G42" s="317" t="s">
        <v>52</v>
      </c>
      <c r="H42" s="317">
        <v>34486.925897207766</v>
      </c>
      <c r="I42" s="317" t="s">
        <v>54</v>
      </c>
      <c r="J42" s="317"/>
      <c r="K42" s="317">
        <v>34556.006283540002</v>
      </c>
      <c r="L42" s="316"/>
      <c r="M42" s="316"/>
    </row>
    <row r="43" spans="2:13" x14ac:dyDescent="0.25">
      <c r="B43" s="316"/>
      <c r="C43" s="316"/>
      <c r="D43" s="316"/>
      <c r="E43" s="316"/>
      <c r="F43" s="316"/>
      <c r="G43" s="316"/>
      <c r="H43" s="316"/>
      <c r="I43" s="316"/>
      <c r="J43" s="316"/>
      <c r="K43" s="316"/>
      <c r="L43" s="316"/>
      <c r="M43" s="316"/>
    </row>
    <row r="44" spans="2:13" x14ac:dyDescent="0.25">
      <c r="B44" s="316"/>
      <c r="C44" s="316"/>
      <c r="D44" s="316"/>
      <c r="E44" s="316"/>
      <c r="F44" s="316"/>
      <c r="G44" s="316"/>
      <c r="H44" s="316"/>
      <c r="I44" s="316"/>
      <c r="J44" s="316"/>
      <c r="K44" s="316"/>
      <c r="L44" s="316"/>
      <c r="M44" s="316"/>
    </row>
    <row r="45" spans="2:13" x14ac:dyDescent="0.25">
      <c r="B45" s="316"/>
      <c r="C45" s="316"/>
      <c r="D45" s="316"/>
      <c r="E45" s="316"/>
      <c r="F45" s="316"/>
      <c r="G45" s="316"/>
      <c r="H45" s="316"/>
      <c r="I45" s="316"/>
      <c r="J45" s="316"/>
      <c r="K45" s="316"/>
      <c r="L45" s="316"/>
      <c r="M45" s="316"/>
    </row>
    <row r="46" spans="2:13" ht="15.75" thickBot="1" x14ac:dyDescent="0.3">
      <c r="B46" s="316"/>
      <c r="C46" s="316"/>
      <c r="D46" s="316"/>
      <c r="E46" s="316"/>
      <c r="F46" s="316"/>
      <c r="G46" s="316"/>
      <c r="H46" s="316"/>
      <c r="I46" s="316"/>
      <c r="J46" s="316"/>
      <c r="K46" s="316"/>
      <c r="L46" s="316"/>
      <c r="M46" s="316"/>
    </row>
    <row r="47" spans="2:13" ht="16.5" thickBot="1" x14ac:dyDescent="0.3">
      <c r="B47" s="397" t="s">
        <v>41</v>
      </c>
      <c r="C47" s="398"/>
      <c r="D47" s="398"/>
      <c r="E47" s="398"/>
      <c r="F47" s="398"/>
      <c r="G47" s="398"/>
      <c r="H47" s="398"/>
      <c r="I47" s="398"/>
      <c r="J47" s="398"/>
      <c r="K47" s="398"/>
      <c r="L47" s="398"/>
      <c r="M47" s="399"/>
    </row>
    <row r="48" spans="2:13" ht="78" x14ac:dyDescent="0.25">
      <c r="B48" s="318"/>
      <c r="C48" s="319" t="s">
        <v>0</v>
      </c>
      <c r="D48" s="320" t="s">
        <v>6</v>
      </c>
      <c r="E48" s="320" t="s">
        <v>7</v>
      </c>
      <c r="F48" s="320"/>
      <c r="G48" s="321" t="s">
        <v>121</v>
      </c>
      <c r="H48" s="322" t="s">
        <v>122</v>
      </c>
      <c r="I48" s="322"/>
      <c r="J48" s="322" t="s">
        <v>123</v>
      </c>
      <c r="K48" s="322"/>
      <c r="L48" s="322" t="s">
        <v>124</v>
      </c>
      <c r="M48" s="323" t="s">
        <v>24</v>
      </c>
    </row>
    <row r="49" spans="2:13" x14ac:dyDescent="0.25">
      <c r="B49" s="324">
        <v>1</v>
      </c>
      <c r="C49" s="325" t="s">
        <v>67</v>
      </c>
      <c r="D49" s="326">
        <v>357368</v>
      </c>
      <c r="E49" s="327" t="s">
        <v>16</v>
      </c>
      <c r="F49" s="325"/>
      <c r="G49" s="325" t="e">
        <f>#REF!</f>
        <v>#REF!</v>
      </c>
      <c r="H49" s="326">
        <f>D49*'3 Most Recent Years'!G40</f>
        <v>7378618832.6513519</v>
      </c>
      <c r="I49" s="326"/>
      <c r="J49" s="328">
        <f>D49*'3 Most Recent Years'!G41</f>
        <v>6336103195.3540697</v>
      </c>
      <c r="K49" s="328"/>
      <c r="L49" s="328">
        <f>D49*'3 Most Recent Years'!G42</f>
        <v>11032909057.189369</v>
      </c>
      <c r="M49" s="329" t="e">
        <f>D49*G49</f>
        <v>#REF!</v>
      </c>
    </row>
    <row r="50" spans="2:13" x14ac:dyDescent="0.25">
      <c r="B50" s="324">
        <v>2</v>
      </c>
      <c r="C50" s="325" t="s">
        <v>34</v>
      </c>
      <c r="D50" s="326">
        <v>3687553</v>
      </c>
      <c r="E50" s="327" t="s">
        <v>16</v>
      </c>
      <c r="F50" s="327"/>
      <c r="G50" s="325" t="str">
        <f>G16</f>
        <v>Total CO2</v>
      </c>
      <c r="H50" s="326" t="e">
        <f>D50*'3 Most Recent Years'!D40</f>
        <v>#VALUE!</v>
      </c>
      <c r="I50" s="326"/>
      <c r="J50" s="330">
        <f>D50*'3 Most Recent Years'!D41</f>
        <v>0</v>
      </c>
      <c r="K50" s="330"/>
      <c r="L50" s="331">
        <f>D50*'3 Most Recent Years'!D42</f>
        <v>0</v>
      </c>
      <c r="M50" s="329" t="e">
        <f>D50*G50</f>
        <v>#VALUE!</v>
      </c>
    </row>
    <row r="51" spans="2:13" x14ac:dyDescent="0.25">
      <c r="B51" s="324">
        <v>3</v>
      </c>
      <c r="C51" s="325" t="s">
        <v>2</v>
      </c>
      <c r="D51" s="326">
        <v>90953</v>
      </c>
      <c r="E51" s="327" t="s">
        <v>17</v>
      </c>
      <c r="F51" s="327"/>
      <c r="G51" s="325">
        <f>G25</f>
        <v>0</v>
      </c>
      <c r="H51" s="326" t="e">
        <f>D51*'3 Most Recent Years'!E40</f>
        <v>#VALUE!</v>
      </c>
      <c r="I51" s="326"/>
      <c r="J51" s="328" t="e">
        <f>D51*'3 Most Recent Years'!E41</f>
        <v>#VALUE!</v>
      </c>
      <c r="K51" s="328"/>
      <c r="L51" s="331">
        <f>D51*'3 Most Recent Years'!E42</f>
        <v>0</v>
      </c>
      <c r="M51" s="329">
        <f>D51*G51</f>
        <v>0</v>
      </c>
    </row>
    <row r="52" spans="2:13" x14ac:dyDescent="0.25">
      <c r="B52" s="332"/>
      <c r="C52" s="333" t="s">
        <v>3</v>
      </c>
      <c r="D52" s="326"/>
      <c r="E52" s="327"/>
      <c r="F52" s="327"/>
      <c r="G52" s="325"/>
      <c r="H52" s="326"/>
      <c r="I52" s="326"/>
      <c r="J52" s="325"/>
      <c r="K52" s="325"/>
      <c r="L52" s="325"/>
      <c r="M52" s="329"/>
    </row>
    <row r="53" spans="2:13" x14ac:dyDescent="0.25">
      <c r="B53" s="324">
        <v>4</v>
      </c>
      <c r="C53" s="327" t="s">
        <v>4</v>
      </c>
      <c r="D53" s="326">
        <v>10880</v>
      </c>
      <c r="E53" s="327" t="s">
        <v>16</v>
      </c>
      <c r="F53" s="327"/>
      <c r="G53" s="334">
        <f>G27</f>
        <v>0</v>
      </c>
      <c r="H53" s="335">
        <f>M53</f>
        <v>0</v>
      </c>
      <c r="I53" s="335"/>
      <c r="J53" s="400"/>
      <c r="K53" s="336"/>
      <c r="L53" s="400"/>
      <c r="M53" s="329">
        <f>D53*G53</f>
        <v>0</v>
      </c>
    </row>
    <row r="54" spans="2:13" x14ac:dyDescent="0.25">
      <c r="B54" s="324">
        <v>5</v>
      </c>
      <c r="C54" s="327" t="s">
        <v>5</v>
      </c>
      <c r="D54" s="326">
        <v>37803</v>
      </c>
      <c r="E54" s="327" t="s">
        <v>16</v>
      </c>
      <c r="F54" s="327"/>
      <c r="G54" s="325">
        <f>G36</f>
        <v>2.8159999999999999E-3</v>
      </c>
      <c r="H54" s="335">
        <f>M54</f>
        <v>106.453248</v>
      </c>
      <c r="I54" s="335"/>
      <c r="J54" s="401"/>
      <c r="K54" s="327"/>
      <c r="L54" s="401"/>
      <c r="M54" s="329">
        <f>D54*G54</f>
        <v>106.453248</v>
      </c>
    </row>
    <row r="55" spans="2:13" x14ac:dyDescent="0.25">
      <c r="B55" s="324"/>
      <c r="C55" s="325" t="s">
        <v>38</v>
      </c>
      <c r="D55" s="326">
        <f>D54+D53</f>
        <v>48683</v>
      </c>
      <c r="E55" s="327" t="s">
        <v>16</v>
      </c>
      <c r="F55" s="325"/>
      <c r="G55" s="334">
        <f>G53+G54</f>
        <v>2.8159999999999999E-3</v>
      </c>
      <c r="H55" s="335">
        <f>M55</f>
        <v>106.453248</v>
      </c>
      <c r="I55" s="335"/>
      <c r="J55" s="401"/>
      <c r="K55" s="327"/>
      <c r="L55" s="401"/>
      <c r="M55" s="329">
        <f>M53+M54</f>
        <v>106.453248</v>
      </c>
    </row>
    <row r="56" spans="2:13" x14ac:dyDescent="0.25">
      <c r="B56" s="324"/>
      <c r="C56" s="337" t="s">
        <v>42</v>
      </c>
      <c r="D56" s="325"/>
      <c r="E56" s="325"/>
      <c r="F56" s="325"/>
      <c r="G56" s="325"/>
      <c r="H56" s="338" t="e">
        <f>H49+H50+H51+H55</f>
        <v>#VALUE!</v>
      </c>
      <c r="I56" s="338"/>
      <c r="J56" s="401"/>
      <c r="K56" s="327"/>
      <c r="L56" s="401"/>
      <c r="M56" s="339" t="e">
        <f>M55+M51+M50+M49</f>
        <v>#VALUE!</v>
      </c>
    </row>
    <row r="57" spans="2:13" x14ac:dyDescent="0.25">
      <c r="B57" s="324">
        <v>6</v>
      </c>
      <c r="C57" s="325" t="s">
        <v>12</v>
      </c>
      <c r="D57" s="340">
        <v>26992773</v>
      </c>
      <c r="E57" s="327" t="s">
        <v>18</v>
      </c>
      <c r="F57" s="327"/>
      <c r="G57" s="325">
        <f>G40</f>
        <v>6.9298000000000005E-4</v>
      </c>
      <c r="H57" s="341">
        <f>M57</f>
        <v>18705.451833540003</v>
      </c>
      <c r="I57" s="341"/>
      <c r="J57" s="401"/>
      <c r="K57" s="327"/>
      <c r="L57" s="401"/>
      <c r="M57" s="329">
        <f>G57*D57</f>
        <v>18705.451833540003</v>
      </c>
    </row>
    <row r="58" spans="2:13" ht="15.75" thickBot="1" x14ac:dyDescent="0.3">
      <c r="B58" s="324"/>
      <c r="C58" s="325"/>
      <c r="D58" s="340"/>
      <c r="E58" s="327"/>
      <c r="F58" s="327"/>
      <c r="G58" s="342" t="str">
        <f>G41</f>
        <v>Using MCW factor</v>
      </c>
      <c r="H58" s="341" t="e">
        <f>M58</f>
        <v>#VALUE!</v>
      </c>
      <c r="I58" s="341"/>
      <c r="J58" s="402"/>
      <c r="K58" s="343"/>
      <c r="L58" s="402"/>
      <c r="M58" s="329" t="e">
        <f>G58*D57</f>
        <v>#VALUE!</v>
      </c>
    </row>
    <row r="59" spans="2:13" x14ac:dyDescent="0.25">
      <c r="B59" s="403"/>
      <c r="C59" s="405" t="s">
        <v>35</v>
      </c>
      <c r="D59" s="405"/>
      <c r="E59" s="405"/>
      <c r="F59" s="344"/>
      <c r="G59" s="345" t="s">
        <v>51</v>
      </c>
      <c r="H59" s="346" t="e">
        <f>H56+H57</f>
        <v>#VALUE!</v>
      </c>
      <c r="I59" s="347"/>
      <c r="J59" s="407" t="s">
        <v>54</v>
      </c>
      <c r="K59" s="408"/>
      <c r="L59" s="409"/>
      <c r="M59" s="348" t="e">
        <f>M56+M57</f>
        <v>#VALUE!</v>
      </c>
    </row>
    <row r="60" spans="2:13" ht="16.5" thickBot="1" x14ac:dyDescent="0.3">
      <c r="B60" s="404"/>
      <c r="C60" s="406"/>
      <c r="D60" s="406"/>
      <c r="E60" s="406"/>
      <c r="F60" s="349"/>
      <c r="G60" s="350" t="s">
        <v>52</v>
      </c>
      <c r="H60" s="351" t="e">
        <f>H56+H58</f>
        <v>#VALUE!</v>
      </c>
      <c r="I60" s="352"/>
      <c r="J60" s="410" t="s">
        <v>54</v>
      </c>
      <c r="K60" s="411"/>
      <c r="L60" s="412"/>
      <c r="M60" s="353" t="e">
        <f>M56+M58</f>
        <v>#VALUE!</v>
      </c>
    </row>
    <row r="61" spans="2:13" x14ac:dyDescent="0.25">
      <c r="B61" s="316"/>
      <c r="C61" s="316"/>
      <c r="D61" s="316"/>
      <c r="E61" s="316"/>
      <c r="F61" s="316"/>
      <c r="G61" s="316"/>
      <c r="H61" s="316"/>
      <c r="I61" s="316"/>
      <c r="J61" s="316"/>
      <c r="K61" s="316"/>
      <c r="L61" s="316"/>
      <c r="M61" s="316"/>
    </row>
    <row r="65" spans="2:21" x14ac:dyDescent="0.25">
      <c r="B65" t="s">
        <v>13</v>
      </c>
    </row>
    <row r="66" spans="2:21" ht="15.75" thickBot="1" x14ac:dyDescent="0.3"/>
    <row r="67" spans="2:21" ht="51" customHeight="1" thickBot="1" x14ac:dyDescent="0.4">
      <c r="B67" s="370"/>
      <c r="C67" s="371" t="s">
        <v>0</v>
      </c>
      <c r="D67" s="371" t="s">
        <v>6</v>
      </c>
      <c r="E67" s="371" t="s">
        <v>7</v>
      </c>
      <c r="F67" s="372" t="s">
        <v>95</v>
      </c>
      <c r="G67" s="371" t="s">
        <v>94</v>
      </c>
      <c r="H67" s="372" t="s">
        <v>130</v>
      </c>
      <c r="I67" s="372" t="s">
        <v>131</v>
      </c>
      <c r="J67" s="385" t="s">
        <v>131</v>
      </c>
      <c r="K67" s="372" t="s">
        <v>132</v>
      </c>
      <c r="L67" s="385" t="s">
        <v>132</v>
      </c>
      <c r="M67" s="373" t="s">
        <v>24</v>
      </c>
      <c r="O67" t="s">
        <v>100</v>
      </c>
      <c r="P67" t="s">
        <v>101</v>
      </c>
      <c r="Q67" t="s">
        <v>102</v>
      </c>
      <c r="R67" t="s">
        <v>103</v>
      </c>
      <c r="T67" s="272" t="s">
        <v>109</v>
      </c>
      <c r="U67" s="272" t="s">
        <v>110</v>
      </c>
    </row>
    <row r="68" spans="2:21" x14ac:dyDescent="0.25">
      <c r="B68" s="379" t="s">
        <v>118</v>
      </c>
      <c r="C68" s="374"/>
      <c r="D68" s="374"/>
      <c r="E68" s="374"/>
      <c r="F68" s="374"/>
      <c r="G68" s="374"/>
      <c r="H68" s="374"/>
      <c r="I68" s="374"/>
      <c r="J68" s="386"/>
      <c r="K68" s="374"/>
      <c r="L68" s="386"/>
      <c r="M68" s="375"/>
      <c r="O68">
        <v>2753</v>
      </c>
      <c r="P68">
        <v>2.5999999999999999E-2</v>
      </c>
      <c r="Q68">
        <v>3.1E-2</v>
      </c>
      <c r="R68" t="s">
        <v>104</v>
      </c>
      <c r="T68">
        <v>25</v>
      </c>
      <c r="U68">
        <v>298</v>
      </c>
    </row>
    <row r="69" spans="2:21" x14ac:dyDescent="0.25">
      <c r="B69" s="376"/>
      <c r="C69" s="366" t="s">
        <v>19</v>
      </c>
      <c r="D69" s="366">
        <f>'3 Most Recent Years'!C33</f>
        <v>27899</v>
      </c>
      <c r="E69" s="366" t="s">
        <v>16</v>
      </c>
      <c r="F69" s="366">
        <f>D69</f>
        <v>27899</v>
      </c>
      <c r="G69" s="366" t="s">
        <v>16</v>
      </c>
      <c r="H69" s="367">
        <f>(D69*O69)/1000000</f>
        <v>88.049244000000002</v>
      </c>
      <c r="I69" s="367">
        <f>(F69*P69)/1000000</f>
        <v>1.5902430000000001E-3</v>
      </c>
      <c r="J69" s="387">
        <f>I69*T70</f>
        <v>3.9756075000000002E-2</v>
      </c>
      <c r="K69" s="367">
        <f>(F69*Q69)/1000000</f>
        <v>1.7855360000000001E-3</v>
      </c>
      <c r="L69" s="387">
        <f>K69*U69</f>
        <v>0.53208972799999998</v>
      </c>
      <c r="M69" s="538">
        <f>H69+J69+L69</f>
        <v>88.621089803000004</v>
      </c>
      <c r="O69">
        <v>3156</v>
      </c>
      <c r="P69">
        <v>5.7000000000000002E-2</v>
      </c>
      <c r="Q69">
        <v>6.4000000000000001E-2</v>
      </c>
      <c r="R69" t="s">
        <v>104</v>
      </c>
      <c r="T69" s="273">
        <v>25</v>
      </c>
      <c r="U69" s="273">
        <v>298</v>
      </c>
    </row>
    <row r="70" spans="2:21" x14ac:dyDescent="0.25">
      <c r="B70" s="376"/>
      <c r="C70" s="366" t="s">
        <v>2</v>
      </c>
      <c r="D70" s="366">
        <f>'3 Most Recent Years'!C34</f>
        <v>201371</v>
      </c>
      <c r="E70" s="366" t="s">
        <v>17</v>
      </c>
      <c r="F70" s="366">
        <f>D70*26.137</f>
        <v>5263233.8270000005</v>
      </c>
      <c r="G70" s="366" t="s">
        <v>93</v>
      </c>
      <c r="H70" s="367">
        <f>(F70*O70)/1000000</f>
        <v>10005.407505127001</v>
      </c>
      <c r="I70" s="367">
        <f>(F70*P70)/1000000</f>
        <v>0.194739651599</v>
      </c>
      <c r="J70" s="387">
        <f>I70*T71</f>
        <v>4.8684912899750001</v>
      </c>
      <c r="K70" s="367">
        <f>F70*Q70/1000000</f>
        <v>0.18421318394500003</v>
      </c>
      <c r="L70" s="387">
        <f>K70*U70</f>
        <v>54.895528815610007</v>
      </c>
      <c r="M70" s="538">
        <f>H70+J70+L70</f>
        <v>10065.171525232587</v>
      </c>
      <c r="O70">
        <v>1901</v>
      </c>
      <c r="P70">
        <v>3.6999999999999998E-2</v>
      </c>
      <c r="Q70">
        <v>3.5000000000000003E-2</v>
      </c>
      <c r="R70" t="s">
        <v>105</v>
      </c>
      <c r="T70" s="273">
        <v>25</v>
      </c>
      <c r="U70" s="273">
        <v>298</v>
      </c>
    </row>
    <row r="71" spans="2:21" x14ac:dyDescent="0.25">
      <c r="B71" s="376"/>
      <c r="C71" s="366"/>
      <c r="D71" s="366"/>
      <c r="E71" s="366"/>
      <c r="F71" s="366"/>
      <c r="G71" s="366"/>
      <c r="H71" s="367"/>
      <c r="I71" s="367"/>
      <c r="J71" s="387"/>
      <c r="K71" s="367"/>
      <c r="L71" s="387"/>
      <c r="M71" s="377"/>
      <c r="O71" s="271">
        <v>840</v>
      </c>
      <c r="P71">
        <v>0.09</v>
      </c>
      <c r="Q71">
        <v>0.06</v>
      </c>
      <c r="R71" t="s">
        <v>106</v>
      </c>
      <c r="T71" s="273">
        <v>25</v>
      </c>
      <c r="U71" s="273">
        <v>298</v>
      </c>
    </row>
    <row r="72" spans="2:21" x14ac:dyDescent="0.25">
      <c r="B72" s="376"/>
      <c r="C72" s="366"/>
      <c r="D72" s="366"/>
      <c r="E72" s="366"/>
      <c r="F72" s="366"/>
      <c r="G72" s="366" t="s">
        <v>96</v>
      </c>
      <c r="H72" s="367">
        <f>H69+H70+H68</f>
        <v>10093.456749127001</v>
      </c>
      <c r="I72" s="367">
        <f>SUM(I69:I71)</f>
        <v>0.19632989459899999</v>
      </c>
      <c r="J72" s="387">
        <f>SUM(J68:J71)</f>
        <v>4.9082473649749998</v>
      </c>
      <c r="K72" s="367">
        <f>SUM(K69:K71)</f>
        <v>0.18599871994500003</v>
      </c>
      <c r="L72" s="387">
        <f>SUM(L68:L71)</f>
        <v>55.427618543610009</v>
      </c>
      <c r="M72" s="538">
        <f>M69+M70+M71+M68</f>
        <v>10153.792615035587</v>
      </c>
      <c r="O72" s="271" t="s">
        <v>107</v>
      </c>
      <c r="P72" s="271"/>
      <c r="Q72" s="271"/>
      <c r="R72" s="271"/>
      <c r="S72" s="271"/>
      <c r="T72" s="271"/>
    </row>
    <row r="73" spans="2:21" ht="18" x14ac:dyDescent="0.35">
      <c r="B73" s="376"/>
      <c r="C73" s="368" t="s">
        <v>3</v>
      </c>
      <c r="D73" s="366"/>
      <c r="E73" s="366"/>
      <c r="F73" s="366"/>
      <c r="G73" s="366"/>
      <c r="H73" s="367"/>
      <c r="I73" s="367"/>
      <c r="J73" s="387"/>
      <c r="K73" s="367"/>
      <c r="L73" s="387"/>
      <c r="M73" s="377"/>
      <c r="O73" t="s">
        <v>100</v>
      </c>
      <c r="P73" t="s">
        <v>101</v>
      </c>
      <c r="Q73" t="s">
        <v>102</v>
      </c>
      <c r="R73" t="s">
        <v>103</v>
      </c>
      <c r="T73" s="272" t="s">
        <v>109</v>
      </c>
      <c r="U73" s="272" t="s">
        <v>110</v>
      </c>
    </row>
    <row r="74" spans="2:21" x14ac:dyDescent="0.25">
      <c r="B74" s="376"/>
      <c r="C74" s="366" t="s">
        <v>4</v>
      </c>
      <c r="D74" s="366">
        <f>'3 Most Recent Years'!C36</f>
        <v>9452</v>
      </c>
      <c r="E74" s="366" t="s">
        <v>16</v>
      </c>
      <c r="F74" s="366">
        <f>D74</f>
        <v>9452</v>
      </c>
      <c r="G74" s="366"/>
      <c r="H74" s="367">
        <f>(D74*O74)/1000000</f>
        <v>21.890832</v>
      </c>
      <c r="I74" s="367">
        <f>(F74*P74)/1000000</f>
        <v>1.3232800000000002E-3</v>
      </c>
      <c r="J74" s="387">
        <f>I74*T74</f>
        <v>3.3082000000000007E-2</v>
      </c>
      <c r="K74" s="367">
        <f>(F74*Q74)/1000000</f>
        <v>2.07944E-4</v>
      </c>
      <c r="L74" s="387">
        <f t="shared" ref="L74:L75" si="2">K74*U74</f>
        <v>6.1967311999999997E-2</v>
      </c>
      <c r="M74" s="538">
        <f>H74+J74+L74</f>
        <v>21.985881312</v>
      </c>
      <c r="O74" s="276">
        <v>2316</v>
      </c>
      <c r="P74" s="276">
        <v>0.14000000000000001</v>
      </c>
      <c r="Q74" s="276">
        <v>2.1999999999999999E-2</v>
      </c>
      <c r="R74" t="s">
        <v>104</v>
      </c>
      <c r="S74" s="276"/>
      <c r="T74" s="273">
        <v>25</v>
      </c>
      <c r="U74" s="273">
        <v>298</v>
      </c>
    </row>
    <row r="75" spans="2:21" x14ac:dyDescent="0.25">
      <c r="B75" s="376"/>
      <c r="C75" s="366" t="s">
        <v>5</v>
      </c>
      <c r="D75" s="366">
        <f>'3 Most Recent Years'!C37</f>
        <v>44181</v>
      </c>
      <c r="E75" s="366" t="s">
        <v>16</v>
      </c>
      <c r="F75" s="366">
        <f>D75</f>
        <v>44181</v>
      </c>
      <c r="G75" s="366"/>
      <c r="H75" s="367">
        <f>(D75*O75)/1000000</f>
        <v>118.84689</v>
      </c>
      <c r="I75" s="367">
        <f>(F75*P75)/1000000</f>
        <v>3.0043079999999998E-3</v>
      </c>
      <c r="J75" s="387">
        <f>I75*T75</f>
        <v>7.5107699999999999E-2</v>
      </c>
      <c r="K75" s="367">
        <f>(F75*Q75)/1000000</f>
        <v>9.7198200000000005E-3</v>
      </c>
      <c r="L75" s="387">
        <f t="shared" si="2"/>
        <v>2.8965063600000001</v>
      </c>
      <c r="M75" s="538">
        <f>H75+J75+L75</f>
        <v>121.81850406000001</v>
      </c>
      <c r="O75" s="276">
        <v>2690</v>
      </c>
      <c r="P75" s="276">
        <v>6.8000000000000005E-2</v>
      </c>
      <c r="Q75" s="276">
        <v>0.22</v>
      </c>
      <c r="R75" t="s">
        <v>104</v>
      </c>
      <c r="S75" s="276"/>
      <c r="T75" s="273">
        <v>25</v>
      </c>
      <c r="U75" s="273">
        <v>298</v>
      </c>
    </row>
    <row r="76" spans="2:21" x14ac:dyDescent="0.25">
      <c r="B76" s="376"/>
      <c r="C76" s="366"/>
      <c r="D76" s="366"/>
      <c r="E76" s="366"/>
      <c r="F76" s="366"/>
      <c r="G76" s="366"/>
      <c r="H76" s="366"/>
      <c r="I76" s="366"/>
      <c r="J76" s="388"/>
      <c r="K76" s="366"/>
      <c r="L76" s="388"/>
      <c r="M76" s="378"/>
      <c r="O76" s="276"/>
      <c r="P76" s="276"/>
      <c r="Q76" s="276"/>
      <c r="R76" s="276"/>
      <c r="S76" s="276"/>
      <c r="T76" s="276"/>
    </row>
    <row r="77" spans="2:21" x14ac:dyDescent="0.25">
      <c r="B77" s="380" t="s">
        <v>82</v>
      </c>
      <c r="C77" s="366" t="s">
        <v>20</v>
      </c>
      <c r="D77" s="369">
        <f>'3 Most Recent Years'!C40</f>
        <v>25585027</v>
      </c>
      <c r="E77" s="366" t="s">
        <v>18</v>
      </c>
      <c r="F77" s="366">
        <f>D77</f>
        <v>25585027</v>
      </c>
      <c r="G77" s="366" t="s">
        <v>119</v>
      </c>
      <c r="H77" s="537">
        <f>F77*O77</f>
        <v>20647.116789</v>
      </c>
      <c r="I77" s="366" t="s">
        <v>125</v>
      </c>
      <c r="J77" s="388" t="s">
        <v>125</v>
      </c>
      <c r="K77" s="366" t="s">
        <v>125</v>
      </c>
      <c r="L77" s="388" t="s">
        <v>125</v>
      </c>
      <c r="M77" s="538">
        <f>H77</f>
        <v>20647.116789</v>
      </c>
      <c r="O77" s="276">
        <v>8.0699999999999999E-4</v>
      </c>
    </row>
    <row r="78" spans="2:21" ht="15.75" thickBot="1" x14ac:dyDescent="0.3">
      <c r="B78" s="381"/>
      <c r="C78" s="382"/>
      <c r="D78" s="382"/>
      <c r="E78" s="382"/>
      <c r="F78" s="382"/>
      <c r="G78" s="382"/>
      <c r="H78" s="382"/>
      <c r="I78" s="382"/>
      <c r="J78" s="389"/>
      <c r="K78" s="382"/>
      <c r="L78" s="389"/>
      <c r="M78" s="383"/>
    </row>
    <row r="79" spans="2:21" ht="15.75" thickBot="1" x14ac:dyDescent="0.3">
      <c r="B79" s="370"/>
      <c r="C79" s="371"/>
      <c r="D79" s="371"/>
      <c r="E79" s="371"/>
      <c r="F79" s="371"/>
      <c r="G79" s="371"/>
      <c r="H79" s="371"/>
      <c r="I79" s="371"/>
      <c r="J79" s="390"/>
      <c r="K79" s="371"/>
      <c r="L79" s="371" t="s">
        <v>120</v>
      </c>
      <c r="M79" s="384">
        <f>M77+M72</f>
        <v>30800.909404035585</v>
      </c>
    </row>
  </sheetData>
  <mergeCells count="10">
    <mergeCell ref="B59:B60"/>
    <mergeCell ref="C59:E60"/>
    <mergeCell ref="J59:L59"/>
    <mergeCell ref="J60:L60"/>
    <mergeCell ref="B12:B19"/>
    <mergeCell ref="B9:M9"/>
    <mergeCell ref="B10:M10"/>
    <mergeCell ref="B47:M47"/>
    <mergeCell ref="J53:J58"/>
    <mergeCell ref="L53:L5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opLeftCell="A16" zoomScale="96" zoomScaleNormal="96" workbookViewId="0">
      <selection activeCell="B34" sqref="B34"/>
    </sheetView>
  </sheetViews>
  <sheetFormatPr defaultRowHeight="15" x14ac:dyDescent="0.25"/>
  <cols>
    <col min="1" max="1" width="3.5703125" customWidth="1"/>
    <col min="2" max="2" width="24" customWidth="1"/>
    <col min="3" max="3" width="13.140625" customWidth="1"/>
    <col min="4" max="4" width="15.28515625" customWidth="1"/>
    <col min="5" max="5" width="7.140625" hidden="1" customWidth="1"/>
    <col min="6" max="6" width="21.85546875" customWidth="1"/>
    <col min="7" max="8" width="13.7109375" customWidth="1"/>
    <col min="9" max="10" width="14.42578125" customWidth="1"/>
    <col min="11" max="11" width="14.28515625" customWidth="1"/>
    <col min="12" max="12" width="13.7109375" customWidth="1"/>
    <col min="13" max="13" width="13.140625" customWidth="1"/>
    <col min="14" max="14" width="15.5703125" customWidth="1"/>
    <col min="18" max="18" width="15.7109375" bestFit="1" customWidth="1"/>
  </cols>
  <sheetData>
    <row r="1" spans="1:14" x14ac:dyDescent="0.25">
      <c r="B1" s="262" t="s">
        <v>92</v>
      </c>
      <c r="C1" s="263">
        <v>30</v>
      </c>
    </row>
    <row r="2" spans="1:14" ht="24" thickBot="1" x14ac:dyDescent="0.4">
      <c r="A2" s="437" t="s">
        <v>11</v>
      </c>
      <c r="B2" s="437"/>
      <c r="C2" s="437"/>
      <c r="D2" s="437"/>
      <c r="E2" s="437"/>
      <c r="F2" s="437"/>
      <c r="G2" s="437"/>
      <c r="H2" s="437"/>
      <c r="I2" s="437"/>
      <c r="J2" s="437"/>
      <c r="K2" s="15"/>
      <c r="L2" s="15"/>
      <c r="M2" s="15"/>
      <c r="N2" s="15"/>
    </row>
    <row r="3" spans="1:14" ht="16.5" thickBot="1" x14ac:dyDescent="0.3">
      <c r="A3" s="428" t="s">
        <v>14</v>
      </c>
      <c r="B3" s="429"/>
      <c r="C3" s="429"/>
      <c r="D3" s="429"/>
      <c r="E3" s="429"/>
      <c r="F3" s="429"/>
      <c r="G3" s="429"/>
      <c r="H3" s="429"/>
      <c r="I3" s="429"/>
      <c r="J3" s="430"/>
    </row>
    <row r="4" spans="1:14" ht="41.25" customHeight="1" x14ac:dyDescent="0.25">
      <c r="A4" s="46"/>
      <c r="B4" s="72" t="s">
        <v>0</v>
      </c>
      <c r="C4" s="73" t="s">
        <v>6</v>
      </c>
      <c r="D4" s="73" t="s">
        <v>7</v>
      </c>
      <c r="E4" s="31" t="s">
        <v>45</v>
      </c>
      <c r="F4" s="31" t="s">
        <v>43</v>
      </c>
      <c r="G4" s="32" t="s">
        <v>53</v>
      </c>
      <c r="H4" s="71" t="s">
        <v>56</v>
      </c>
      <c r="I4" s="71" t="s">
        <v>57</v>
      </c>
      <c r="J4" s="33" t="s">
        <v>24</v>
      </c>
      <c r="K4" s="10"/>
      <c r="L4" s="4"/>
      <c r="M4" s="4"/>
      <c r="N4" s="4"/>
    </row>
    <row r="5" spans="1:14" x14ac:dyDescent="0.25">
      <c r="A5" s="34">
        <v>1</v>
      </c>
      <c r="B5" s="35" t="s">
        <v>19</v>
      </c>
      <c r="C5" s="235">
        <v>490119</v>
      </c>
      <c r="D5" s="30" t="s">
        <v>16</v>
      </c>
      <c r="E5" s="30" t="s">
        <v>48</v>
      </c>
      <c r="F5" s="35">
        <f>0.002762</f>
        <v>2.7620000000000001E-3</v>
      </c>
      <c r="G5" s="235">
        <f>C5*C47</f>
        <v>1348.8341886126232</v>
      </c>
      <c r="H5" s="37">
        <f>C48*C5</f>
        <v>0.10301162277475358</v>
      </c>
      <c r="I5" s="38">
        <f>C49*C5</f>
        <v>4.7385346476386632</v>
      </c>
      <c r="J5" s="229">
        <f>$F5*$C5</f>
        <v>1353.708678</v>
      </c>
    </row>
    <row r="6" spans="1:14" x14ac:dyDescent="0.25">
      <c r="A6" s="34">
        <v>2</v>
      </c>
      <c r="B6" s="35" t="s">
        <v>2</v>
      </c>
      <c r="C6" s="235">
        <v>283915</v>
      </c>
      <c r="D6" s="30" t="s">
        <v>17</v>
      </c>
      <c r="E6" s="30" t="s">
        <v>50</v>
      </c>
      <c r="F6" s="35">
        <v>4.9976E-2</v>
      </c>
      <c r="G6" s="235">
        <f>C6*D47</f>
        <v>14102.680493925789</v>
      </c>
      <c r="H6" s="37">
        <f>C6*D48</f>
        <v>5.9170017106782797</v>
      </c>
      <c r="I6" s="38">
        <f>D49*C6</f>
        <v>80.372606570046628</v>
      </c>
      <c r="J6" s="229">
        <f>$F6*$C6</f>
        <v>14188.936040000001</v>
      </c>
    </row>
    <row r="7" spans="1:14" x14ac:dyDescent="0.25">
      <c r="A7" s="47"/>
      <c r="B7" s="48" t="s">
        <v>3</v>
      </c>
      <c r="C7" s="235"/>
      <c r="D7" s="30"/>
      <c r="E7" s="30"/>
      <c r="F7" s="35"/>
      <c r="G7" s="235"/>
      <c r="H7" s="35"/>
      <c r="I7" s="35"/>
      <c r="J7" s="229"/>
    </row>
    <row r="8" spans="1:14" x14ac:dyDescent="0.25">
      <c r="A8" s="34">
        <v>3</v>
      </c>
      <c r="B8" s="49" t="s">
        <v>4</v>
      </c>
      <c r="C8" s="235">
        <v>9201</v>
      </c>
      <c r="D8" s="30" t="s">
        <v>16</v>
      </c>
      <c r="E8" s="30" t="s">
        <v>50</v>
      </c>
      <c r="F8" s="41">
        <v>2.31E-3</v>
      </c>
      <c r="G8" s="236">
        <f>J8</f>
        <v>21.25431</v>
      </c>
      <c r="H8" s="438"/>
      <c r="I8" s="418"/>
      <c r="J8" s="229">
        <f t="shared" ref="J8:J12" si="0">$F8*$C8</f>
        <v>21.25431</v>
      </c>
    </row>
    <row r="9" spans="1:14" x14ac:dyDescent="0.25">
      <c r="A9" s="34">
        <v>4</v>
      </c>
      <c r="B9" s="49" t="s">
        <v>5</v>
      </c>
      <c r="C9" s="235">
        <v>37090</v>
      </c>
      <c r="D9" s="30" t="s">
        <v>16</v>
      </c>
      <c r="E9" s="30" t="s">
        <v>50</v>
      </c>
      <c r="F9" s="35">
        <f>0.002816</f>
        <v>2.8159999999999999E-3</v>
      </c>
      <c r="G9" s="236">
        <f>J9</f>
        <v>104.44543999999999</v>
      </c>
      <c r="H9" s="439"/>
      <c r="I9" s="419"/>
      <c r="J9" s="229">
        <f t="shared" si="0"/>
        <v>104.44543999999999</v>
      </c>
    </row>
    <row r="10" spans="1:14" x14ac:dyDescent="0.25">
      <c r="A10" s="34"/>
      <c r="B10" s="49" t="s">
        <v>37</v>
      </c>
      <c r="C10" s="235">
        <f>C8+C9</f>
        <v>46291</v>
      </c>
      <c r="D10" s="30" t="s">
        <v>16</v>
      </c>
      <c r="E10" s="30"/>
      <c r="F10" s="41">
        <f>F8+F9</f>
        <v>5.1260000000000003E-3</v>
      </c>
      <c r="G10" s="236">
        <f>J10</f>
        <v>125.69974999999999</v>
      </c>
      <c r="H10" s="439"/>
      <c r="I10" s="419"/>
      <c r="J10" s="229">
        <f>J8+J9</f>
        <v>125.69974999999999</v>
      </c>
    </row>
    <row r="11" spans="1:14" x14ac:dyDescent="0.25">
      <c r="A11" s="34"/>
      <c r="B11" s="44" t="s">
        <v>36</v>
      </c>
      <c r="C11" s="35"/>
      <c r="D11" s="30"/>
      <c r="E11" s="30"/>
      <c r="F11" s="35"/>
      <c r="G11" s="237">
        <f>G5+G6+G8+G9+G10</f>
        <v>15702.914182538412</v>
      </c>
      <c r="H11" s="439"/>
      <c r="I11" s="419"/>
      <c r="J11" s="230">
        <f>J5+J6+J8+J9</f>
        <v>15668.344467999999</v>
      </c>
    </row>
    <row r="12" spans="1:14" x14ac:dyDescent="0.25">
      <c r="A12" s="34">
        <v>5</v>
      </c>
      <c r="B12" s="35" t="s">
        <v>20</v>
      </c>
      <c r="C12" s="45">
        <v>26763572</v>
      </c>
      <c r="D12" s="30" t="s">
        <v>18</v>
      </c>
      <c r="E12" s="30" t="s">
        <v>46</v>
      </c>
      <c r="F12" s="35">
        <v>8.0699999999999999E-4</v>
      </c>
      <c r="G12" s="236">
        <f>J12</f>
        <v>21598.202603999998</v>
      </c>
      <c r="H12" s="439"/>
      <c r="I12" s="419"/>
      <c r="J12" s="229">
        <f t="shared" si="0"/>
        <v>21598.202603999998</v>
      </c>
    </row>
    <row r="13" spans="1:14" ht="15.75" thickBot="1" x14ac:dyDescent="0.3">
      <c r="A13" s="34"/>
      <c r="B13" s="35"/>
      <c r="C13" s="45"/>
      <c r="D13" s="30"/>
      <c r="E13" s="30" t="s">
        <v>47</v>
      </c>
      <c r="F13" s="35">
        <v>6.9298000000000005E-4</v>
      </c>
      <c r="G13" s="236">
        <f>J13</f>
        <v>18546.620124560002</v>
      </c>
      <c r="H13" s="440"/>
      <c r="I13" s="420"/>
      <c r="J13" s="229">
        <f>F13*C12</f>
        <v>18546.620124560002</v>
      </c>
    </row>
    <row r="14" spans="1:14" x14ac:dyDescent="0.25">
      <c r="A14" s="414"/>
      <c r="B14" s="441" t="s">
        <v>35</v>
      </c>
      <c r="C14" s="442"/>
      <c r="D14" s="443"/>
      <c r="E14" s="19"/>
      <c r="F14" s="52" t="s">
        <v>51</v>
      </c>
      <c r="G14" s="259">
        <f>G11+G12</f>
        <v>37301.116786538412</v>
      </c>
      <c r="H14" s="447" t="s">
        <v>54</v>
      </c>
      <c r="I14" s="447"/>
      <c r="J14" s="231">
        <f>J5+J6+J8+J9+J12</f>
        <v>37266.547072000001</v>
      </c>
    </row>
    <row r="15" spans="1:14" ht="15.75" thickBot="1" x14ac:dyDescent="0.3">
      <c r="A15" s="415"/>
      <c r="B15" s="444"/>
      <c r="C15" s="445"/>
      <c r="D15" s="446"/>
      <c r="E15" s="20"/>
      <c r="F15" s="53" t="s">
        <v>52</v>
      </c>
      <c r="G15" s="260">
        <f>G13+G11</f>
        <v>34249.534307098416</v>
      </c>
      <c r="H15" s="440" t="s">
        <v>54</v>
      </c>
      <c r="I15" s="440"/>
      <c r="J15" s="232">
        <f>J11+J13</f>
        <v>34214.964592560005</v>
      </c>
    </row>
    <row r="16" spans="1:14" ht="15.75" thickBot="1" x14ac:dyDescent="0.3">
      <c r="B16" s="21"/>
      <c r="C16" s="21"/>
      <c r="D16" s="21"/>
      <c r="E16" s="22"/>
      <c r="F16" s="23"/>
      <c r="G16" s="24"/>
      <c r="H16" s="25"/>
      <c r="I16" s="25"/>
      <c r="J16" s="26"/>
    </row>
    <row r="17" spans="1:18" ht="16.5" thickBot="1" x14ac:dyDescent="0.3">
      <c r="A17" s="431" t="s">
        <v>15</v>
      </c>
      <c r="B17" s="432"/>
      <c r="C17" s="432"/>
      <c r="D17" s="432"/>
      <c r="E17" s="432"/>
      <c r="F17" s="432"/>
      <c r="G17" s="432"/>
      <c r="H17" s="432"/>
      <c r="I17" s="432"/>
      <c r="J17" s="433"/>
    </row>
    <row r="18" spans="1:18" ht="35.25" customHeight="1" x14ac:dyDescent="0.25">
      <c r="A18" s="54"/>
      <c r="B18" s="74" t="s">
        <v>0</v>
      </c>
      <c r="C18" s="59" t="s">
        <v>6</v>
      </c>
      <c r="D18" s="59" t="s">
        <v>7</v>
      </c>
      <c r="E18" s="57" t="s">
        <v>49</v>
      </c>
      <c r="F18" s="57" t="s">
        <v>44</v>
      </c>
      <c r="G18" s="70" t="s">
        <v>55</v>
      </c>
      <c r="H18" s="71" t="s">
        <v>56</v>
      </c>
      <c r="I18" s="71" t="s">
        <v>57</v>
      </c>
      <c r="J18" s="60" t="s">
        <v>24</v>
      </c>
      <c r="K18" s="3"/>
      <c r="L18" s="4"/>
      <c r="M18" s="4"/>
      <c r="N18" s="4"/>
    </row>
    <row r="19" spans="1:18" x14ac:dyDescent="0.25">
      <c r="A19" s="34">
        <v>1</v>
      </c>
      <c r="B19" s="35" t="s">
        <v>1</v>
      </c>
      <c r="C19" s="235">
        <v>0</v>
      </c>
      <c r="D19" s="30" t="s">
        <v>16</v>
      </c>
      <c r="E19" s="30" t="s">
        <v>48</v>
      </c>
      <c r="F19" s="35">
        <f>F5</f>
        <v>2.7620000000000001E-3</v>
      </c>
      <c r="G19" s="35">
        <f>C19*C47</f>
        <v>0</v>
      </c>
      <c r="H19" s="35">
        <f>C19*C48</f>
        <v>0</v>
      </c>
      <c r="I19" s="35">
        <f>C19*C49</f>
        <v>0</v>
      </c>
      <c r="J19" s="61">
        <f>F19*C19</f>
        <v>0</v>
      </c>
    </row>
    <row r="20" spans="1:18" x14ac:dyDescent="0.25">
      <c r="A20" s="34">
        <v>2</v>
      </c>
      <c r="B20" s="35" t="s">
        <v>2</v>
      </c>
      <c r="C20" s="235">
        <v>280358</v>
      </c>
      <c r="D20" s="30" t="s">
        <v>17</v>
      </c>
      <c r="E20" s="30" t="s">
        <v>50</v>
      </c>
      <c r="F20" s="35">
        <f>F6</f>
        <v>4.9976E-2</v>
      </c>
      <c r="G20" s="235">
        <f>C20*D47</f>
        <v>13925.996505700812</v>
      </c>
      <c r="H20" s="38">
        <f>C20*D48</f>
        <v>5.8428711607429724</v>
      </c>
      <c r="I20" s="38">
        <f>D49*C20</f>
        <v>79.365666600092055</v>
      </c>
      <c r="J20" s="229">
        <f>F20*C20</f>
        <v>14011.171408</v>
      </c>
    </row>
    <row r="21" spans="1:18" x14ac:dyDescent="0.25">
      <c r="A21" s="47"/>
      <c r="B21" s="48" t="s">
        <v>3</v>
      </c>
      <c r="C21" s="235"/>
      <c r="D21" s="30"/>
      <c r="E21" s="30"/>
      <c r="F21" s="35"/>
      <c r="G21" s="235"/>
      <c r="H21" s="35"/>
      <c r="I21" s="35"/>
      <c r="J21" s="229"/>
    </row>
    <row r="22" spans="1:18" x14ac:dyDescent="0.25">
      <c r="A22" s="34">
        <v>3</v>
      </c>
      <c r="B22" s="30" t="s">
        <v>4</v>
      </c>
      <c r="C22" s="235">
        <v>10771</v>
      </c>
      <c r="D22" s="30" t="s">
        <v>16</v>
      </c>
      <c r="E22" s="30" t="s">
        <v>50</v>
      </c>
      <c r="F22" s="41">
        <f>F8</f>
        <v>2.31E-3</v>
      </c>
      <c r="G22" s="236">
        <f>J22</f>
        <v>24.88101</v>
      </c>
      <c r="H22" s="418"/>
      <c r="I22" s="418"/>
      <c r="J22" s="229">
        <f>F22*C22</f>
        <v>24.88101</v>
      </c>
    </row>
    <row r="23" spans="1:18" x14ac:dyDescent="0.25">
      <c r="A23" s="34">
        <v>4</v>
      </c>
      <c r="B23" s="30" t="s">
        <v>5</v>
      </c>
      <c r="C23" s="235">
        <v>46138</v>
      </c>
      <c r="D23" s="30" t="s">
        <v>16</v>
      </c>
      <c r="E23" s="30" t="s">
        <v>50</v>
      </c>
      <c r="F23" s="35">
        <f>F9</f>
        <v>2.8159999999999999E-3</v>
      </c>
      <c r="G23" s="236">
        <f>J23</f>
        <v>129.92460800000001</v>
      </c>
      <c r="H23" s="419"/>
      <c r="I23" s="419"/>
      <c r="J23" s="229">
        <f>F23*C23</f>
        <v>129.92460800000001</v>
      </c>
    </row>
    <row r="24" spans="1:18" x14ac:dyDescent="0.25">
      <c r="A24" s="34"/>
      <c r="B24" s="40" t="s">
        <v>37</v>
      </c>
      <c r="C24" s="235">
        <f>SUM(C22:C23)</f>
        <v>56909</v>
      </c>
      <c r="D24" s="30" t="s">
        <v>16</v>
      </c>
      <c r="E24" s="30"/>
      <c r="F24" s="41">
        <f>SUM(F22:F23)</f>
        <v>5.1260000000000003E-3</v>
      </c>
      <c r="G24" s="236">
        <f>J24</f>
        <v>154.80561800000001</v>
      </c>
      <c r="H24" s="419"/>
      <c r="I24" s="419"/>
      <c r="J24" s="229">
        <f>SUM(J22:J23)</f>
        <v>154.80561800000001</v>
      </c>
    </row>
    <row r="25" spans="1:18" x14ac:dyDescent="0.25">
      <c r="A25" s="34"/>
      <c r="B25" s="44" t="s">
        <v>36</v>
      </c>
      <c r="C25" s="35"/>
      <c r="D25" s="30"/>
      <c r="E25" s="30"/>
      <c r="F25" s="35"/>
      <c r="G25" s="237">
        <f>G20+G22+G23+G24+G19</f>
        <v>14235.607741700811</v>
      </c>
      <c r="H25" s="419"/>
      <c r="I25" s="419"/>
      <c r="J25" s="230">
        <f>J19+J20+J22+J23</f>
        <v>14165.977025999999</v>
      </c>
    </row>
    <row r="26" spans="1:18" x14ac:dyDescent="0.25">
      <c r="A26" s="34">
        <v>5</v>
      </c>
      <c r="B26" s="35" t="s">
        <v>12</v>
      </c>
      <c r="C26" s="45">
        <v>26410823</v>
      </c>
      <c r="D26" s="30" t="s">
        <v>18</v>
      </c>
      <c r="E26" s="30" t="s">
        <v>46</v>
      </c>
      <c r="F26" s="35">
        <f>F12</f>
        <v>8.0699999999999999E-4</v>
      </c>
      <c r="G26" s="236">
        <f>J26</f>
        <v>21313.534161</v>
      </c>
      <c r="H26" s="419"/>
      <c r="I26" s="419"/>
      <c r="J26" s="229">
        <f>C26*F26</f>
        <v>21313.534161</v>
      </c>
      <c r="R26" s="16"/>
    </row>
    <row r="27" spans="1:18" ht="15.75" thickBot="1" x14ac:dyDescent="0.3">
      <c r="A27" s="50"/>
      <c r="B27" s="62"/>
      <c r="C27" s="63"/>
      <c r="D27" s="64"/>
      <c r="E27" s="64" t="s">
        <v>47</v>
      </c>
      <c r="F27" s="62">
        <f>F13</f>
        <v>6.9298000000000005E-4</v>
      </c>
      <c r="G27" s="258">
        <f>J27</f>
        <v>18302.17212254</v>
      </c>
      <c r="H27" s="420"/>
      <c r="I27" s="420"/>
      <c r="J27" s="261">
        <f>F27*C26</f>
        <v>18302.17212254</v>
      </c>
      <c r="R27" s="16"/>
    </row>
    <row r="28" spans="1:18" x14ac:dyDescent="0.25">
      <c r="A28" s="414"/>
      <c r="B28" s="416" t="s">
        <v>35</v>
      </c>
      <c r="C28" s="416"/>
      <c r="D28" s="416"/>
      <c r="E28" s="56"/>
      <c r="F28" s="67" t="s">
        <v>51</v>
      </c>
      <c r="G28" s="259">
        <f>G25+G26</f>
        <v>35549.141902700809</v>
      </c>
      <c r="H28" s="427" t="s">
        <v>54</v>
      </c>
      <c r="I28" s="427"/>
      <c r="J28" s="231">
        <f>J19+J20+J22+J23+J26</f>
        <v>35479.511186999996</v>
      </c>
    </row>
    <row r="29" spans="1:18" ht="15.75" thickBot="1" x14ac:dyDescent="0.3">
      <c r="A29" s="415"/>
      <c r="B29" s="417"/>
      <c r="C29" s="417"/>
      <c r="D29" s="417"/>
      <c r="E29" s="64"/>
      <c r="F29" s="69" t="s">
        <v>52</v>
      </c>
      <c r="G29" s="260">
        <f>G25+G27</f>
        <v>32537.779864240809</v>
      </c>
      <c r="H29" s="420" t="s">
        <v>54</v>
      </c>
      <c r="I29" s="420"/>
      <c r="J29" s="232">
        <f>J25+J27</f>
        <v>32468.149148539997</v>
      </c>
    </row>
    <row r="30" spans="1:18" ht="15.75" thickBot="1" x14ac:dyDescent="0.3">
      <c r="B30" s="23"/>
      <c r="C30" s="27"/>
      <c r="D30" s="22"/>
      <c r="E30" s="22"/>
      <c r="F30" s="23"/>
      <c r="G30" s="24"/>
      <c r="H30" s="22"/>
      <c r="I30" s="22"/>
      <c r="J30" s="26"/>
    </row>
    <row r="31" spans="1:18" ht="16.5" thickBot="1" x14ac:dyDescent="0.3">
      <c r="A31" s="434" t="s">
        <v>13</v>
      </c>
      <c r="B31" s="435"/>
      <c r="C31" s="435"/>
      <c r="D31" s="435"/>
      <c r="E31" s="435"/>
      <c r="F31" s="435"/>
      <c r="G31" s="435"/>
      <c r="H31" s="435"/>
      <c r="I31" s="435"/>
      <c r="J31" s="436"/>
    </row>
    <row r="32" spans="1:18" ht="48.75" customHeight="1" x14ac:dyDescent="0.35">
      <c r="A32" s="54"/>
      <c r="B32" s="55" t="s">
        <v>0</v>
      </c>
      <c r="C32" s="56" t="s">
        <v>6</v>
      </c>
      <c r="D32" s="56" t="s">
        <v>7</v>
      </c>
      <c r="E32" s="57" t="s">
        <v>49</v>
      </c>
      <c r="F32" s="58" t="s">
        <v>44</v>
      </c>
      <c r="G32" s="70" t="s">
        <v>55</v>
      </c>
      <c r="H32" s="76" t="s">
        <v>56</v>
      </c>
      <c r="I32" s="76" t="s">
        <v>57</v>
      </c>
      <c r="J32" s="60" t="s">
        <v>24</v>
      </c>
      <c r="K32" s="3"/>
      <c r="L32" s="4"/>
      <c r="M32" s="4"/>
      <c r="N32" s="4"/>
    </row>
    <row r="33" spans="1:10" x14ac:dyDescent="0.25">
      <c r="A33" s="34">
        <v>1</v>
      </c>
      <c r="B33" s="35" t="s">
        <v>1</v>
      </c>
      <c r="C33" s="235">
        <v>27899</v>
      </c>
      <c r="D33" s="30" t="s">
        <v>16</v>
      </c>
      <c r="E33" s="30" t="s">
        <v>48</v>
      </c>
      <c r="F33" s="35">
        <f>F19</f>
        <v>2.7620000000000001E-3</v>
      </c>
      <c r="G33" s="77">
        <f>C33*C47</f>
        <v>76.77956787658421</v>
      </c>
      <c r="H33" s="75">
        <f>C33*C48</f>
        <v>5.8637213896887289E-3</v>
      </c>
      <c r="I33" s="37">
        <f>C49*C33</f>
        <v>0.26973118392568146</v>
      </c>
      <c r="J33" s="78">
        <f>F33*C33</f>
        <v>77.057038000000006</v>
      </c>
    </row>
    <row r="34" spans="1:10" x14ac:dyDescent="0.25">
      <c r="A34" s="34">
        <v>2</v>
      </c>
      <c r="B34" s="35" t="s">
        <v>2</v>
      </c>
      <c r="C34" s="235">
        <v>201371</v>
      </c>
      <c r="D34" s="30" t="s">
        <v>17</v>
      </c>
      <c r="E34" s="30" t="s">
        <v>50</v>
      </c>
      <c r="F34" s="35">
        <f>F20</f>
        <v>4.9976E-2</v>
      </c>
      <c r="G34" s="36">
        <f>C34*D47</f>
        <v>10002.539047751368</v>
      </c>
      <c r="H34" s="37">
        <f>C34*D48</f>
        <v>4.1967227919658905</v>
      </c>
      <c r="I34" s="38">
        <f>C34*D49</f>
        <v>57.005484590870019</v>
      </c>
      <c r="J34" s="39">
        <f>C34*F34</f>
        <v>10063.717096</v>
      </c>
    </row>
    <row r="35" spans="1:10" x14ac:dyDescent="0.25">
      <c r="A35" s="47"/>
      <c r="B35" s="48" t="s">
        <v>3</v>
      </c>
      <c r="C35" s="235"/>
      <c r="D35" s="30"/>
      <c r="E35" s="30"/>
      <c r="F35" s="35"/>
      <c r="G35" s="35"/>
      <c r="H35" s="35"/>
      <c r="I35" s="35"/>
      <c r="J35" s="61"/>
    </row>
    <row r="36" spans="1:10" x14ac:dyDescent="0.25">
      <c r="A36" s="34">
        <v>3</v>
      </c>
      <c r="B36" s="30" t="s">
        <v>4</v>
      </c>
      <c r="C36" s="235">
        <v>9452</v>
      </c>
      <c r="D36" s="30" t="s">
        <v>16</v>
      </c>
      <c r="E36" s="30" t="s">
        <v>50</v>
      </c>
      <c r="F36" s="41">
        <f>F22</f>
        <v>2.31E-3</v>
      </c>
      <c r="G36" s="43">
        <f>J36</f>
        <v>21.834119999999999</v>
      </c>
      <c r="H36" s="418"/>
      <c r="I36" s="418"/>
      <c r="J36" s="229">
        <f>C36*F36</f>
        <v>21.834119999999999</v>
      </c>
    </row>
    <row r="37" spans="1:10" x14ac:dyDescent="0.25">
      <c r="A37" s="34">
        <v>4</v>
      </c>
      <c r="B37" s="30" t="s">
        <v>5</v>
      </c>
      <c r="C37" s="235">
        <v>44181</v>
      </c>
      <c r="D37" s="30" t="s">
        <v>16</v>
      </c>
      <c r="E37" s="30" t="s">
        <v>50</v>
      </c>
      <c r="F37" s="35">
        <f>F9</f>
        <v>2.8159999999999999E-3</v>
      </c>
      <c r="G37" s="43">
        <f>J37</f>
        <v>124.413696</v>
      </c>
      <c r="H37" s="419"/>
      <c r="I37" s="419"/>
      <c r="J37" s="229">
        <f>C37*F37</f>
        <v>124.413696</v>
      </c>
    </row>
    <row r="38" spans="1:10" x14ac:dyDescent="0.25">
      <c r="A38" s="34"/>
      <c r="B38" s="40" t="s">
        <v>37</v>
      </c>
      <c r="C38" s="235">
        <f>SUM(C36:C37)</f>
        <v>53633</v>
      </c>
      <c r="D38" s="30" t="s">
        <v>16</v>
      </c>
      <c r="E38" s="30"/>
      <c r="F38" s="41">
        <f>SUM(F36:F37)</f>
        <v>5.1260000000000003E-3</v>
      </c>
      <c r="G38" s="43">
        <f>J38</f>
        <v>146.247816</v>
      </c>
      <c r="H38" s="419"/>
      <c r="I38" s="419"/>
      <c r="J38" s="229">
        <f>SUM(J36:J37)</f>
        <v>146.247816</v>
      </c>
    </row>
    <row r="39" spans="1:10" x14ac:dyDescent="0.25">
      <c r="A39" s="34"/>
      <c r="B39" s="44" t="s">
        <v>36</v>
      </c>
      <c r="C39" s="35"/>
      <c r="D39" s="30"/>
      <c r="E39" s="30"/>
      <c r="F39" s="35"/>
      <c r="G39" s="237">
        <f>G38+G33+G34</f>
        <v>10225.566431627953</v>
      </c>
      <c r="H39" s="419"/>
      <c r="I39" s="419"/>
      <c r="J39" s="230">
        <f>J33+J34+J36+J37</f>
        <v>10287.02195</v>
      </c>
    </row>
    <row r="40" spans="1:10" x14ac:dyDescent="0.25">
      <c r="A40" s="34">
        <v>5</v>
      </c>
      <c r="B40" s="35" t="s">
        <v>12</v>
      </c>
      <c r="C40" s="45">
        <v>25585027</v>
      </c>
      <c r="D40" s="30" t="s">
        <v>18</v>
      </c>
      <c r="E40" s="30" t="s">
        <v>46</v>
      </c>
      <c r="F40" s="35">
        <v>8.0699999999999999E-4</v>
      </c>
      <c r="G40" s="236">
        <f>J40</f>
        <v>20647.116789</v>
      </c>
      <c r="H40" s="419"/>
      <c r="I40" s="419"/>
      <c r="J40" s="229">
        <f>C40*F40</f>
        <v>20647.116789</v>
      </c>
    </row>
    <row r="41" spans="1:10" ht="15.75" thickBot="1" x14ac:dyDescent="0.3">
      <c r="A41" s="34"/>
      <c r="B41" s="35"/>
      <c r="C41" s="45"/>
      <c r="D41" s="49"/>
      <c r="E41" s="30" t="s">
        <v>47</v>
      </c>
      <c r="F41" s="35">
        <f>F27</f>
        <v>6.9298000000000005E-4</v>
      </c>
      <c r="G41" s="236">
        <f>F41*C40</f>
        <v>17729.912010460001</v>
      </c>
      <c r="H41" s="420"/>
      <c r="I41" s="420"/>
      <c r="J41" s="229">
        <f>F41*C40</f>
        <v>17729.912010460001</v>
      </c>
    </row>
    <row r="42" spans="1:10" x14ac:dyDescent="0.25">
      <c r="A42" s="414"/>
      <c r="B42" s="416" t="s">
        <v>35</v>
      </c>
      <c r="C42" s="416"/>
      <c r="D42" s="416"/>
      <c r="E42" s="79"/>
      <c r="F42" s="67" t="s">
        <v>51</v>
      </c>
      <c r="G42" s="241">
        <f>G33+G34+G36+G37+G40</f>
        <v>30872.683220627951</v>
      </c>
      <c r="H42" s="427" t="s">
        <v>54</v>
      </c>
      <c r="I42" s="427"/>
      <c r="J42" s="231">
        <f>J33+J34+J36+J37+J40</f>
        <v>30934.138739000002</v>
      </c>
    </row>
    <row r="43" spans="1:10" ht="15.75" thickBot="1" x14ac:dyDescent="0.3">
      <c r="A43" s="415"/>
      <c r="B43" s="417"/>
      <c r="C43" s="417"/>
      <c r="D43" s="417"/>
      <c r="E43" s="62"/>
      <c r="F43" s="69" t="s">
        <v>52</v>
      </c>
      <c r="G43" s="242">
        <f>G39+G41</f>
        <v>27955.478442087951</v>
      </c>
      <c r="H43" s="420" t="s">
        <v>54</v>
      </c>
      <c r="I43" s="420"/>
      <c r="J43" s="232">
        <f>J39+J41</f>
        <v>28016.933960460003</v>
      </c>
    </row>
    <row r="45" spans="1:10" x14ac:dyDescent="0.25">
      <c r="B45" s="17" t="s">
        <v>27</v>
      </c>
      <c r="C45" s="18"/>
      <c r="D45" s="18"/>
      <c r="E45" s="18"/>
      <c r="F45" s="87"/>
      <c r="G45" s="87"/>
      <c r="H45" s="88"/>
    </row>
    <row r="46" spans="1:10" x14ac:dyDescent="0.25">
      <c r="B46" s="89"/>
      <c r="C46" s="23" t="s">
        <v>28</v>
      </c>
      <c r="D46" s="23" t="s">
        <v>2</v>
      </c>
      <c r="E46" s="23"/>
      <c r="F46" s="90" t="s">
        <v>71</v>
      </c>
      <c r="G46" s="28"/>
      <c r="H46" s="85"/>
    </row>
    <row r="47" spans="1:10" x14ac:dyDescent="0.25">
      <c r="B47" s="84" t="s">
        <v>25</v>
      </c>
      <c r="C47" s="28">
        <f>(1309.4/475790)</f>
        <v>2.7520544778158432E-3</v>
      </c>
      <c r="D47" s="28">
        <f>28601/575795</f>
        <v>4.9672192360128167E-2</v>
      </c>
      <c r="E47" s="28"/>
      <c r="F47" s="28">
        <f>137.5/49952</f>
        <v>2.7526425368353618E-3</v>
      </c>
      <c r="G47" s="28"/>
      <c r="H47" s="85"/>
    </row>
    <row r="48" spans="1:10" x14ac:dyDescent="0.25">
      <c r="B48" s="84" t="s">
        <v>26</v>
      </c>
      <c r="C48" s="28">
        <f>0.1/475790</f>
        <v>2.1017675865402806E-7</v>
      </c>
      <c r="D48" s="28">
        <f>12/575795</f>
        <v>2.0840750614367961E-5</v>
      </c>
      <c r="E48" s="28"/>
      <c r="F48" s="28">
        <f>0.2/49952</f>
        <v>4.0038436899423446E-6</v>
      </c>
      <c r="G48" s="28"/>
      <c r="H48" s="85"/>
    </row>
    <row r="49" spans="2:8" x14ac:dyDescent="0.25">
      <c r="B49" s="86" t="s">
        <v>29</v>
      </c>
      <c r="C49" s="91">
        <f>4.6/475790</f>
        <v>9.6681308980852885E-6</v>
      </c>
      <c r="D49" s="91">
        <f>163/575795</f>
        <v>2.8308686251183148E-4</v>
      </c>
      <c r="E49" s="91"/>
      <c r="F49" s="91">
        <f>0.5/49952</f>
        <v>1.0009609224855861E-5</v>
      </c>
      <c r="G49" s="91"/>
      <c r="H49" s="92"/>
    </row>
    <row r="51" spans="2:8" x14ac:dyDescent="0.25">
      <c r="B51" s="424" t="s">
        <v>77</v>
      </c>
      <c r="C51" s="425"/>
      <c r="D51" s="425"/>
      <c r="E51" s="425"/>
      <c r="F51" s="426"/>
      <c r="G51" s="80"/>
    </row>
    <row r="52" spans="2:8" x14ac:dyDescent="0.25">
      <c r="B52" s="84"/>
      <c r="C52" s="28" t="s">
        <v>14</v>
      </c>
      <c r="D52" s="28" t="s">
        <v>15</v>
      </c>
      <c r="E52" s="28"/>
      <c r="F52" s="85" t="s">
        <v>13</v>
      </c>
    </row>
    <row r="53" spans="2:8" x14ac:dyDescent="0.25">
      <c r="B53" s="84" t="s">
        <v>28</v>
      </c>
      <c r="C53" s="252">
        <f>J5</f>
        <v>1353.708678</v>
      </c>
      <c r="D53" s="252">
        <f>J19</f>
        <v>0</v>
      </c>
      <c r="E53" s="252"/>
      <c r="F53" s="253">
        <f>J33</f>
        <v>77.057038000000006</v>
      </c>
      <c r="G53" s="9"/>
    </row>
    <row r="54" spans="2:8" x14ac:dyDescent="0.25">
      <c r="B54" s="84" t="s">
        <v>2</v>
      </c>
      <c r="C54" s="252">
        <f>J6</f>
        <v>14188.936040000001</v>
      </c>
      <c r="D54" s="252">
        <f>J20</f>
        <v>14011.171408</v>
      </c>
      <c r="E54" s="252"/>
      <c r="F54" s="253">
        <f>J34</f>
        <v>10063.717096</v>
      </c>
      <c r="G54" s="9"/>
    </row>
    <row r="55" spans="2:8" x14ac:dyDescent="0.25">
      <c r="B55" s="84" t="s">
        <v>38</v>
      </c>
      <c r="C55" s="252">
        <f>J10</f>
        <v>125.69974999999999</v>
      </c>
      <c r="D55" s="252">
        <f>J24</f>
        <v>154.80561800000001</v>
      </c>
      <c r="E55" s="252"/>
      <c r="F55" s="253">
        <f>J38</f>
        <v>146.247816</v>
      </c>
      <c r="G55" s="9"/>
    </row>
    <row r="56" spans="2:8" x14ac:dyDescent="0.25">
      <c r="B56" s="86" t="s">
        <v>20</v>
      </c>
      <c r="C56" s="254">
        <f>J12</f>
        <v>21598.202603999998</v>
      </c>
      <c r="D56" s="254">
        <f>J26</f>
        <v>21313.534161</v>
      </c>
      <c r="E56" s="254"/>
      <c r="F56" s="255">
        <f>J40</f>
        <v>20647.116789</v>
      </c>
    </row>
    <row r="57" spans="2:8" ht="15.75" thickBot="1" x14ac:dyDescent="0.3"/>
    <row r="58" spans="2:8" ht="15.75" thickBot="1" x14ac:dyDescent="0.3">
      <c r="B58" s="421" t="s">
        <v>58</v>
      </c>
      <c r="C58" s="422"/>
      <c r="D58" s="422"/>
      <c r="E58" s="422"/>
      <c r="F58" s="423"/>
      <c r="G58" s="80"/>
    </row>
    <row r="59" spans="2:8" ht="15.75" thickBot="1" x14ac:dyDescent="0.3">
      <c r="B59" s="93"/>
      <c r="C59" s="66" t="s">
        <v>66</v>
      </c>
      <c r="D59" s="66" t="s">
        <v>66</v>
      </c>
      <c r="E59" s="66"/>
      <c r="F59" s="94" t="s">
        <v>66</v>
      </c>
      <c r="G59" s="80"/>
    </row>
    <row r="60" spans="2:8" ht="30" customHeight="1" x14ac:dyDescent="0.25">
      <c r="B60" s="51"/>
      <c r="C60" s="57" t="s">
        <v>63</v>
      </c>
      <c r="D60" s="57" t="s">
        <v>64</v>
      </c>
      <c r="E60" s="56"/>
      <c r="F60" s="81" t="s">
        <v>65</v>
      </c>
    </row>
    <row r="61" spans="2:8" x14ac:dyDescent="0.25">
      <c r="B61" s="34" t="s">
        <v>28</v>
      </c>
      <c r="C61" s="235">
        <f>G5*C1</f>
        <v>40465.025658378698</v>
      </c>
      <c r="D61" s="235">
        <f>0*30</f>
        <v>0</v>
      </c>
      <c r="E61" s="235"/>
      <c r="F61" s="229">
        <f>G33*C1</f>
        <v>2303.3870362975263</v>
      </c>
    </row>
    <row r="62" spans="2:8" x14ac:dyDescent="0.25">
      <c r="B62" s="34" t="s">
        <v>2</v>
      </c>
      <c r="C62" s="235">
        <f>G6*C1</f>
        <v>423080.41481777368</v>
      </c>
      <c r="D62" s="235">
        <f>G20*C1</f>
        <v>417779.89517102437</v>
      </c>
      <c r="E62" s="235"/>
      <c r="F62" s="229">
        <f>G34*C1</f>
        <v>300076.17143254104</v>
      </c>
    </row>
    <row r="63" spans="2:8" x14ac:dyDescent="0.25">
      <c r="B63" s="34" t="s">
        <v>38</v>
      </c>
      <c r="C63" s="235">
        <f>G10*C1</f>
        <v>3770.9924999999998</v>
      </c>
      <c r="D63" s="235">
        <f>G24*C1</f>
        <v>4644.1685400000006</v>
      </c>
      <c r="E63" s="235"/>
      <c r="F63" s="229">
        <f>G38*C1</f>
        <v>4387.4344799999999</v>
      </c>
    </row>
    <row r="64" spans="2:8" x14ac:dyDescent="0.25">
      <c r="B64" s="34" t="s">
        <v>61</v>
      </c>
      <c r="C64" s="235">
        <f>G12*C1</f>
        <v>647946.07811999996</v>
      </c>
      <c r="D64" s="235">
        <f>G26*C1</f>
        <v>639406.02483000001</v>
      </c>
      <c r="E64" s="235"/>
      <c r="F64" s="229">
        <f>G40*C1</f>
        <v>619413.50367000001</v>
      </c>
    </row>
    <row r="65" spans="2:6" ht="15.75" thickBot="1" x14ac:dyDescent="0.3">
      <c r="B65" s="34" t="s">
        <v>62</v>
      </c>
      <c r="C65" s="235">
        <f>G13*C1</f>
        <v>556398.60373680003</v>
      </c>
      <c r="D65" s="235">
        <f>G27*C1</f>
        <v>549065.16367619997</v>
      </c>
      <c r="E65" s="235"/>
      <c r="F65" s="229">
        <f>G41*C1</f>
        <v>531897.36031380005</v>
      </c>
    </row>
    <row r="66" spans="2:6" x14ac:dyDescent="0.25">
      <c r="B66" s="82" t="s">
        <v>60</v>
      </c>
      <c r="C66" s="241">
        <f>G14*C1</f>
        <v>1119033.5035961524</v>
      </c>
      <c r="D66" s="241">
        <f>G28*C1</f>
        <v>1066474.2570810243</v>
      </c>
      <c r="E66" s="256"/>
      <c r="F66" s="231">
        <f>G42*C1</f>
        <v>926180.49661883852</v>
      </c>
    </row>
    <row r="67" spans="2:6" ht="15.75" thickBot="1" x14ac:dyDescent="0.3">
      <c r="B67" s="83" t="s">
        <v>59</v>
      </c>
      <c r="C67" s="242">
        <f>G15*C1</f>
        <v>1027486.0292129525</v>
      </c>
      <c r="D67" s="242">
        <f>G29*C1</f>
        <v>976133.39592722431</v>
      </c>
      <c r="E67" s="257"/>
      <c r="F67" s="232">
        <f>G43*C1</f>
        <v>838664.35326263856</v>
      </c>
    </row>
  </sheetData>
  <mergeCells count="24">
    <mergeCell ref="B28:D29"/>
    <mergeCell ref="A3:J3"/>
    <mergeCell ref="A17:J17"/>
    <mergeCell ref="A31:J31"/>
    <mergeCell ref="A2:J2"/>
    <mergeCell ref="H28:I28"/>
    <mergeCell ref="H29:I29"/>
    <mergeCell ref="A14:A15"/>
    <mergeCell ref="A28:A29"/>
    <mergeCell ref="H8:H13"/>
    <mergeCell ref="I8:I13"/>
    <mergeCell ref="B14:D15"/>
    <mergeCell ref="H22:H27"/>
    <mergeCell ref="I22:I27"/>
    <mergeCell ref="H14:I14"/>
    <mergeCell ref="H15:I15"/>
    <mergeCell ref="A42:A43"/>
    <mergeCell ref="B42:D43"/>
    <mergeCell ref="H36:H41"/>
    <mergeCell ref="I36:I41"/>
    <mergeCell ref="B58:F58"/>
    <mergeCell ref="B51:F51"/>
    <mergeCell ref="H43:I43"/>
    <mergeCell ref="H42:I42"/>
  </mergeCells>
  <pageMargins left="0.7" right="0.7" top="0.75" bottom="0.75" header="0.3" footer="0.3"/>
  <pageSetup orientation="portrait" r:id="rId1"/>
  <ignoredErrors>
    <ignoredError sqref="J11 G25 G39 G1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workbookViewId="0">
      <selection activeCell="L20" sqref="L20"/>
    </sheetView>
  </sheetViews>
  <sheetFormatPr defaultRowHeight="15" x14ac:dyDescent="0.25"/>
  <cols>
    <col min="2" max="2" width="21.42578125" customWidth="1"/>
    <col min="3" max="3" width="13.7109375" customWidth="1"/>
    <col min="4" max="4" width="11.85546875" customWidth="1"/>
    <col min="5" max="5" width="12" hidden="1" customWidth="1"/>
    <col min="6" max="6" width="23.140625" customWidth="1"/>
    <col min="7" max="8" width="13.42578125" customWidth="1"/>
    <col min="9" max="9" width="13.140625" customWidth="1"/>
    <col min="10" max="10" width="11.7109375" customWidth="1"/>
    <col min="11" max="11" width="12.5703125" customWidth="1"/>
    <col min="12" max="12" width="15.85546875" customWidth="1"/>
    <col min="13" max="13" width="16" customWidth="1"/>
    <col min="14" max="14" width="20.140625" customWidth="1"/>
  </cols>
  <sheetData>
    <row r="1" spans="1:14" ht="15.75" thickBot="1" x14ac:dyDescent="0.3">
      <c r="A1" s="449" t="s">
        <v>11</v>
      </c>
      <c r="B1" s="449"/>
      <c r="C1" s="449"/>
      <c r="D1" s="449"/>
      <c r="E1" s="449"/>
      <c r="F1" s="449"/>
      <c r="G1" s="449"/>
      <c r="H1" s="449"/>
      <c r="I1" s="449"/>
      <c r="J1" s="449"/>
      <c r="K1" s="15"/>
      <c r="L1" s="15"/>
      <c r="M1" s="15"/>
      <c r="N1" s="15"/>
    </row>
    <row r="2" spans="1:14" ht="16.5" thickBot="1" x14ac:dyDescent="0.3">
      <c r="A2" s="457" t="s">
        <v>31</v>
      </c>
      <c r="B2" s="458"/>
      <c r="C2" s="458"/>
      <c r="D2" s="458"/>
      <c r="E2" s="458"/>
      <c r="F2" s="458"/>
      <c r="G2" s="458"/>
      <c r="H2" s="458"/>
      <c r="I2" s="458"/>
      <c r="J2" s="459"/>
    </row>
    <row r="3" spans="1:14" ht="48" x14ac:dyDescent="0.25">
      <c r="A3" s="99"/>
      <c r="B3" s="100" t="s">
        <v>0</v>
      </c>
      <c r="C3" s="101" t="s">
        <v>6</v>
      </c>
      <c r="D3" s="101" t="s">
        <v>7</v>
      </c>
      <c r="E3" s="101"/>
      <c r="F3" s="102" t="s">
        <v>30</v>
      </c>
      <c r="G3" s="102" t="s">
        <v>21</v>
      </c>
      <c r="H3" s="102" t="s">
        <v>22</v>
      </c>
      <c r="I3" s="102" t="s">
        <v>23</v>
      </c>
      <c r="J3" s="103" t="s">
        <v>24</v>
      </c>
      <c r="K3" s="10"/>
      <c r="L3" s="4"/>
      <c r="M3" s="4"/>
      <c r="N3" s="4"/>
    </row>
    <row r="4" spans="1:14" x14ac:dyDescent="0.25">
      <c r="A4" s="34">
        <v>1</v>
      </c>
      <c r="B4" s="35" t="s">
        <v>68</v>
      </c>
      <c r="C4" s="134">
        <v>765489</v>
      </c>
      <c r="D4" s="42" t="s">
        <v>16</v>
      </c>
      <c r="E4" s="35"/>
      <c r="F4" s="35">
        <v>2.7659999999999998E-3</v>
      </c>
      <c r="G4" s="134">
        <f>C4*'3 Most Recent Years'!F47</f>
        <v>2107.1175828795645</v>
      </c>
      <c r="H4" s="38">
        <f>C4*'3 Most Recent Years'!F48</f>
        <v>3.0648983023702754</v>
      </c>
      <c r="I4" s="38">
        <f>C4*'3 Most Recent Years'!F49</f>
        <v>7.6622457559256878</v>
      </c>
      <c r="J4" s="229">
        <f>F4*C4</f>
        <v>2117.3425739999998</v>
      </c>
    </row>
    <row r="5" spans="1:14" x14ac:dyDescent="0.25">
      <c r="A5" s="34">
        <v>2</v>
      </c>
      <c r="B5" s="35" t="s">
        <v>69</v>
      </c>
      <c r="C5" s="134">
        <v>5033025</v>
      </c>
      <c r="D5" s="42" t="s">
        <v>16</v>
      </c>
      <c r="E5" s="42"/>
      <c r="F5" s="35">
        <f>'3 Most Recent Years'!F5</f>
        <v>2.7620000000000001E-3</v>
      </c>
      <c r="G5" s="134">
        <f>C5*'3 Most Recent Years'!C47</f>
        <v>13851.158988209085</v>
      </c>
      <c r="H5" s="37">
        <f>'3 Most Recent Years'!C48*C5</f>
        <v>1.0578248807246895</v>
      </c>
      <c r="I5" s="38">
        <f>'3 Most Recent Years'!C49*C5</f>
        <v>48.659944513335709</v>
      </c>
      <c r="J5" s="229">
        <f>$F5*$C5</f>
        <v>13901.215050000001</v>
      </c>
    </row>
    <row r="6" spans="1:14" x14ac:dyDescent="0.25">
      <c r="A6" s="34">
        <v>3</v>
      </c>
      <c r="B6" s="35" t="s">
        <v>2</v>
      </c>
      <c r="C6" s="134">
        <v>24632</v>
      </c>
      <c r="D6" s="42" t="s">
        <v>17</v>
      </c>
      <c r="E6" s="42"/>
      <c r="F6" s="35">
        <f>'3 Most Recent Years'!F6</f>
        <v>4.9976E-2</v>
      </c>
      <c r="G6" s="134">
        <f>C6*'3 Most Recent Years'!D47</f>
        <v>1223.525442214677</v>
      </c>
      <c r="H6" s="37">
        <f>C6*'3 Most Recent Years'!D48</f>
        <v>0.51334936913311158</v>
      </c>
      <c r="I6" s="38">
        <f>'3 Most Recent Years'!D49*C6</f>
        <v>6.9729955973914333</v>
      </c>
      <c r="J6" s="229">
        <f>$F6*$C6</f>
        <v>1231.008832</v>
      </c>
    </row>
    <row r="7" spans="1:14" x14ac:dyDescent="0.25">
      <c r="A7" s="47"/>
      <c r="B7" s="48" t="s">
        <v>3</v>
      </c>
      <c r="C7" s="134"/>
      <c r="D7" s="42"/>
      <c r="E7" s="42"/>
      <c r="F7" s="35"/>
      <c r="G7" s="134"/>
      <c r="H7" s="35"/>
      <c r="I7" s="35"/>
      <c r="J7" s="229"/>
    </row>
    <row r="8" spans="1:14" x14ac:dyDescent="0.25">
      <c r="A8" s="34">
        <v>4</v>
      </c>
      <c r="B8" s="40" t="s">
        <v>4</v>
      </c>
      <c r="C8" s="134">
        <v>11456</v>
      </c>
      <c r="D8" s="42" t="s">
        <v>16</v>
      </c>
      <c r="E8" s="42"/>
      <c r="F8" s="41">
        <f>'3 Most Recent Years'!F8</f>
        <v>2.31E-3</v>
      </c>
      <c r="G8" s="226">
        <f>J8</f>
        <v>26.463360000000002</v>
      </c>
      <c r="H8" s="460"/>
      <c r="I8" s="463"/>
      <c r="J8" s="229">
        <f>$F8*$C8</f>
        <v>26.463360000000002</v>
      </c>
    </row>
    <row r="9" spans="1:14" x14ac:dyDescent="0.25">
      <c r="A9" s="34">
        <v>5</v>
      </c>
      <c r="B9" s="40" t="s">
        <v>5</v>
      </c>
      <c r="C9" s="134">
        <v>43125</v>
      </c>
      <c r="D9" s="42" t="s">
        <v>16</v>
      </c>
      <c r="E9" s="42"/>
      <c r="F9" s="35">
        <f>'3 Most Recent Years'!F9</f>
        <v>2.8159999999999999E-3</v>
      </c>
      <c r="G9" s="226">
        <f>J9</f>
        <v>121.44</v>
      </c>
      <c r="H9" s="461"/>
      <c r="I9" s="464"/>
      <c r="J9" s="229">
        <f>$F9*$C9</f>
        <v>121.44</v>
      </c>
    </row>
    <row r="10" spans="1:14" x14ac:dyDescent="0.25">
      <c r="A10" s="34"/>
      <c r="B10" s="40" t="s">
        <v>37</v>
      </c>
      <c r="C10" s="134">
        <f>SUM(C8:C9)</f>
        <v>54581</v>
      </c>
      <c r="D10" s="42" t="s">
        <v>16</v>
      </c>
      <c r="E10" s="42"/>
      <c r="F10" s="41">
        <f>F8+F9</f>
        <v>5.1260000000000003E-3</v>
      </c>
      <c r="G10" s="226">
        <f>G8+G9</f>
        <v>147.90335999999999</v>
      </c>
      <c r="H10" s="461"/>
      <c r="I10" s="464"/>
      <c r="J10" s="229">
        <f>J9+J8</f>
        <v>147.90335999999999</v>
      </c>
    </row>
    <row r="11" spans="1:14" x14ac:dyDescent="0.25">
      <c r="A11" s="34"/>
      <c r="B11" s="97" t="s">
        <v>42</v>
      </c>
      <c r="C11" s="134"/>
      <c r="D11" s="42"/>
      <c r="E11" s="42"/>
      <c r="F11" s="35"/>
      <c r="G11" s="227">
        <f>G5+G6+G10+G4</f>
        <v>17329.705373303328</v>
      </c>
      <c r="H11" s="461"/>
      <c r="I11" s="464"/>
      <c r="J11" s="230">
        <f>J5+J6+J4+J10</f>
        <v>17397.469816000001</v>
      </c>
    </row>
    <row r="12" spans="1:14" x14ac:dyDescent="0.25">
      <c r="A12" s="34">
        <v>6</v>
      </c>
      <c r="B12" s="35" t="s">
        <v>20</v>
      </c>
      <c r="C12" s="134">
        <v>26855719</v>
      </c>
      <c r="D12" s="42" t="s">
        <v>18</v>
      </c>
      <c r="E12" s="42" t="s">
        <v>47</v>
      </c>
      <c r="F12" s="35">
        <f>'3 Most Recent Years'!F12</f>
        <v>8.0699999999999999E-4</v>
      </c>
      <c r="G12" s="226">
        <f>J12</f>
        <v>21672.565233000001</v>
      </c>
      <c r="H12" s="461"/>
      <c r="I12" s="464"/>
      <c r="J12" s="229">
        <f>$F12*$C12</f>
        <v>21672.565233000001</v>
      </c>
    </row>
    <row r="13" spans="1:14" ht="15.75" thickBot="1" x14ac:dyDescent="0.3">
      <c r="A13" s="34"/>
      <c r="B13" s="35"/>
      <c r="C13" s="134"/>
      <c r="D13" s="42"/>
      <c r="E13" s="42" t="s">
        <v>46</v>
      </c>
      <c r="F13" s="98">
        <f>0.00069298</f>
        <v>6.9298000000000005E-4</v>
      </c>
      <c r="G13" s="228">
        <f>F13*C12</f>
        <v>18610.476152620002</v>
      </c>
      <c r="H13" s="462"/>
      <c r="I13" s="465"/>
      <c r="J13" s="229">
        <f>G13</f>
        <v>18610.476152620002</v>
      </c>
    </row>
    <row r="14" spans="1:14" x14ac:dyDescent="0.25">
      <c r="A14" s="414"/>
      <c r="B14" s="416" t="s">
        <v>35</v>
      </c>
      <c r="C14" s="416"/>
      <c r="D14" s="416"/>
      <c r="E14" s="68"/>
      <c r="F14" s="67" t="s">
        <v>51</v>
      </c>
      <c r="G14" s="233">
        <f>G11+G12</f>
        <v>39002.270606303326</v>
      </c>
      <c r="H14" s="466" t="s">
        <v>54</v>
      </c>
      <c r="I14" s="466"/>
      <c r="J14" s="231">
        <f>J11+J12</f>
        <v>39070.035048999998</v>
      </c>
    </row>
    <row r="15" spans="1:14" ht="15.75" thickBot="1" x14ac:dyDescent="0.3">
      <c r="A15" s="415"/>
      <c r="B15" s="417"/>
      <c r="C15" s="417"/>
      <c r="D15" s="417"/>
      <c r="E15" s="65"/>
      <c r="F15" s="69" t="s">
        <v>52</v>
      </c>
      <c r="G15" s="234">
        <f>G11+G13</f>
        <v>35940.181525923326</v>
      </c>
      <c r="H15" s="467" t="s">
        <v>54</v>
      </c>
      <c r="I15" s="467"/>
      <c r="J15" s="232">
        <f>J11+J13</f>
        <v>36007.945968619999</v>
      </c>
    </row>
    <row r="16" spans="1:14" ht="15.75" thickBot="1" x14ac:dyDescent="0.3">
      <c r="A16" s="22"/>
      <c r="B16" s="21"/>
      <c r="C16" s="21"/>
      <c r="D16" s="21"/>
      <c r="E16" s="22"/>
      <c r="F16" s="23"/>
      <c r="G16" s="95"/>
      <c r="H16" s="96"/>
      <c r="I16" s="96"/>
      <c r="J16" s="26"/>
    </row>
    <row r="17" spans="1:14" ht="16.5" thickBot="1" x14ac:dyDescent="0.3">
      <c r="A17" s="450" t="s">
        <v>32</v>
      </c>
      <c r="B17" s="451"/>
      <c r="C17" s="451"/>
      <c r="D17" s="451"/>
      <c r="E17" s="451"/>
      <c r="F17" s="451"/>
      <c r="G17" s="451"/>
      <c r="H17" s="451"/>
      <c r="I17" s="451"/>
      <c r="J17" s="452"/>
    </row>
    <row r="18" spans="1:14" ht="33" x14ac:dyDescent="0.25">
      <c r="A18" s="99"/>
      <c r="B18" s="100" t="s">
        <v>0</v>
      </c>
      <c r="C18" s="101" t="s">
        <v>6</v>
      </c>
      <c r="D18" s="101" t="s">
        <v>7</v>
      </c>
      <c r="E18" s="101"/>
      <c r="F18" s="104" t="s">
        <v>39</v>
      </c>
      <c r="G18" s="105" t="s">
        <v>8</v>
      </c>
      <c r="H18" s="105" t="s">
        <v>9</v>
      </c>
      <c r="I18" s="105" t="s">
        <v>10</v>
      </c>
      <c r="J18" s="103" t="s">
        <v>24</v>
      </c>
      <c r="K18" s="3"/>
      <c r="L18" s="4"/>
      <c r="M18" s="4"/>
      <c r="N18" s="4"/>
    </row>
    <row r="19" spans="1:14" x14ac:dyDescent="0.25">
      <c r="A19" s="34">
        <v>1</v>
      </c>
      <c r="B19" s="35" t="s">
        <v>68</v>
      </c>
      <c r="C19" s="235">
        <v>225305</v>
      </c>
      <c r="D19" s="42" t="s">
        <v>16</v>
      </c>
      <c r="E19" s="35"/>
      <c r="F19" s="35">
        <f>F4</f>
        <v>2.7659999999999998E-3</v>
      </c>
      <c r="G19" s="235">
        <f>C19*'3 Most Recent Years'!F47</f>
        <v>620.18412676169123</v>
      </c>
      <c r="H19" s="37">
        <f>C19*'3 Most Recent Years'!F48</f>
        <v>0.90208600256245997</v>
      </c>
      <c r="I19" s="38">
        <f>C19*'3 Most Recent Years'!F49</f>
        <v>2.2552150064061496</v>
      </c>
      <c r="J19" s="229">
        <f>C19*F19</f>
        <v>623.19362999999998</v>
      </c>
    </row>
    <row r="20" spans="1:14" x14ac:dyDescent="0.25">
      <c r="A20" s="34">
        <v>2</v>
      </c>
      <c r="B20" s="35" t="s">
        <v>69</v>
      </c>
      <c r="C20" s="235">
        <v>5103383</v>
      </c>
      <c r="D20" s="42" t="s">
        <v>16</v>
      </c>
      <c r="E20" s="42"/>
      <c r="F20" s="75">
        <f>F5</f>
        <v>2.7620000000000001E-3</v>
      </c>
      <c r="G20" s="235">
        <f>C20*'3 Most Recent Years'!C47</f>
        <v>14044.788037159251</v>
      </c>
      <c r="H20" s="38">
        <f>'Baseline Years'!C20*'3 Most Recent Years'!C48</f>
        <v>1.0726124971100697</v>
      </c>
      <c r="I20" s="77">
        <f>C20*'3 Most Recent Years'!C49</f>
        <v>49.34017486706319</v>
      </c>
      <c r="J20" s="229">
        <f>F20*C20</f>
        <v>14095.543846</v>
      </c>
    </row>
    <row r="21" spans="1:14" x14ac:dyDescent="0.25">
      <c r="A21" s="34">
        <v>3</v>
      </c>
      <c r="B21" s="35" t="s">
        <v>2</v>
      </c>
      <c r="C21" s="235">
        <v>40757</v>
      </c>
      <c r="D21" s="42" t="s">
        <v>17</v>
      </c>
      <c r="E21" s="42"/>
      <c r="F21" s="35">
        <f>F6</f>
        <v>4.9976E-2</v>
      </c>
      <c r="G21" s="235">
        <f>C21*'3 Most Recent Years'!D47</f>
        <v>2024.4895440217438</v>
      </c>
      <c r="H21" s="41">
        <f>C21*'3 Most Recent Years'!D48</f>
        <v>0.84940647278979498</v>
      </c>
      <c r="I21" s="38">
        <f>C21*'3 Most Recent Years'!D49</f>
        <v>11.537771255394716</v>
      </c>
      <c r="J21" s="229">
        <f>F21*C21</f>
        <v>2036.871832</v>
      </c>
    </row>
    <row r="22" spans="1:14" x14ac:dyDescent="0.25">
      <c r="A22" s="47"/>
      <c r="B22" s="48" t="s">
        <v>3</v>
      </c>
      <c r="C22" s="235"/>
      <c r="D22" s="42"/>
      <c r="E22" s="42"/>
      <c r="F22" s="35"/>
      <c r="G22" s="235"/>
      <c r="H22" s="35"/>
      <c r="I22" s="35"/>
      <c r="J22" s="229"/>
    </row>
    <row r="23" spans="1:14" x14ac:dyDescent="0.25">
      <c r="A23" s="34">
        <v>4</v>
      </c>
      <c r="B23" s="42" t="s">
        <v>4</v>
      </c>
      <c r="C23" s="235">
        <v>9937</v>
      </c>
      <c r="D23" s="42" t="s">
        <v>16</v>
      </c>
      <c r="E23" s="42"/>
      <c r="F23" s="41">
        <f>F8</f>
        <v>2.31E-3</v>
      </c>
      <c r="G23" s="236">
        <f>J23</f>
        <v>22.954470000000001</v>
      </c>
      <c r="H23" s="418"/>
      <c r="I23" s="418"/>
      <c r="J23" s="229">
        <f>F23*C23</f>
        <v>22.954470000000001</v>
      </c>
    </row>
    <row r="24" spans="1:14" x14ac:dyDescent="0.25">
      <c r="A24" s="34">
        <v>5</v>
      </c>
      <c r="B24" s="42" t="s">
        <v>5</v>
      </c>
      <c r="C24" s="235">
        <v>40631</v>
      </c>
      <c r="D24" s="42" t="s">
        <v>16</v>
      </c>
      <c r="E24" s="42"/>
      <c r="F24" s="35">
        <f>F9</f>
        <v>2.8159999999999999E-3</v>
      </c>
      <c r="G24" s="236">
        <f>J24</f>
        <v>114.41689599999999</v>
      </c>
      <c r="H24" s="419"/>
      <c r="I24" s="419"/>
      <c r="J24" s="229">
        <f>F24*C24</f>
        <v>114.41689599999999</v>
      </c>
    </row>
    <row r="25" spans="1:14" x14ac:dyDescent="0.25">
      <c r="A25" s="34"/>
      <c r="B25" s="40" t="s">
        <v>37</v>
      </c>
      <c r="C25" s="235">
        <f>C23+C24</f>
        <v>50568</v>
      </c>
      <c r="D25" s="42" t="s">
        <v>16</v>
      </c>
      <c r="E25" s="42"/>
      <c r="F25" s="41">
        <f>F23+F24</f>
        <v>5.1260000000000003E-3</v>
      </c>
      <c r="G25" s="236">
        <f>J25</f>
        <v>137.37136599999999</v>
      </c>
      <c r="H25" s="419"/>
      <c r="I25" s="419"/>
      <c r="J25" s="229">
        <f>J23+J24</f>
        <v>137.37136599999999</v>
      </c>
    </row>
    <row r="26" spans="1:14" x14ac:dyDescent="0.25">
      <c r="A26" s="34"/>
      <c r="B26" s="97" t="s">
        <v>42</v>
      </c>
      <c r="C26" s="35"/>
      <c r="D26" s="42"/>
      <c r="E26" s="42"/>
      <c r="F26" s="35"/>
      <c r="G26" s="237">
        <f>G19+G20+G21+G25</f>
        <v>16826.833073942686</v>
      </c>
      <c r="H26" s="419"/>
      <c r="I26" s="419"/>
      <c r="J26" s="230">
        <f>J19+J20+J21+J25</f>
        <v>16892.980673999999</v>
      </c>
    </row>
    <row r="27" spans="1:14" x14ac:dyDescent="0.25">
      <c r="A27" s="34">
        <v>6</v>
      </c>
      <c r="B27" s="35" t="s">
        <v>12</v>
      </c>
      <c r="C27" s="45">
        <v>27428278</v>
      </c>
      <c r="D27" s="42" t="s">
        <v>18</v>
      </c>
      <c r="E27" s="42"/>
      <c r="F27" s="35">
        <f>F12</f>
        <v>8.0699999999999999E-4</v>
      </c>
      <c r="G27" s="236">
        <f>J27</f>
        <v>22134.620346</v>
      </c>
      <c r="H27" s="419"/>
      <c r="I27" s="419"/>
      <c r="J27" s="229">
        <f>C27*F27</f>
        <v>22134.620346</v>
      </c>
    </row>
    <row r="28" spans="1:14" ht="15.75" thickBot="1" x14ac:dyDescent="0.3">
      <c r="A28" s="34"/>
      <c r="B28" s="35"/>
      <c r="C28" s="45"/>
      <c r="D28" s="42"/>
      <c r="E28" s="42"/>
      <c r="F28" s="98">
        <f>F13</f>
        <v>6.9298000000000005E-4</v>
      </c>
      <c r="G28" s="236">
        <f>C27*F28</f>
        <v>19007.248088440003</v>
      </c>
      <c r="H28" s="420"/>
      <c r="I28" s="420"/>
      <c r="J28" s="229">
        <f>G28</f>
        <v>19007.248088440003</v>
      </c>
    </row>
    <row r="29" spans="1:14" x14ac:dyDescent="0.25">
      <c r="A29" s="414"/>
      <c r="B29" s="441" t="s">
        <v>35</v>
      </c>
      <c r="C29" s="442"/>
      <c r="D29" s="443"/>
      <c r="E29" s="68"/>
      <c r="F29" s="67" t="s">
        <v>51</v>
      </c>
      <c r="G29" s="238">
        <f>G26+G27</f>
        <v>38961.453419942685</v>
      </c>
      <c r="H29" s="427" t="s">
        <v>54</v>
      </c>
      <c r="I29" s="427"/>
      <c r="J29" s="231">
        <f>J20+J21+J23+J24+J27+J19</f>
        <v>39027.601020000002</v>
      </c>
    </row>
    <row r="30" spans="1:14" ht="15.75" thickBot="1" x14ac:dyDescent="0.3">
      <c r="A30" s="415"/>
      <c r="B30" s="444"/>
      <c r="C30" s="445"/>
      <c r="D30" s="446"/>
      <c r="E30" s="65"/>
      <c r="F30" s="69" t="s">
        <v>52</v>
      </c>
      <c r="G30" s="239">
        <f>G26+G28</f>
        <v>35834.081162382688</v>
      </c>
      <c r="H30" s="420" t="s">
        <v>54</v>
      </c>
      <c r="I30" s="420"/>
      <c r="J30" s="232">
        <f>J26+J28</f>
        <v>35900.228762440005</v>
      </c>
    </row>
    <row r="31" spans="1:14" ht="15.75" thickBot="1" x14ac:dyDescent="0.3">
      <c r="A31" s="22"/>
      <c r="B31" s="23"/>
      <c r="C31" s="27"/>
      <c r="D31" s="22"/>
      <c r="E31" s="22"/>
      <c r="F31" s="23"/>
      <c r="G31" s="22"/>
      <c r="H31" s="22"/>
      <c r="I31" s="22"/>
      <c r="J31" s="26"/>
    </row>
    <row r="32" spans="1:14" ht="16.5" thickBot="1" x14ac:dyDescent="0.3">
      <c r="A32" s="450" t="s">
        <v>33</v>
      </c>
      <c r="B32" s="451"/>
      <c r="C32" s="451"/>
      <c r="D32" s="451"/>
      <c r="E32" s="451"/>
      <c r="F32" s="451"/>
      <c r="G32" s="451"/>
      <c r="H32" s="451"/>
      <c r="I32" s="451"/>
      <c r="J32" s="452"/>
    </row>
    <row r="33" spans="1:14" ht="33" x14ac:dyDescent="0.25">
      <c r="A33" s="99"/>
      <c r="B33" s="100" t="s">
        <v>0</v>
      </c>
      <c r="C33" s="101" t="s">
        <v>6</v>
      </c>
      <c r="D33" s="101" t="s">
        <v>7</v>
      </c>
      <c r="E33" s="101"/>
      <c r="F33" s="104" t="s">
        <v>39</v>
      </c>
      <c r="G33" s="240" t="s">
        <v>8</v>
      </c>
      <c r="H33" s="105" t="s">
        <v>9</v>
      </c>
      <c r="I33" s="105" t="s">
        <v>10</v>
      </c>
      <c r="J33" s="103" t="s">
        <v>24</v>
      </c>
      <c r="K33" s="3"/>
      <c r="L33" s="4"/>
      <c r="M33" s="4"/>
      <c r="N33" s="4"/>
    </row>
    <row r="34" spans="1:14" x14ac:dyDescent="0.25">
      <c r="A34" s="34">
        <v>1</v>
      </c>
      <c r="B34" s="35" t="s">
        <v>68</v>
      </c>
      <c r="C34" s="235">
        <v>81309</v>
      </c>
      <c r="D34" s="42" t="s">
        <v>16</v>
      </c>
      <c r="E34" s="35"/>
      <c r="F34" s="35">
        <f>F19</f>
        <v>2.7659999999999998E-3</v>
      </c>
      <c r="G34" s="235">
        <f>C34*'3 Most Recent Years'!F47</f>
        <v>223.81461202754642</v>
      </c>
      <c r="H34" s="37">
        <f>C34*'3 Most Recent Years'!F48</f>
        <v>0.32554852658552208</v>
      </c>
      <c r="I34" s="37">
        <f>C34*'3 Most Recent Years'!F49</f>
        <v>0.81387131646380517</v>
      </c>
      <c r="J34" s="229">
        <f>C34*F34</f>
        <v>224.90069399999999</v>
      </c>
    </row>
    <row r="35" spans="1:14" x14ac:dyDescent="0.25">
      <c r="A35" s="34">
        <v>2</v>
      </c>
      <c r="B35" s="35" t="s">
        <v>69</v>
      </c>
      <c r="C35" s="235">
        <v>926251</v>
      </c>
      <c r="D35" s="42" t="s">
        <v>16</v>
      </c>
      <c r="E35" s="42"/>
      <c r="F35" s="35">
        <f>F20</f>
        <v>2.7620000000000001E-3</v>
      </c>
      <c r="G35" s="235">
        <f>C35*'3 Most Recent Years'!C47</f>
        <v>2549.0932121314027</v>
      </c>
      <c r="H35" s="37">
        <f>C35*'3 Most Recent Years'!C48</f>
        <v>0.19467643288005215</v>
      </c>
      <c r="I35" s="38">
        <f>'Baseline Years'!C35*'3 Most Recent Years'!C49</f>
        <v>8.9551159124823965</v>
      </c>
      <c r="J35" s="229">
        <f>F35*C35</f>
        <v>2558.3052620000003</v>
      </c>
    </row>
    <row r="36" spans="1:14" x14ac:dyDescent="0.25">
      <c r="A36" s="34">
        <v>3</v>
      </c>
      <c r="B36" s="35" t="s">
        <v>2</v>
      </c>
      <c r="C36" s="235">
        <v>207471</v>
      </c>
      <c r="D36" s="42" t="s">
        <v>17</v>
      </c>
      <c r="E36" s="42"/>
      <c r="F36" s="35">
        <f>F21</f>
        <v>4.9976E-2</v>
      </c>
      <c r="G36" s="235">
        <f>C36*'3 Most Recent Years'!D47</f>
        <v>10305.539421148151</v>
      </c>
      <c r="H36" s="38">
        <f>C36*'3 Most Recent Years'!D48</f>
        <v>4.3238513707135349</v>
      </c>
      <c r="I36" s="38">
        <f>C36*'3 Most Recent Years'!F49</f>
        <v>2.0767036354900705</v>
      </c>
      <c r="J36" s="229">
        <f>C36*F36</f>
        <v>10368.570696000001</v>
      </c>
    </row>
    <row r="37" spans="1:14" x14ac:dyDescent="0.25">
      <c r="A37" s="47"/>
      <c r="B37" s="48" t="s">
        <v>3</v>
      </c>
      <c r="C37" s="235"/>
      <c r="D37" s="42"/>
      <c r="E37" s="42"/>
      <c r="F37" s="35"/>
      <c r="G37" s="235"/>
      <c r="H37" s="35"/>
      <c r="I37" s="35"/>
      <c r="J37" s="229"/>
    </row>
    <row r="38" spans="1:14" x14ac:dyDescent="0.25">
      <c r="A38" s="34">
        <v>4</v>
      </c>
      <c r="B38" s="42" t="s">
        <v>4</v>
      </c>
      <c r="C38" s="235">
        <v>11246</v>
      </c>
      <c r="D38" s="42" t="s">
        <v>16</v>
      </c>
      <c r="E38" s="42"/>
      <c r="F38" s="41">
        <f>F23</f>
        <v>2.31E-3</v>
      </c>
      <c r="G38" s="236">
        <f>J38</f>
        <v>25.978259999999999</v>
      </c>
      <c r="H38" s="418"/>
      <c r="I38" s="418"/>
      <c r="J38" s="229">
        <f>C38*F38</f>
        <v>25.978259999999999</v>
      </c>
    </row>
    <row r="39" spans="1:14" x14ac:dyDescent="0.25">
      <c r="A39" s="34">
        <v>5</v>
      </c>
      <c r="B39" s="42" t="s">
        <v>5</v>
      </c>
      <c r="C39" s="235">
        <v>29652</v>
      </c>
      <c r="D39" s="42" t="s">
        <v>16</v>
      </c>
      <c r="E39" s="42"/>
      <c r="F39" s="35">
        <f>F24</f>
        <v>2.8159999999999999E-3</v>
      </c>
      <c r="G39" s="236">
        <f>J39</f>
        <v>83.500032000000004</v>
      </c>
      <c r="H39" s="419"/>
      <c r="I39" s="419"/>
      <c r="J39" s="229">
        <f>C39*F39</f>
        <v>83.500032000000004</v>
      </c>
    </row>
    <row r="40" spans="1:14" x14ac:dyDescent="0.25">
      <c r="A40" s="34"/>
      <c r="B40" s="40" t="s">
        <v>37</v>
      </c>
      <c r="C40" s="235">
        <f>C38+C39</f>
        <v>40898</v>
      </c>
      <c r="D40" s="42" t="s">
        <v>16</v>
      </c>
      <c r="E40" s="42"/>
      <c r="F40" s="41">
        <f>F38+F39</f>
        <v>5.1260000000000003E-3</v>
      </c>
      <c r="G40" s="236">
        <f>J40</f>
        <v>109.47829200000001</v>
      </c>
      <c r="H40" s="419"/>
      <c r="I40" s="419"/>
      <c r="J40" s="229">
        <f>J38+J39</f>
        <v>109.47829200000001</v>
      </c>
    </row>
    <row r="41" spans="1:14" x14ac:dyDescent="0.25">
      <c r="A41" s="34"/>
      <c r="B41" s="97" t="s">
        <v>42</v>
      </c>
      <c r="C41" s="35"/>
      <c r="D41" s="42"/>
      <c r="E41" s="42"/>
      <c r="F41" s="35"/>
      <c r="G41" s="237">
        <f>G34+G35+G36+G40</f>
        <v>13187.925537307099</v>
      </c>
      <c r="H41" s="419"/>
      <c r="I41" s="419"/>
      <c r="J41" s="230">
        <f>J34+J35+J36+J40</f>
        <v>13261.254944</v>
      </c>
    </row>
    <row r="42" spans="1:14" x14ac:dyDescent="0.25">
      <c r="A42" s="34">
        <v>6</v>
      </c>
      <c r="B42" s="35" t="s">
        <v>12</v>
      </c>
      <c r="C42" s="45">
        <v>26694322</v>
      </c>
      <c r="D42" s="42" t="s">
        <v>18</v>
      </c>
      <c r="E42" s="42" t="s">
        <v>47</v>
      </c>
      <c r="F42" s="35">
        <f>F27</f>
        <v>8.0699999999999999E-4</v>
      </c>
      <c r="G42" s="236">
        <f>C42*F42</f>
        <v>21542.317854000001</v>
      </c>
      <c r="H42" s="419"/>
      <c r="I42" s="419"/>
      <c r="J42" s="229">
        <f>C42*F42</f>
        <v>21542.317854000001</v>
      </c>
    </row>
    <row r="43" spans="1:14" ht="15.75" thickBot="1" x14ac:dyDescent="0.3">
      <c r="A43" s="34"/>
      <c r="B43" s="35"/>
      <c r="C43" s="45"/>
      <c r="D43" s="42"/>
      <c r="E43" s="42"/>
      <c r="F43" s="98">
        <f>F28</f>
        <v>6.9298000000000005E-4</v>
      </c>
      <c r="G43" s="236">
        <f>J43</f>
        <v>18498.631259560003</v>
      </c>
      <c r="H43" s="420"/>
      <c r="I43" s="420"/>
      <c r="J43" s="229">
        <f>C42*F43</f>
        <v>18498.631259560003</v>
      </c>
    </row>
    <row r="44" spans="1:14" x14ac:dyDescent="0.25">
      <c r="A44" s="414"/>
      <c r="B44" s="441" t="s">
        <v>35</v>
      </c>
      <c r="C44" s="442"/>
      <c r="D44" s="443"/>
      <c r="E44" s="68" t="s">
        <v>46</v>
      </c>
      <c r="F44" s="67" t="s">
        <v>51</v>
      </c>
      <c r="G44" s="241">
        <f>G41+G42</f>
        <v>34730.2433913071</v>
      </c>
      <c r="H44" s="468" t="s">
        <v>54</v>
      </c>
      <c r="I44" s="469"/>
      <c r="J44" s="231">
        <f>SUM(J35,J36,J38,J39,J42,J34)</f>
        <v>34803.572798000001</v>
      </c>
    </row>
    <row r="45" spans="1:14" ht="15.75" thickBot="1" x14ac:dyDescent="0.3">
      <c r="A45" s="415"/>
      <c r="B45" s="444"/>
      <c r="C45" s="445"/>
      <c r="D45" s="446"/>
      <c r="E45" s="62"/>
      <c r="F45" s="69" t="s">
        <v>52</v>
      </c>
      <c r="G45" s="242">
        <f>G41+G43</f>
        <v>31686.556796867102</v>
      </c>
      <c r="H45" s="470" t="s">
        <v>54</v>
      </c>
      <c r="I45" s="471"/>
      <c r="J45" s="232">
        <f>J41+J43</f>
        <v>31759.886203560003</v>
      </c>
    </row>
    <row r="48" spans="1:14" ht="15.75" thickBot="1" x14ac:dyDescent="0.3">
      <c r="F48" s="453" t="s">
        <v>40</v>
      </c>
      <c r="G48" s="453"/>
    </row>
    <row r="49" spans="1:10" ht="16.5" thickBot="1" x14ac:dyDescent="0.3">
      <c r="A49" s="454" t="s">
        <v>41</v>
      </c>
      <c r="B49" s="455"/>
      <c r="C49" s="455"/>
      <c r="D49" s="455"/>
      <c r="E49" s="455"/>
      <c r="F49" s="455"/>
      <c r="G49" s="455"/>
      <c r="H49" s="455"/>
      <c r="I49" s="455"/>
      <c r="J49" s="456"/>
    </row>
    <row r="50" spans="1:10" ht="33" x14ac:dyDescent="0.25">
      <c r="A50" s="99"/>
      <c r="B50" s="100" t="s">
        <v>0</v>
      </c>
      <c r="C50" s="101" t="s">
        <v>6</v>
      </c>
      <c r="D50" s="101" t="s">
        <v>7</v>
      </c>
      <c r="E50" s="101"/>
      <c r="F50" s="104" t="s">
        <v>39</v>
      </c>
      <c r="G50" s="105" t="s">
        <v>8</v>
      </c>
      <c r="H50" s="105" t="s">
        <v>9</v>
      </c>
      <c r="I50" s="105" t="s">
        <v>10</v>
      </c>
      <c r="J50" s="103" t="s">
        <v>24</v>
      </c>
    </row>
    <row r="51" spans="1:10" x14ac:dyDescent="0.25">
      <c r="A51" s="34">
        <v>1</v>
      </c>
      <c r="B51" s="35" t="s">
        <v>67</v>
      </c>
      <c r="C51" s="235">
        <v>357368</v>
      </c>
      <c r="D51" s="42" t="s">
        <v>16</v>
      </c>
      <c r="E51" s="35"/>
      <c r="F51" s="35">
        <f>F34</f>
        <v>2.7659999999999998E-3</v>
      </c>
      <c r="G51" s="235">
        <f>C51*'3 Most Recent Years'!F47</f>
        <v>983.70635810377962</v>
      </c>
      <c r="H51" s="38">
        <f>C51*'3 Most Recent Years'!F48</f>
        <v>1.4308456117873158</v>
      </c>
      <c r="I51" s="38">
        <f>C51*'3 Most Recent Years'!F49</f>
        <v>3.5771140294682895</v>
      </c>
      <c r="J51" s="229">
        <f>C51*F51</f>
        <v>988.47988799999996</v>
      </c>
    </row>
    <row r="52" spans="1:10" x14ac:dyDescent="0.25">
      <c r="A52" s="34">
        <v>2</v>
      </c>
      <c r="B52" s="35" t="s">
        <v>34</v>
      </c>
      <c r="C52" s="235">
        <v>3687553</v>
      </c>
      <c r="D52" s="42" t="s">
        <v>16</v>
      </c>
      <c r="E52" s="42"/>
      <c r="F52" s="35">
        <f>F35</f>
        <v>2.7620000000000001E-3</v>
      </c>
      <c r="G52" s="235">
        <f>C52*'3 Most Recent Years'!C47</f>
        <v>10148.346745833245</v>
      </c>
      <c r="H52" s="37">
        <f>C52*'3 Most Recent Years'!C48</f>
        <v>0.77503793690493716</v>
      </c>
      <c r="I52" s="77">
        <f>C52*'3 Most Recent Years'!C49</f>
        <v>35.651745097627099</v>
      </c>
      <c r="J52" s="229">
        <f>C52*F52</f>
        <v>10185.021386</v>
      </c>
    </row>
    <row r="53" spans="1:10" x14ac:dyDescent="0.25">
      <c r="A53" s="34">
        <v>3</v>
      </c>
      <c r="B53" s="35" t="s">
        <v>2</v>
      </c>
      <c r="C53" s="235">
        <v>90953</v>
      </c>
      <c r="D53" s="42" t="s">
        <v>17</v>
      </c>
      <c r="E53" s="42"/>
      <c r="F53" s="35">
        <f>F36</f>
        <v>4.9976E-2</v>
      </c>
      <c r="G53" s="235">
        <f>C53*'3 Most Recent Years'!D47</f>
        <v>4517.8349117307371</v>
      </c>
      <c r="H53" s="38">
        <f>C53*'3 Most Recent Years'!D48</f>
        <v>1.8955287906286091</v>
      </c>
      <c r="I53" s="77">
        <f>C53*'3 Most Recent Years'!D49</f>
        <v>25.74759940603861</v>
      </c>
      <c r="J53" s="229">
        <f>C53*F53</f>
        <v>4545.4671280000002</v>
      </c>
    </row>
    <row r="54" spans="1:10" x14ac:dyDescent="0.25">
      <c r="A54" s="85"/>
      <c r="B54" s="48" t="s">
        <v>3</v>
      </c>
      <c r="C54" s="235"/>
      <c r="D54" s="42"/>
      <c r="E54" s="42"/>
      <c r="F54" s="35"/>
      <c r="G54" s="235"/>
      <c r="H54" s="35"/>
      <c r="I54" s="35"/>
      <c r="J54" s="229"/>
    </row>
    <row r="55" spans="1:10" x14ac:dyDescent="0.25">
      <c r="A55" s="34">
        <v>4</v>
      </c>
      <c r="B55" s="42" t="s">
        <v>4</v>
      </c>
      <c r="C55" s="235">
        <v>10880</v>
      </c>
      <c r="D55" s="42" t="s">
        <v>16</v>
      </c>
      <c r="E55" s="42"/>
      <c r="F55" s="41">
        <f>F38</f>
        <v>2.31E-3</v>
      </c>
      <c r="G55" s="236">
        <f>J55</f>
        <v>25.1328</v>
      </c>
      <c r="H55" s="418"/>
      <c r="I55" s="418"/>
      <c r="J55" s="229">
        <f>C55*F55</f>
        <v>25.1328</v>
      </c>
    </row>
    <row r="56" spans="1:10" x14ac:dyDescent="0.25">
      <c r="A56" s="34">
        <v>5</v>
      </c>
      <c r="B56" s="42" t="s">
        <v>5</v>
      </c>
      <c r="C56" s="235">
        <v>37803</v>
      </c>
      <c r="D56" s="42" t="s">
        <v>16</v>
      </c>
      <c r="E56" s="42"/>
      <c r="F56" s="35">
        <f>F39</f>
        <v>2.8159999999999999E-3</v>
      </c>
      <c r="G56" s="236">
        <f>J56</f>
        <v>106.453248</v>
      </c>
      <c r="H56" s="419"/>
      <c r="I56" s="419"/>
      <c r="J56" s="229">
        <f>C56*F56</f>
        <v>106.453248</v>
      </c>
    </row>
    <row r="57" spans="1:10" x14ac:dyDescent="0.25">
      <c r="A57" s="34"/>
      <c r="B57" s="35" t="s">
        <v>38</v>
      </c>
      <c r="C57" s="235">
        <f>C56+C55</f>
        <v>48683</v>
      </c>
      <c r="D57" s="42" t="s">
        <v>16</v>
      </c>
      <c r="E57" s="35"/>
      <c r="F57" s="41">
        <f>F55+F56</f>
        <v>5.1260000000000003E-3</v>
      </c>
      <c r="G57" s="236">
        <f>J57</f>
        <v>131.58604800000001</v>
      </c>
      <c r="H57" s="419"/>
      <c r="I57" s="419"/>
      <c r="J57" s="229">
        <f>J55+J56</f>
        <v>131.58604800000001</v>
      </c>
    </row>
    <row r="58" spans="1:10" x14ac:dyDescent="0.25">
      <c r="A58" s="34"/>
      <c r="B58" s="107" t="s">
        <v>42</v>
      </c>
      <c r="C58" s="35"/>
      <c r="D58" s="35"/>
      <c r="E58" s="35"/>
      <c r="F58" s="35"/>
      <c r="G58" s="243">
        <f>G51+G52+G53+G57</f>
        <v>15781.474063667762</v>
      </c>
      <c r="H58" s="419"/>
      <c r="I58" s="419"/>
      <c r="J58" s="230">
        <f>J57+J53+J52+J51</f>
        <v>15850.554450000001</v>
      </c>
    </row>
    <row r="59" spans="1:10" x14ac:dyDescent="0.25">
      <c r="A59" s="34">
        <v>6</v>
      </c>
      <c r="B59" s="35" t="s">
        <v>12</v>
      </c>
      <c r="C59" s="45">
        <v>26992773</v>
      </c>
      <c r="D59" s="42" t="s">
        <v>18</v>
      </c>
      <c r="E59" s="42"/>
      <c r="F59" s="35">
        <f>F42</f>
        <v>8.0699999999999999E-4</v>
      </c>
      <c r="G59" s="244">
        <f>J59</f>
        <v>21783.167810999999</v>
      </c>
      <c r="H59" s="419"/>
      <c r="I59" s="419"/>
      <c r="J59" s="229">
        <f>F59*C59</f>
        <v>21783.167810999999</v>
      </c>
    </row>
    <row r="60" spans="1:10" ht="15.75" thickBot="1" x14ac:dyDescent="0.3">
      <c r="A60" s="34"/>
      <c r="B60" s="35"/>
      <c r="C60" s="45"/>
      <c r="D60" s="42"/>
      <c r="E60" s="42"/>
      <c r="F60" s="98">
        <f>F43</f>
        <v>6.9298000000000005E-4</v>
      </c>
      <c r="G60" s="244">
        <f>J60</f>
        <v>18705.451833540003</v>
      </c>
      <c r="H60" s="420"/>
      <c r="I60" s="420"/>
      <c r="J60" s="229">
        <f>F60*C59</f>
        <v>18705.451833540003</v>
      </c>
    </row>
    <row r="61" spans="1:10" x14ac:dyDescent="0.25">
      <c r="A61" s="414"/>
      <c r="B61" s="416" t="s">
        <v>35</v>
      </c>
      <c r="C61" s="416"/>
      <c r="D61" s="416"/>
      <c r="E61" s="79"/>
      <c r="F61" s="67" t="s">
        <v>51</v>
      </c>
      <c r="G61" s="241">
        <f>G58+G59</f>
        <v>37564.641874667759</v>
      </c>
      <c r="H61" s="468" t="s">
        <v>54</v>
      </c>
      <c r="I61" s="469"/>
      <c r="J61" s="231">
        <f>J58+J59</f>
        <v>37633.722261000003</v>
      </c>
    </row>
    <row r="62" spans="1:10" ht="16.5" thickBot="1" x14ac:dyDescent="0.3">
      <c r="A62" s="415"/>
      <c r="B62" s="417"/>
      <c r="C62" s="417"/>
      <c r="D62" s="417"/>
      <c r="E62" s="108"/>
      <c r="F62" s="69" t="s">
        <v>52</v>
      </c>
      <c r="G62" s="245">
        <f>G58+G60</f>
        <v>34486.925897207766</v>
      </c>
      <c r="H62" s="472" t="s">
        <v>54</v>
      </c>
      <c r="I62" s="473"/>
      <c r="J62" s="246">
        <f>J58+J60</f>
        <v>34556.006283540002</v>
      </c>
    </row>
    <row r="63" spans="1:10" x14ac:dyDescent="0.25">
      <c r="A63" s="449"/>
      <c r="B63" s="449"/>
      <c r="C63" s="12"/>
      <c r="D63" s="12"/>
      <c r="E63" s="12"/>
      <c r="F63" s="2"/>
      <c r="G63" s="4"/>
      <c r="H63" s="4"/>
      <c r="I63" s="4"/>
      <c r="J63" s="10"/>
    </row>
    <row r="64" spans="1:10" ht="15.75" thickBot="1" x14ac:dyDescent="0.3">
      <c r="D64" s="13"/>
      <c r="E64" s="13"/>
      <c r="G64" s="8"/>
      <c r="H64" s="5"/>
      <c r="I64" s="6"/>
      <c r="J64" s="7"/>
    </row>
    <row r="65" spans="1:14" ht="15.75" thickBot="1" x14ac:dyDescent="0.3">
      <c r="D65" s="13"/>
      <c r="E65" s="13"/>
      <c r="F65" s="421" t="s">
        <v>74</v>
      </c>
      <c r="G65" s="422"/>
      <c r="H65" s="422"/>
      <c r="I65" s="422"/>
      <c r="J65" s="423"/>
    </row>
    <row r="66" spans="1:14" ht="15.75" thickBot="1" x14ac:dyDescent="0.3">
      <c r="D66" s="13"/>
      <c r="E66" s="13"/>
      <c r="F66" s="93"/>
      <c r="G66" s="66" t="s">
        <v>66</v>
      </c>
      <c r="H66" s="66" t="s">
        <v>66</v>
      </c>
      <c r="I66" s="66" t="s">
        <v>66</v>
      </c>
      <c r="J66" s="94"/>
      <c r="N66">
        <f>20448+21783</f>
        <v>42231</v>
      </c>
    </row>
    <row r="67" spans="1:14" x14ac:dyDescent="0.25">
      <c r="A67" s="448"/>
      <c r="B67" s="448"/>
      <c r="D67" s="13"/>
      <c r="E67" s="13"/>
      <c r="F67" s="51"/>
      <c r="G67" s="70" t="s">
        <v>31</v>
      </c>
      <c r="H67" s="70" t="s">
        <v>72</v>
      </c>
      <c r="I67" s="106" t="s">
        <v>33</v>
      </c>
      <c r="J67" s="109" t="s">
        <v>73</v>
      </c>
      <c r="N67">
        <f>17141+21783</f>
        <v>38924</v>
      </c>
    </row>
    <row r="68" spans="1:14" x14ac:dyDescent="0.25">
      <c r="A68" s="14"/>
      <c r="B68" s="14"/>
      <c r="D68" s="13"/>
      <c r="E68" s="13"/>
      <c r="F68" s="34" t="s">
        <v>70</v>
      </c>
      <c r="G68" s="247">
        <f>G4*'3 Most Recent Years'!C1</f>
        <v>63213.527486386934</v>
      </c>
      <c r="H68" s="247">
        <f>G19*'3 Most Recent Years'!C1</f>
        <v>18605.523802850737</v>
      </c>
      <c r="I68" s="248">
        <f>G34*'3 Most Recent Years'!C1</f>
        <v>6714.4383608263925</v>
      </c>
      <c r="J68" s="249">
        <f>G51*'3 Most Recent Years'!C1</f>
        <v>29511.190743113388</v>
      </c>
    </row>
    <row r="69" spans="1:14" x14ac:dyDescent="0.25">
      <c r="B69" s="13"/>
      <c r="D69" s="13"/>
      <c r="E69" s="13"/>
      <c r="F69" s="34" t="s">
        <v>28</v>
      </c>
      <c r="G69" s="248">
        <f>G5*'3 Most Recent Years'!C1</f>
        <v>415534.76964627253</v>
      </c>
      <c r="H69" s="248">
        <f>G20*'3 Most Recent Years'!C1</f>
        <v>421343.64111477754</v>
      </c>
      <c r="I69" s="248">
        <f>G35*'3 Most Recent Years'!C1</f>
        <v>76472.796363942078</v>
      </c>
      <c r="J69" s="229">
        <f>G52*'3 Most Recent Years'!C1</f>
        <v>304450.40237499739</v>
      </c>
    </row>
    <row r="70" spans="1:14" x14ac:dyDescent="0.25">
      <c r="B70" s="13"/>
      <c r="D70" s="13"/>
      <c r="E70" s="13"/>
      <c r="F70" s="34" t="s">
        <v>2</v>
      </c>
      <c r="G70" s="248">
        <f>H6*'3 Most Recent Years'!C1</f>
        <v>15.400481073993348</v>
      </c>
      <c r="H70" s="248">
        <f>G21*'3 Most Recent Years'!C1</f>
        <v>60734.686320652312</v>
      </c>
      <c r="I70" s="248">
        <f>G36*'3 Most Recent Years'!C1</f>
        <v>309166.1826344445</v>
      </c>
      <c r="J70" s="229">
        <f>G53*'3 Most Recent Years'!C1</f>
        <v>135535.04735192211</v>
      </c>
    </row>
    <row r="71" spans="1:14" x14ac:dyDescent="0.25">
      <c r="C71" s="1"/>
      <c r="D71" s="13"/>
      <c r="E71" s="13"/>
      <c r="F71" s="34" t="s">
        <v>38</v>
      </c>
      <c r="G71" s="248">
        <f>G10*'3 Most Recent Years'!C1</f>
        <v>4437.1008000000002</v>
      </c>
      <c r="H71" s="248">
        <f>G40*'3 Most Recent Years'!C1</f>
        <v>3284.3487600000003</v>
      </c>
      <c r="I71" s="248">
        <f>G40*'3 Most Recent Years'!C1</f>
        <v>3284.3487600000003</v>
      </c>
      <c r="J71" s="229">
        <f>G57*'3 Most Recent Years'!C1</f>
        <v>3947.5814399999999</v>
      </c>
    </row>
    <row r="72" spans="1:14" x14ac:dyDescent="0.25">
      <c r="B72" s="11"/>
      <c r="F72" s="34" t="s">
        <v>61</v>
      </c>
      <c r="G72" s="248">
        <f>G12*'3 Most Recent Years'!C1</f>
        <v>650176.95699000009</v>
      </c>
      <c r="H72" s="248">
        <f>G27*'3 Most Recent Years'!C1</f>
        <v>664038.61037999997</v>
      </c>
      <c r="I72" s="248">
        <f>G42*'3 Most Recent Years'!C1</f>
        <v>646269.53561999998</v>
      </c>
      <c r="J72" s="229">
        <f>G59*'3 Most Recent Years'!C1</f>
        <v>653495.03432999994</v>
      </c>
    </row>
    <row r="73" spans="1:14" ht="15.75" thickBot="1" x14ac:dyDescent="0.3">
      <c r="F73" s="34" t="s">
        <v>62</v>
      </c>
      <c r="G73" s="248">
        <f>G13*'3 Most Recent Years'!C1</f>
        <v>558314.28457860008</v>
      </c>
      <c r="H73" s="248">
        <f>G28*'3 Most Recent Years'!C1</f>
        <v>570217.44265320012</v>
      </c>
      <c r="I73" s="248">
        <f>G43*'3 Most Recent Years'!C1</f>
        <v>554958.93778680009</v>
      </c>
      <c r="J73" s="229">
        <f>G60*'3 Most Recent Years'!C1</f>
        <v>561163.5550062001</v>
      </c>
    </row>
    <row r="74" spans="1:14" x14ac:dyDescent="0.25">
      <c r="F74" s="82" t="s">
        <v>60</v>
      </c>
      <c r="G74" s="241">
        <f>SUM(G68:G72)</f>
        <v>1133377.7554037336</v>
      </c>
      <c r="H74" s="241">
        <f>SUM(H68:H72)</f>
        <v>1168006.8103782805</v>
      </c>
      <c r="I74" s="241">
        <f>SUM(I68:I72)</f>
        <v>1041907.3017392131</v>
      </c>
      <c r="J74" s="231">
        <f>SUM(J68:J72)</f>
        <v>1126939.2562400328</v>
      </c>
    </row>
    <row r="75" spans="1:14" ht="15.75" thickBot="1" x14ac:dyDescent="0.3">
      <c r="F75" s="83" t="s">
        <v>59</v>
      </c>
      <c r="G75" s="242">
        <f>SUM(G68:G71,G73)</f>
        <v>1041515.0829923336</v>
      </c>
      <c r="H75" s="242">
        <f>SUM(H68:H71,H73)</f>
        <v>1074185.6426514806</v>
      </c>
      <c r="I75" s="242">
        <f>SUM(I68:I71,I73)</f>
        <v>950596.70390601316</v>
      </c>
      <c r="J75" s="232">
        <f>SUM(J68:J71,J73)</f>
        <v>1034607.776916233</v>
      </c>
    </row>
    <row r="76" spans="1:14" ht="15.75" thickBot="1" x14ac:dyDescent="0.3"/>
    <row r="77" spans="1:14" ht="15.75" thickBot="1" x14ac:dyDescent="0.3">
      <c r="F77" s="421" t="s">
        <v>58</v>
      </c>
      <c r="G77" s="422"/>
      <c r="H77" s="422"/>
      <c r="I77" s="422"/>
      <c r="J77" s="423"/>
    </row>
    <row r="78" spans="1:14" ht="15.75" thickBot="1" x14ac:dyDescent="0.3">
      <c r="F78" s="93"/>
      <c r="G78" s="66" t="s">
        <v>66</v>
      </c>
      <c r="H78" s="66" t="s">
        <v>66</v>
      </c>
      <c r="I78" s="66" t="s">
        <v>66</v>
      </c>
      <c r="J78" s="94" t="s">
        <v>66</v>
      </c>
    </row>
    <row r="79" spans="1:14" x14ac:dyDescent="0.25">
      <c r="F79" s="51"/>
      <c r="G79" s="57" t="s">
        <v>75</v>
      </c>
      <c r="H79" s="57" t="s">
        <v>63</v>
      </c>
      <c r="I79" s="57" t="s">
        <v>64</v>
      </c>
      <c r="J79" s="81" t="s">
        <v>65</v>
      </c>
    </row>
    <row r="80" spans="1:14" x14ac:dyDescent="0.25">
      <c r="F80" s="34" t="s">
        <v>70</v>
      </c>
      <c r="G80" s="249">
        <f t="shared" ref="G80:G87" si="0">J68</f>
        <v>29511.190743113388</v>
      </c>
      <c r="H80" s="250">
        <v>0</v>
      </c>
      <c r="I80" s="250">
        <v>0</v>
      </c>
      <c r="J80" s="251">
        <v>0</v>
      </c>
    </row>
    <row r="81" spans="6:10" x14ac:dyDescent="0.25">
      <c r="F81" s="34" t="s">
        <v>28</v>
      </c>
      <c r="G81" s="229">
        <f t="shared" si="0"/>
        <v>304450.40237499739</v>
      </c>
      <c r="H81" s="235">
        <f>'3 Most Recent Years'!C61</f>
        <v>40465.025658378698</v>
      </c>
      <c r="I81" s="235">
        <f>'3 Most Recent Years'!D61</f>
        <v>0</v>
      </c>
      <c r="J81" s="229">
        <f>'3 Most Recent Years'!F61</f>
        <v>2303.3870362975263</v>
      </c>
    </row>
    <row r="82" spans="6:10" x14ac:dyDescent="0.25">
      <c r="F82" s="34" t="s">
        <v>2</v>
      </c>
      <c r="G82" s="229">
        <f t="shared" si="0"/>
        <v>135535.04735192211</v>
      </c>
      <c r="H82" s="235">
        <f>'3 Most Recent Years'!C62</f>
        <v>423080.41481777368</v>
      </c>
      <c r="I82" s="235">
        <f>'3 Most Recent Years'!D62</f>
        <v>417779.89517102437</v>
      </c>
      <c r="J82" s="229">
        <f>'3 Most Recent Years'!F62</f>
        <v>300076.17143254104</v>
      </c>
    </row>
    <row r="83" spans="6:10" x14ac:dyDescent="0.25">
      <c r="F83" s="34" t="s">
        <v>38</v>
      </c>
      <c r="G83" s="229">
        <f t="shared" si="0"/>
        <v>3947.5814399999999</v>
      </c>
      <c r="H83" s="235">
        <f>'3 Most Recent Years'!C63</f>
        <v>3770.9924999999998</v>
      </c>
      <c r="I83" s="235">
        <f>'3 Most Recent Years'!D63</f>
        <v>4644.1685400000006</v>
      </c>
      <c r="J83" s="229">
        <f>'3 Most Recent Years'!F63</f>
        <v>4387.4344799999999</v>
      </c>
    </row>
    <row r="84" spans="6:10" x14ac:dyDescent="0.25">
      <c r="F84" s="34" t="s">
        <v>61</v>
      </c>
      <c r="G84" s="229">
        <f t="shared" si="0"/>
        <v>653495.03432999994</v>
      </c>
      <c r="H84" s="235">
        <f>'3 Most Recent Years'!C64</f>
        <v>647946.07811999996</v>
      </c>
      <c r="I84" s="235">
        <f>'3 Most Recent Years'!D64</f>
        <v>639406.02483000001</v>
      </c>
      <c r="J84" s="229">
        <f>'3 Most Recent Years'!F64</f>
        <v>619413.50367000001</v>
      </c>
    </row>
    <row r="85" spans="6:10" ht="15.75" thickBot="1" x14ac:dyDescent="0.3">
      <c r="F85" s="34" t="s">
        <v>62</v>
      </c>
      <c r="G85" s="229">
        <f t="shared" si="0"/>
        <v>561163.5550062001</v>
      </c>
      <c r="H85" s="235">
        <f>'3 Most Recent Years'!C65</f>
        <v>556398.60373680003</v>
      </c>
      <c r="I85" s="235">
        <f>'3 Most Recent Years'!D65</f>
        <v>549065.16367619997</v>
      </c>
      <c r="J85" s="229">
        <f>'3 Most Recent Years'!F65</f>
        <v>531897.36031380005</v>
      </c>
    </row>
    <row r="86" spans="6:10" x14ac:dyDescent="0.25">
      <c r="F86" s="82" t="s">
        <v>60</v>
      </c>
      <c r="G86" s="231">
        <f>J74</f>
        <v>1126939.2562400328</v>
      </c>
      <c r="H86" s="241">
        <f>'3 Most Recent Years'!C66</f>
        <v>1119033.5035961524</v>
      </c>
      <c r="I86" s="241">
        <f>'3 Most Recent Years'!D66</f>
        <v>1066474.2570810243</v>
      </c>
      <c r="J86" s="231">
        <f>'3 Most Recent Years'!F66</f>
        <v>926180.49661883852</v>
      </c>
    </row>
    <row r="87" spans="6:10" ht="15.75" thickBot="1" x14ac:dyDescent="0.3">
      <c r="F87" s="83" t="s">
        <v>59</v>
      </c>
      <c r="G87" s="232">
        <f t="shared" si="0"/>
        <v>1034607.776916233</v>
      </c>
      <c r="H87" s="242">
        <f>'3 Most Recent Years'!C67</f>
        <v>1027486.0292129525</v>
      </c>
      <c r="I87" s="242">
        <f>'3 Most Recent Years'!D67</f>
        <v>976133.39592722431</v>
      </c>
      <c r="J87" s="232">
        <f>'3 Most Recent Years'!F67</f>
        <v>838664.35326263856</v>
      </c>
    </row>
    <row r="89" spans="6:10" x14ac:dyDescent="0.25">
      <c r="F89" s="424" t="s">
        <v>76</v>
      </c>
      <c r="G89" s="425"/>
      <c r="H89" s="425"/>
      <c r="I89" s="425"/>
      <c r="J89" s="426"/>
    </row>
    <row r="90" spans="6:10" x14ac:dyDescent="0.25">
      <c r="F90" s="84"/>
      <c r="G90" s="28" t="s">
        <v>75</v>
      </c>
      <c r="H90" s="28" t="s">
        <v>14</v>
      </c>
      <c r="I90" s="28" t="s">
        <v>15</v>
      </c>
      <c r="J90" s="85" t="s">
        <v>13</v>
      </c>
    </row>
    <row r="91" spans="6:10" x14ac:dyDescent="0.25">
      <c r="F91" s="84" t="s">
        <v>70</v>
      </c>
      <c r="G91" s="252">
        <f>G51</f>
        <v>983.70635810377962</v>
      </c>
      <c r="H91" s="252">
        <v>0</v>
      </c>
      <c r="I91" s="252">
        <v>0</v>
      </c>
      <c r="J91" s="253">
        <v>0</v>
      </c>
    </row>
    <row r="92" spans="6:10" x14ac:dyDescent="0.25">
      <c r="F92" s="84" t="s">
        <v>28</v>
      </c>
      <c r="G92" s="252">
        <f>G52</f>
        <v>10148.346745833245</v>
      </c>
      <c r="H92" s="252">
        <f>'3 Most Recent Years'!G5</f>
        <v>1348.8341886126232</v>
      </c>
      <c r="I92" s="252">
        <v>0</v>
      </c>
      <c r="J92" s="253">
        <f>'3 Most Recent Years'!G33</f>
        <v>76.77956787658421</v>
      </c>
    </row>
    <row r="93" spans="6:10" x14ac:dyDescent="0.25">
      <c r="F93" s="84" t="s">
        <v>2</v>
      </c>
      <c r="G93" s="252">
        <f>G53</f>
        <v>4517.8349117307371</v>
      </c>
      <c r="H93" s="252">
        <f>'3 Most Recent Years'!G6</f>
        <v>14102.680493925789</v>
      </c>
      <c r="I93" s="252">
        <f>'3 Most Recent Years'!G20</f>
        <v>13925.996505700812</v>
      </c>
      <c r="J93" s="253">
        <f>'3 Most Recent Years'!G34</f>
        <v>10002.539047751368</v>
      </c>
    </row>
    <row r="94" spans="6:10" x14ac:dyDescent="0.25">
      <c r="F94" s="84" t="s">
        <v>38</v>
      </c>
      <c r="G94" s="252">
        <f>G57</f>
        <v>131.58604800000001</v>
      </c>
      <c r="H94" s="252">
        <f>'3 Most Recent Years'!G10</f>
        <v>125.69974999999999</v>
      </c>
      <c r="I94" s="252">
        <f>'3 Most Recent Years'!G24</f>
        <v>154.80561800000001</v>
      </c>
      <c r="J94" s="253">
        <f>'3 Most Recent Years'!G38</f>
        <v>146.247816</v>
      </c>
    </row>
    <row r="95" spans="6:10" x14ac:dyDescent="0.25">
      <c r="F95" s="86" t="s">
        <v>78</v>
      </c>
      <c r="G95" s="254">
        <f>G42</f>
        <v>21542.317854000001</v>
      </c>
      <c r="H95" s="254">
        <f>'3 Most Recent Years'!G12</f>
        <v>21598.202603999998</v>
      </c>
      <c r="I95" s="254">
        <f>'3 Most Recent Years'!G26</f>
        <v>21313.534161</v>
      </c>
      <c r="J95" s="255">
        <f>'3 Most Recent Years'!G40</f>
        <v>20647.116789</v>
      </c>
    </row>
    <row r="106" spans="6:9" ht="15.75" thickBot="1" x14ac:dyDescent="0.3"/>
    <row r="107" spans="6:9" x14ac:dyDescent="0.25">
      <c r="F107" s="474" t="s">
        <v>79</v>
      </c>
      <c r="G107" s="101" t="s">
        <v>14</v>
      </c>
      <c r="H107" s="101" t="s">
        <v>15</v>
      </c>
      <c r="I107" s="112" t="s">
        <v>13</v>
      </c>
    </row>
    <row r="108" spans="6:9" ht="15.75" thickBot="1" x14ac:dyDescent="0.3">
      <c r="F108" s="475"/>
      <c r="G108" s="110">
        <f>((G86-H86)/G86)*100</f>
        <v>0.7015242924678583</v>
      </c>
      <c r="H108" s="110">
        <f>((G86-I86)/G86)*100</f>
        <v>5.3654177742238245</v>
      </c>
      <c r="I108" s="111">
        <f>((G86-J86)/G86)*100</f>
        <v>17.814514714041842</v>
      </c>
    </row>
    <row r="110" spans="6:9" ht="23.25" x14ac:dyDescent="0.35">
      <c r="G110" s="113" t="s">
        <v>80</v>
      </c>
      <c r="H110" s="114"/>
    </row>
    <row r="118" ht="28.5" customHeight="1" x14ac:dyDescent="0.25"/>
  </sheetData>
  <mergeCells count="36">
    <mergeCell ref="F107:F108"/>
    <mergeCell ref="F89:J89"/>
    <mergeCell ref="F65:J65"/>
    <mergeCell ref="F77:J77"/>
    <mergeCell ref="I55:I60"/>
    <mergeCell ref="H44:I44"/>
    <mergeCell ref="H45:I45"/>
    <mergeCell ref="H61:I61"/>
    <mergeCell ref="H62:I62"/>
    <mergeCell ref="A61:A62"/>
    <mergeCell ref="H55:H60"/>
    <mergeCell ref="A44:A45"/>
    <mergeCell ref="B44:D45"/>
    <mergeCell ref="B61:D62"/>
    <mergeCell ref="H30:I30"/>
    <mergeCell ref="A29:A30"/>
    <mergeCell ref="H14:I14"/>
    <mergeCell ref="H15:I15"/>
    <mergeCell ref="B29:D30"/>
    <mergeCell ref="A14:A15"/>
    <mergeCell ref="H38:H43"/>
    <mergeCell ref="I38:I43"/>
    <mergeCell ref="A67:B67"/>
    <mergeCell ref="A1:J1"/>
    <mergeCell ref="A63:B63"/>
    <mergeCell ref="A32:J32"/>
    <mergeCell ref="F48:G48"/>
    <mergeCell ref="A49:J49"/>
    <mergeCell ref="A2:J2"/>
    <mergeCell ref="A17:J17"/>
    <mergeCell ref="H8:H13"/>
    <mergeCell ref="I8:I13"/>
    <mergeCell ref="H23:H28"/>
    <mergeCell ref="I23:I28"/>
    <mergeCell ref="B14:D15"/>
    <mergeCell ref="H29:I29"/>
  </mergeCells>
  <pageMargins left="0.7" right="0.7" top="0.75" bottom="0.75" header="0.3" footer="0.3"/>
  <pageSetup orientation="portrait" r:id="rId1"/>
  <ignoredErrors>
    <ignoredError sqref="I35:J35 G26 G5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"/>
  <sheetViews>
    <sheetView topLeftCell="A25" workbookViewId="0">
      <selection activeCell="E51" sqref="E51:E58"/>
    </sheetView>
  </sheetViews>
  <sheetFormatPr defaultRowHeight="15" x14ac:dyDescent="0.25"/>
  <cols>
    <col min="1" max="1" width="2.5703125" customWidth="1"/>
    <col min="2" max="2" width="17.28515625" customWidth="1"/>
    <col min="3" max="3" width="13.28515625" customWidth="1"/>
    <col min="4" max="4" width="13.7109375" customWidth="1"/>
    <col min="5" max="5" width="22.5703125" customWidth="1"/>
    <col min="6" max="6" width="13.7109375" customWidth="1"/>
    <col min="7" max="7" width="17.85546875" customWidth="1"/>
    <col min="8" max="8" width="12.5703125" customWidth="1"/>
    <col min="9" max="9" width="14.85546875" customWidth="1"/>
    <col min="10" max="10" width="15.5703125" customWidth="1"/>
    <col min="12" max="12" width="11.5703125" bestFit="1" customWidth="1"/>
    <col min="25" max="25" width="9.5703125" bestFit="1" customWidth="1"/>
  </cols>
  <sheetData>
    <row r="1" spans="1:32" x14ac:dyDescent="0.25">
      <c r="W1" s="515" t="s">
        <v>88</v>
      </c>
      <c r="X1" s="516"/>
      <c r="Y1" s="516"/>
      <c r="Z1" s="516"/>
      <c r="AA1" s="516"/>
      <c r="AB1" s="516"/>
      <c r="AC1" s="516"/>
      <c r="AD1" s="516"/>
      <c r="AE1" s="516"/>
      <c r="AF1" s="516"/>
    </row>
    <row r="2" spans="1:32" ht="16.5" thickBot="1" x14ac:dyDescent="0.3">
      <c r="A2" s="490" t="s">
        <v>83</v>
      </c>
      <c r="B2" s="491"/>
      <c r="C2" s="491"/>
      <c r="D2" s="491"/>
      <c r="E2" s="491"/>
      <c r="F2" s="491"/>
      <c r="G2" s="491"/>
      <c r="H2" s="491"/>
      <c r="I2" s="491"/>
      <c r="J2" s="491"/>
    </row>
    <row r="3" spans="1:32" ht="16.5" thickBot="1" x14ac:dyDescent="0.3">
      <c r="A3" s="498" t="s">
        <v>86</v>
      </c>
      <c r="B3" s="499"/>
      <c r="C3" s="499"/>
      <c r="D3" s="499"/>
      <c r="E3" s="499"/>
      <c r="F3" s="499"/>
      <c r="G3" s="499"/>
      <c r="H3" s="499"/>
      <c r="I3" s="499"/>
      <c r="J3" s="500"/>
    </row>
    <row r="4" spans="1:32" ht="15.75" x14ac:dyDescent="0.25">
      <c r="A4" s="394" t="s">
        <v>84</v>
      </c>
      <c r="B4" s="395"/>
      <c r="C4" s="395"/>
      <c r="D4" s="395"/>
      <c r="E4" s="395"/>
      <c r="F4" s="395"/>
      <c r="G4" s="395"/>
      <c r="H4" s="395"/>
      <c r="I4" s="395"/>
      <c r="J4" s="396"/>
      <c r="X4" s="517" t="s">
        <v>14</v>
      </c>
      <c r="Y4" s="518"/>
    </row>
    <row r="5" spans="1:32" ht="48" x14ac:dyDescent="0.25">
      <c r="A5" s="46"/>
      <c r="B5" s="72" t="s">
        <v>0</v>
      </c>
      <c r="C5" s="73" t="s">
        <v>6</v>
      </c>
      <c r="D5" s="73" t="s">
        <v>7</v>
      </c>
      <c r="E5" s="31" t="s">
        <v>49</v>
      </c>
      <c r="F5" s="31" t="s">
        <v>43</v>
      </c>
      <c r="G5" s="32" t="s">
        <v>53</v>
      </c>
      <c r="H5" s="71" t="s">
        <v>56</v>
      </c>
      <c r="I5" s="71" t="s">
        <v>57</v>
      </c>
      <c r="J5" s="33" t="s">
        <v>24</v>
      </c>
      <c r="X5" s="134"/>
      <c r="Y5" s="135" t="s">
        <v>89</v>
      </c>
    </row>
    <row r="6" spans="1:32" x14ac:dyDescent="0.25">
      <c r="A6" s="34">
        <v>1</v>
      </c>
      <c r="B6" s="35" t="s">
        <v>19</v>
      </c>
      <c r="C6" s="134">
        <f>'3 Most Recent Years'!C5</f>
        <v>490119</v>
      </c>
      <c r="D6" s="135" t="s">
        <v>16</v>
      </c>
      <c r="E6" s="525" t="s">
        <v>48</v>
      </c>
      <c r="F6" s="216">
        <f>'3 Most Recent Years'!F5</f>
        <v>2.7620000000000001E-3</v>
      </c>
      <c r="G6" s="134">
        <f>'3 Most Recent Years'!G5</f>
        <v>1348.8341886126232</v>
      </c>
      <c r="H6" s="134">
        <f>'3 Most Recent Years'!H5</f>
        <v>0.10301162277475358</v>
      </c>
      <c r="I6" s="134">
        <f>'3 Most Recent Years'!I5</f>
        <v>4.7385346476386632</v>
      </c>
      <c r="J6" s="136">
        <f>$F6*$C6</f>
        <v>1353.708678</v>
      </c>
      <c r="X6" s="134" t="s">
        <v>84</v>
      </c>
      <c r="Y6" s="134">
        <f>SUM('3 Most Recent Years'!C61:C63)</f>
        <v>467316.43297615234</v>
      </c>
    </row>
    <row r="7" spans="1:32" x14ac:dyDescent="0.25">
      <c r="A7" s="34">
        <v>2</v>
      </c>
      <c r="B7" s="35" t="s">
        <v>2</v>
      </c>
      <c r="C7" s="134">
        <f>'3 Most Recent Years'!C6</f>
        <v>283915</v>
      </c>
      <c r="D7" s="135" t="s">
        <v>17</v>
      </c>
      <c r="E7" s="525"/>
      <c r="F7" s="215">
        <f>'3 Most Recent Years'!F6</f>
        <v>4.9976E-2</v>
      </c>
      <c r="G7" s="134">
        <f>'3 Most Recent Years'!G6</f>
        <v>14102.680493925789</v>
      </c>
      <c r="H7" s="134">
        <f>'3 Most Recent Years'!H6</f>
        <v>5.9170017106782797</v>
      </c>
      <c r="I7" s="134">
        <f>'3 Most Recent Years'!I6</f>
        <v>80.372606570046628</v>
      </c>
      <c r="J7" s="136">
        <f>$F7*$C7</f>
        <v>14188.936040000001</v>
      </c>
      <c r="X7" s="140" t="s">
        <v>82</v>
      </c>
      <c r="Y7" s="140">
        <f>'3 Most Recent Years'!C64</f>
        <v>647946.07811999996</v>
      </c>
    </row>
    <row r="8" spans="1:32" x14ac:dyDescent="0.25">
      <c r="A8" s="47"/>
      <c r="B8" s="48" t="s">
        <v>3</v>
      </c>
      <c r="C8" s="134"/>
      <c r="D8" s="135"/>
      <c r="E8" s="525"/>
      <c r="F8" s="134"/>
      <c r="G8" s="137"/>
      <c r="H8" s="492"/>
      <c r="I8" s="494"/>
      <c r="J8" s="138"/>
      <c r="X8" s="225"/>
      <c r="Y8" s="225"/>
    </row>
    <row r="9" spans="1:32" x14ac:dyDescent="0.25">
      <c r="A9" s="34">
        <v>3</v>
      </c>
      <c r="B9" s="49" t="s">
        <v>4</v>
      </c>
      <c r="C9" s="134">
        <f>'3 Most Recent Years'!C8</f>
        <v>9201</v>
      </c>
      <c r="D9" s="135" t="s">
        <v>16</v>
      </c>
      <c r="E9" s="525"/>
      <c r="F9" s="216">
        <f>'3 Most Recent Years'!F8</f>
        <v>2.31E-3</v>
      </c>
      <c r="G9" s="139">
        <f>'3 Most Recent Years'!G8</f>
        <v>21.25431</v>
      </c>
      <c r="H9" s="493"/>
      <c r="I9" s="495"/>
      <c r="J9" s="136">
        <f t="shared" ref="J9:J10" si="0">$F9*$C9</f>
        <v>21.25431</v>
      </c>
      <c r="X9" s="225"/>
      <c r="Y9" s="225"/>
    </row>
    <row r="10" spans="1:32" x14ac:dyDescent="0.25">
      <c r="A10" s="34">
        <v>4</v>
      </c>
      <c r="B10" s="49" t="s">
        <v>5</v>
      </c>
      <c r="C10" s="134">
        <f>'3 Most Recent Years'!C9</f>
        <v>37090</v>
      </c>
      <c r="D10" s="135" t="s">
        <v>16</v>
      </c>
      <c r="E10" s="525"/>
      <c r="F10" s="216">
        <f>'3 Most Recent Years'!F9</f>
        <v>2.8159999999999999E-3</v>
      </c>
      <c r="G10" s="139">
        <f>'3 Most Recent Years'!G9</f>
        <v>104.44543999999999</v>
      </c>
      <c r="H10" s="493"/>
      <c r="I10" s="495"/>
      <c r="J10" s="136">
        <f t="shared" si="0"/>
        <v>104.44543999999999</v>
      </c>
      <c r="X10" s="225"/>
      <c r="Y10" s="225"/>
    </row>
    <row r="11" spans="1:32" x14ac:dyDescent="0.25">
      <c r="A11" s="115"/>
      <c r="B11" s="116" t="s">
        <v>37</v>
      </c>
      <c r="C11" s="140">
        <f>'3 Most Recent Years'!C10</f>
        <v>46291</v>
      </c>
      <c r="D11" s="141" t="s">
        <v>16</v>
      </c>
      <c r="E11" s="526"/>
      <c r="F11" s="217">
        <f>'3 Most Recent Years'!F10</f>
        <v>5.1260000000000003E-3</v>
      </c>
      <c r="G11" s="142">
        <f>'3 Most Recent Years'!G10</f>
        <v>125.69974999999999</v>
      </c>
      <c r="H11" s="493"/>
      <c r="I11" s="495"/>
      <c r="J11" s="143">
        <f>J9+J10</f>
        <v>125.69974999999999</v>
      </c>
      <c r="X11" s="225"/>
      <c r="Y11" s="225"/>
    </row>
    <row r="12" spans="1:32" x14ac:dyDescent="0.25">
      <c r="A12" s="87"/>
      <c r="B12" s="126" t="s">
        <v>81</v>
      </c>
      <c r="C12" s="144">
        <f>SUM(C6:C7,C9:C11)</f>
        <v>866616</v>
      </c>
      <c r="D12" s="145"/>
      <c r="E12" s="145"/>
      <c r="F12" s="144"/>
      <c r="G12" s="146">
        <f>SUM('SCOPES 1 &amp; 2'!G6:G7,'SCOPES 1 &amp; 2'!G9:G11)</f>
        <v>15702.914182538412</v>
      </c>
      <c r="H12" s="493"/>
      <c r="I12" s="495"/>
      <c r="J12" s="147">
        <f>J6+J7+J9+J10</f>
        <v>15668.344467999999</v>
      </c>
      <c r="X12" s="225"/>
      <c r="Y12" s="225"/>
    </row>
    <row r="13" spans="1:32" ht="15.75" x14ac:dyDescent="0.25">
      <c r="A13" s="504" t="s">
        <v>82</v>
      </c>
      <c r="B13" s="505"/>
      <c r="C13" s="505"/>
      <c r="D13" s="505"/>
      <c r="E13" s="505"/>
      <c r="F13" s="505"/>
      <c r="G13" s="505"/>
      <c r="H13" s="505"/>
      <c r="I13" s="505"/>
      <c r="J13" s="506"/>
      <c r="K13" s="225"/>
      <c r="L13" s="225" t="s">
        <v>14</v>
      </c>
      <c r="X13" s="225"/>
      <c r="Y13" s="225"/>
    </row>
    <row r="14" spans="1:32" x14ac:dyDescent="0.25">
      <c r="A14" s="127">
        <f>'3 Most Recent Years'!A12</f>
        <v>5</v>
      </c>
      <c r="B14" s="128" t="str">
        <f>'3 Most Recent Years'!B12</f>
        <v>Electricity</v>
      </c>
      <c r="C14" s="129">
        <f>'3 Most Recent Years'!C12</f>
        <v>26763572</v>
      </c>
      <c r="D14" s="130" t="str">
        <f>'3 Most Recent Years'!D12</f>
        <v>kWh</v>
      </c>
      <c r="E14" s="131" t="s">
        <v>47</v>
      </c>
      <c r="F14" s="130">
        <f>'3 Most Recent Years'!F12</f>
        <v>8.0699999999999999E-4</v>
      </c>
      <c r="G14" s="132">
        <f>'3 Most Recent Years'!G12</f>
        <v>21598.202603999998</v>
      </c>
      <c r="H14" s="507"/>
      <c r="I14" s="507"/>
      <c r="J14" s="133">
        <f>G14</f>
        <v>21598.202603999998</v>
      </c>
      <c r="K14" s="225" t="s">
        <v>84</v>
      </c>
      <c r="L14" s="225">
        <f>J12</f>
        <v>15668.344467999999</v>
      </c>
      <c r="X14" s="225"/>
      <c r="Y14" s="225"/>
    </row>
    <row r="15" spans="1:32" ht="15.75" thickBot="1" x14ac:dyDescent="0.3">
      <c r="A15" s="120"/>
      <c r="B15" s="121"/>
      <c r="C15" s="122"/>
      <c r="D15" s="123"/>
      <c r="E15" s="122" t="s">
        <v>46</v>
      </c>
      <c r="F15" s="123">
        <f>'3 Most Recent Years'!F13</f>
        <v>6.9298000000000005E-4</v>
      </c>
      <c r="G15" s="124">
        <f>'3 Most Recent Years'!G13</f>
        <v>18546.620124560002</v>
      </c>
      <c r="H15" s="508"/>
      <c r="I15" s="508"/>
      <c r="J15" s="125">
        <f>G15</f>
        <v>18546.620124560002</v>
      </c>
      <c r="K15" s="225" t="s">
        <v>82</v>
      </c>
      <c r="L15" s="225">
        <f>J14</f>
        <v>21598.202603999998</v>
      </c>
      <c r="X15" s="225"/>
      <c r="Y15" s="225"/>
    </row>
    <row r="16" spans="1:32" x14ac:dyDescent="0.25">
      <c r="A16" s="28"/>
      <c r="B16" s="118"/>
      <c r="C16" s="28"/>
      <c r="D16" s="117"/>
      <c r="E16" s="28"/>
      <c r="F16" s="117"/>
      <c r="G16" s="29"/>
      <c r="H16" s="117"/>
      <c r="I16" s="117"/>
      <c r="J16" s="26"/>
      <c r="K16" s="225"/>
      <c r="L16" s="225"/>
      <c r="X16" s="225"/>
      <c r="Y16" s="225"/>
    </row>
    <row r="17" spans="1:25" ht="15.75" thickBot="1" x14ac:dyDescent="0.3">
      <c r="A17" s="28"/>
      <c r="B17" s="118"/>
      <c r="C17" s="28"/>
      <c r="D17" s="117"/>
      <c r="E17" s="117"/>
      <c r="F17" s="28"/>
      <c r="G17" s="119"/>
      <c r="H17" s="117"/>
      <c r="I17" s="117"/>
      <c r="J17" s="26"/>
      <c r="K17" s="225"/>
      <c r="L17" s="225"/>
      <c r="X17" s="225"/>
      <c r="Y17" s="225"/>
    </row>
    <row r="18" spans="1:25" ht="16.5" thickBot="1" x14ac:dyDescent="0.3">
      <c r="A18" s="501" t="s">
        <v>85</v>
      </c>
      <c r="B18" s="502"/>
      <c r="C18" s="502"/>
      <c r="D18" s="502"/>
      <c r="E18" s="502"/>
      <c r="F18" s="502"/>
      <c r="G18" s="502"/>
      <c r="H18" s="502"/>
      <c r="I18" s="502"/>
      <c r="J18" s="503"/>
      <c r="K18" s="225"/>
      <c r="L18" s="225"/>
      <c r="X18" s="519" t="s">
        <v>15</v>
      </c>
      <c r="Y18" s="519"/>
    </row>
    <row r="19" spans="1:25" ht="15.75" x14ac:dyDescent="0.25">
      <c r="A19" s="527" t="s">
        <v>84</v>
      </c>
      <c r="B19" s="528"/>
      <c r="C19" s="528"/>
      <c r="D19" s="528"/>
      <c r="E19" s="528"/>
      <c r="F19" s="528"/>
      <c r="G19" s="528"/>
      <c r="H19" s="528"/>
      <c r="I19" s="528"/>
      <c r="J19" s="529"/>
      <c r="K19" s="225"/>
      <c r="L19" s="225"/>
      <c r="X19" s="134"/>
      <c r="Y19" s="134" t="s">
        <v>89</v>
      </c>
    </row>
    <row r="20" spans="1:25" ht="48" x14ac:dyDescent="0.25">
      <c r="A20" s="46"/>
      <c r="B20" s="72" t="s">
        <v>0</v>
      </c>
      <c r="C20" s="73" t="s">
        <v>6</v>
      </c>
      <c r="D20" s="73" t="s">
        <v>7</v>
      </c>
      <c r="E20" s="31" t="s">
        <v>49</v>
      </c>
      <c r="F20" s="31" t="s">
        <v>44</v>
      </c>
      <c r="G20" s="32" t="s">
        <v>55</v>
      </c>
      <c r="H20" s="71" t="s">
        <v>56</v>
      </c>
      <c r="I20" s="71" t="s">
        <v>57</v>
      </c>
      <c r="J20" s="33" t="s">
        <v>24</v>
      </c>
      <c r="K20" s="225"/>
      <c r="L20" s="225"/>
      <c r="W20" t="s">
        <v>90</v>
      </c>
      <c r="X20" s="134" t="s">
        <v>84</v>
      </c>
      <c r="Y20" s="134">
        <f>SUM('3 Most Recent Years'!D61:D63)</f>
        <v>422424.06371102436</v>
      </c>
    </row>
    <row r="21" spans="1:25" x14ac:dyDescent="0.25">
      <c r="A21" s="148">
        <v>1</v>
      </c>
      <c r="B21" s="149" t="s">
        <v>1</v>
      </c>
      <c r="C21" s="149">
        <v>0</v>
      </c>
      <c r="D21" s="150" t="s">
        <v>16</v>
      </c>
      <c r="E21" s="523" t="s">
        <v>48</v>
      </c>
      <c r="F21" s="219">
        <f>'3 Most Recent Years'!F19</f>
        <v>2.7620000000000001E-3</v>
      </c>
      <c r="G21" s="149">
        <v>0</v>
      </c>
      <c r="H21" s="149">
        <v>0</v>
      </c>
      <c r="I21" s="149">
        <v>0</v>
      </c>
      <c r="J21" s="151">
        <v>0</v>
      </c>
      <c r="K21" s="225"/>
      <c r="L21" s="225"/>
      <c r="X21" s="140" t="s">
        <v>82</v>
      </c>
      <c r="Y21" s="140">
        <f>'3 Most Recent Years'!D64</f>
        <v>639406.02483000001</v>
      </c>
    </row>
    <row r="22" spans="1:25" x14ac:dyDescent="0.25">
      <c r="A22" s="148">
        <v>2</v>
      </c>
      <c r="B22" s="149" t="s">
        <v>2</v>
      </c>
      <c r="C22" s="208">
        <f>'3 Most Recent Years'!C20</f>
        <v>280358</v>
      </c>
      <c r="D22" s="150" t="s">
        <v>17</v>
      </c>
      <c r="E22" s="523"/>
      <c r="F22" s="218">
        <f>'3 Most Recent Years'!F20</f>
        <v>4.9976E-2</v>
      </c>
      <c r="G22" s="208">
        <f>'3 Most Recent Years'!G20</f>
        <v>13925.996505700812</v>
      </c>
      <c r="H22" s="149">
        <f>'3 Most Recent Years'!H20</f>
        <v>5.8428711607429724</v>
      </c>
      <c r="I22" s="149">
        <f>'3 Most Recent Years'!I20</f>
        <v>79.365666600092055</v>
      </c>
      <c r="J22" s="151">
        <f>'3 Most Recent Years'!J20</f>
        <v>14011.171408</v>
      </c>
      <c r="K22" s="225"/>
      <c r="L22" s="225"/>
      <c r="X22" s="225"/>
      <c r="Y22" s="225"/>
    </row>
    <row r="23" spans="1:25" x14ac:dyDescent="0.25">
      <c r="A23" s="153"/>
      <c r="B23" s="154" t="s">
        <v>3</v>
      </c>
      <c r="C23" s="208"/>
      <c r="D23" s="150"/>
      <c r="E23" s="523"/>
      <c r="F23" s="149"/>
      <c r="G23" s="208"/>
      <c r="H23" s="484"/>
      <c r="I23" s="496"/>
      <c r="J23" s="151"/>
      <c r="K23" s="225"/>
      <c r="L23" s="225"/>
      <c r="X23" s="225"/>
      <c r="Y23" s="225"/>
    </row>
    <row r="24" spans="1:25" x14ac:dyDescent="0.25">
      <c r="A24" s="148">
        <v>3</v>
      </c>
      <c r="B24" s="155" t="s">
        <v>4</v>
      </c>
      <c r="C24" s="208">
        <f>'3 Most Recent Years'!C22</f>
        <v>10771</v>
      </c>
      <c r="D24" s="150" t="s">
        <v>16</v>
      </c>
      <c r="E24" s="523"/>
      <c r="F24" s="219">
        <f>'3 Most Recent Years'!F22</f>
        <v>2.31E-3</v>
      </c>
      <c r="G24" s="266">
        <f>'3 Most Recent Years'!G22</f>
        <v>24.88101</v>
      </c>
      <c r="H24" s="485"/>
      <c r="I24" s="497"/>
      <c r="J24" s="151">
        <f>'3 Most Recent Years'!J22</f>
        <v>24.88101</v>
      </c>
      <c r="K24" s="225"/>
      <c r="L24" s="225"/>
      <c r="X24" s="225"/>
      <c r="Y24" s="225"/>
    </row>
    <row r="25" spans="1:25" x14ac:dyDescent="0.25">
      <c r="A25" s="148">
        <v>4</v>
      </c>
      <c r="B25" s="155" t="s">
        <v>5</v>
      </c>
      <c r="C25" s="208">
        <f>'3 Most Recent Years'!C23</f>
        <v>46138</v>
      </c>
      <c r="D25" s="150" t="s">
        <v>16</v>
      </c>
      <c r="E25" s="523"/>
      <c r="F25" s="219">
        <f>F6</f>
        <v>2.7620000000000001E-3</v>
      </c>
      <c r="G25" s="266">
        <f>'3 Most Recent Years'!G23</f>
        <v>129.92460800000001</v>
      </c>
      <c r="H25" s="485"/>
      <c r="I25" s="497"/>
      <c r="J25" s="151">
        <f>'3 Most Recent Years'!J23</f>
        <v>129.92460800000001</v>
      </c>
      <c r="K25" s="225"/>
      <c r="L25" s="225"/>
      <c r="X25" s="225"/>
      <c r="Y25" s="225"/>
    </row>
    <row r="26" spans="1:25" x14ac:dyDescent="0.25">
      <c r="A26" s="157"/>
      <c r="B26" s="158" t="s">
        <v>37</v>
      </c>
      <c r="C26" s="264">
        <f>'3 Most Recent Years'!C24</f>
        <v>56909</v>
      </c>
      <c r="D26" s="159" t="s">
        <v>16</v>
      </c>
      <c r="E26" s="524"/>
      <c r="F26" s="220">
        <f>'3 Most Recent Years'!F24</f>
        <v>5.1260000000000003E-3</v>
      </c>
      <c r="G26" s="266">
        <f>'3 Most Recent Years'!G24</f>
        <v>154.80561800000001</v>
      </c>
      <c r="H26" s="485"/>
      <c r="I26" s="497"/>
      <c r="J26" s="160">
        <f>'3 Most Recent Years'!J24</f>
        <v>154.80561800000001</v>
      </c>
      <c r="K26" s="225"/>
      <c r="L26" s="225"/>
      <c r="X26" s="225"/>
      <c r="Y26" s="225"/>
    </row>
    <row r="27" spans="1:25" x14ac:dyDescent="0.25">
      <c r="A27" s="161"/>
      <c r="B27" s="162" t="s">
        <v>81</v>
      </c>
      <c r="C27" s="214">
        <f>SUM(C22,C24:C26)</f>
        <v>394176</v>
      </c>
      <c r="D27" s="164"/>
      <c r="E27" s="164"/>
      <c r="F27" s="163"/>
      <c r="G27" s="267">
        <f>'3 Most Recent Years'!G25</f>
        <v>14235.607741700811</v>
      </c>
      <c r="H27" s="485"/>
      <c r="I27" s="497"/>
      <c r="J27" s="165">
        <f>'3 Most Recent Years'!J25</f>
        <v>14165.977025999999</v>
      </c>
      <c r="K27" s="225"/>
      <c r="L27" s="225"/>
      <c r="X27" s="225"/>
      <c r="Y27" s="225"/>
    </row>
    <row r="28" spans="1:25" ht="15.75" customHeight="1" x14ac:dyDescent="0.25">
      <c r="A28" s="509" t="s">
        <v>82</v>
      </c>
      <c r="B28" s="510"/>
      <c r="C28" s="510"/>
      <c r="D28" s="510"/>
      <c r="E28" s="510"/>
      <c r="F28" s="510"/>
      <c r="G28" s="510"/>
      <c r="H28" s="510"/>
      <c r="I28" s="510"/>
      <c r="J28" s="511"/>
      <c r="K28" s="225"/>
      <c r="L28" s="225" t="s">
        <v>15</v>
      </c>
      <c r="X28" s="225"/>
      <c r="Y28" s="225"/>
    </row>
    <row r="29" spans="1:25" ht="15.75" customHeight="1" x14ac:dyDescent="0.25">
      <c r="A29" s="148">
        <f>'3 Most Recent Years'!A26</f>
        <v>5</v>
      </c>
      <c r="B29" s="166" t="str">
        <f>'3 Most Recent Years'!B26</f>
        <v>Eletricity</v>
      </c>
      <c r="C29" s="208">
        <f>'3 Most Recent Years'!G26</f>
        <v>21313.534161</v>
      </c>
      <c r="D29" s="150" t="str">
        <f>'3 Most Recent Years'!D26</f>
        <v>kWh</v>
      </c>
      <c r="E29" s="150">
        <f>'3 Most Recent Years'!F26</f>
        <v>8.0699999999999999E-4</v>
      </c>
      <c r="F29" s="149">
        <f>'3 Most Recent Years'!G26</f>
        <v>21313.534161</v>
      </c>
      <c r="G29" s="167"/>
      <c r="H29" s="476"/>
      <c r="I29" s="476"/>
      <c r="J29" s="168">
        <f>'3 Most Recent Years'!J26</f>
        <v>21313.534161</v>
      </c>
      <c r="K29" s="225" t="s">
        <v>84</v>
      </c>
      <c r="L29" s="225">
        <f>J27</f>
        <v>14165.977025999999</v>
      </c>
      <c r="X29" s="225"/>
      <c r="Y29" s="225"/>
    </row>
    <row r="30" spans="1:25" ht="15.75" customHeight="1" thickBot="1" x14ac:dyDescent="0.3">
      <c r="A30" s="169"/>
      <c r="B30" s="170"/>
      <c r="C30" s="171"/>
      <c r="D30" s="172"/>
      <c r="E30" s="172">
        <f>'3 Most Recent Years'!F27</f>
        <v>6.9298000000000005E-4</v>
      </c>
      <c r="F30" s="171">
        <f>'3 Most Recent Years'!G27</f>
        <v>18302.17212254</v>
      </c>
      <c r="G30" s="173"/>
      <c r="H30" s="477"/>
      <c r="I30" s="477"/>
      <c r="J30" s="174">
        <f>'3 Most Recent Years'!J27</f>
        <v>18302.17212254</v>
      </c>
      <c r="K30" s="225" t="s">
        <v>82</v>
      </c>
      <c r="L30" s="225">
        <f>J29</f>
        <v>21313.534161</v>
      </c>
      <c r="X30" s="225"/>
      <c r="Y30" s="225"/>
    </row>
    <row r="31" spans="1:25" ht="15.75" customHeight="1" x14ac:dyDescent="0.25">
      <c r="A31" s="175"/>
      <c r="B31" s="176"/>
      <c r="C31" s="175"/>
      <c r="D31" s="177"/>
      <c r="E31" s="177"/>
      <c r="F31" s="175"/>
      <c r="G31" s="178"/>
      <c r="H31" s="177"/>
      <c r="I31" s="177"/>
      <c r="J31" s="179"/>
      <c r="K31" s="225"/>
      <c r="L31" s="225"/>
      <c r="X31" s="225"/>
      <c r="Y31" s="225"/>
    </row>
    <row r="32" spans="1:25" ht="15.75" customHeight="1" thickBot="1" x14ac:dyDescent="0.3">
      <c r="A32" s="175"/>
      <c r="B32" s="175"/>
      <c r="C32" s="175"/>
      <c r="D32" s="177"/>
      <c r="E32" s="177"/>
      <c r="F32" s="175"/>
      <c r="G32" s="180"/>
      <c r="H32" s="180"/>
      <c r="I32" s="180"/>
      <c r="J32" s="175"/>
      <c r="K32" s="225"/>
      <c r="L32" s="225"/>
      <c r="X32" s="225"/>
      <c r="Y32" s="225"/>
    </row>
    <row r="33" spans="1:25" ht="15.75" customHeight="1" thickBot="1" x14ac:dyDescent="0.3">
      <c r="A33" s="481" t="s">
        <v>13</v>
      </c>
      <c r="B33" s="482"/>
      <c r="C33" s="482"/>
      <c r="D33" s="482"/>
      <c r="E33" s="482"/>
      <c r="F33" s="482"/>
      <c r="G33" s="482"/>
      <c r="H33" s="482"/>
      <c r="I33" s="482"/>
      <c r="J33" s="483"/>
      <c r="K33" s="225"/>
      <c r="L33" s="225"/>
      <c r="X33" s="520" t="s">
        <v>13</v>
      </c>
      <c r="Y33" s="520"/>
    </row>
    <row r="34" spans="1:25" ht="15.75" customHeight="1" x14ac:dyDescent="0.25">
      <c r="A34" s="530" t="s">
        <v>84</v>
      </c>
      <c r="B34" s="531"/>
      <c r="C34" s="531"/>
      <c r="D34" s="531"/>
      <c r="E34" s="531"/>
      <c r="F34" s="531"/>
      <c r="G34" s="531"/>
      <c r="H34" s="531"/>
      <c r="I34" s="531"/>
      <c r="J34" s="532"/>
      <c r="K34" s="225"/>
      <c r="L34" s="225"/>
      <c r="X34" s="134"/>
      <c r="Y34" s="134" t="s">
        <v>89</v>
      </c>
    </row>
    <row r="35" spans="1:25" ht="49.5" customHeight="1" x14ac:dyDescent="0.25">
      <c r="A35" s="181"/>
      <c r="B35" s="167" t="s">
        <v>0</v>
      </c>
      <c r="C35" s="150" t="s">
        <v>6</v>
      </c>
      <c r="D35" s="150" t="s">
        <v>7</v>
      </c>
      <c r="E35" s="182" t="s">
        <v>49</v>
      </c>
      <c r="F35" s="183" t="s">
        <v>44</v>
      </c>
      <c r="G35" s="184" t="s">
        <v>55</v>
      </c>
      <c r="H35" s="185" t="s">
        <v>56</v>
      </c>
      <c r="I35" s="185" t="s">
        <v>57</v>
      </c>
      <c r="J35" s="186" t="s">
        <v>24</v>
      </c>
      <c r="K35" s="225"/>
      <c r="L35" s="225"/>
      <c r="X35" s="134" t="s">
        <v>84</v>
      </c>
      <c r="Y35" s="134">
        <f>SUM('3 Most Recent Years'!F61:F63)</f>
        <v>306766.99294883857</v>
      </c>
    </row>
    <row r="36" spans="1:25" ht="15.75" customHeight="1" x14ac:dyDescent="0.25">
      <c r="A36" s="148">
        <v>1</v>
      </c>
      <c r="B36" s="149" t="s">
        <v>1</v>
      </c>
      <c r="C36" s="208">
        <f>'3 Most Recent Years'!C33</f>
        <v>27899</v>
      </c>
      <c r="D36" s="150" t="s">
        <v>16</v>
      </c>
      <c r="E36" s="523" t="s">
        <v>48</v>
      </c>
      <c r="F36" s="219">
        <f>'3 Most Recent Years'!F33</f>
        <v>2.7620000000000001E-3</v>
      </c>
      <c r="G36" s="208">
        <f>'3 Most Recent Years'!G33</f>
        <v>76.77956787658421</v>
      </c>
      <c r="H36" s="149">
        <f>'3 Most Recent Years'!H33</f>
        <v>5.8637213896887289E-3</v>
      </c>
      <c r="I36" s="149">
        <f>'3 Most Recent Years'!I33</f>
        <v>0.26973118392568146</v>
      </c>
      <c r="J36" s="151">
        <f>'3 Most Recent Years'!J33</f>
        <v>77.057038000000006</v>
      </c>
      <c r="K36" s="225"/>
      <c r="L36" s="225"/>
      <c r="X36" s="140" t="s">
        <v>82</v>
      </c>
      <c r="Y36" s="140">
        <f>'3 Most Recent Years'!F64</f>
        <v>619413.50367000001</v>
      </c>
    </row>
    <row r="37" spans="1:25" ht="15.75" customHeight="1" x14ac:dyDescent="0.25">
      <c r="A37" s="148">
        <v>2</v>
      </c>
      <c r="B37" s="149" t="s">
        <v>2</v>
      </c>
      <c r="C37" s="208">
        <f>'3 Most Recent Years'!C34</f>
        <v>201371</v>
      </c>
      <c r="D37" s="150" t="s">
        <v>17</v>
      </c>
      <c r="E37" s="523"/>
      <c r="F37" s="218">
        <f>'3 Most Recent Years'!F34</f>
        <v>4.9976E-2</v>
      </c>
      <c r="G37" s="208">
        <f>'3 Most Recent Years'!G34</f>
        <v>10002.539047751368</v>
      </c>
      <c r="H37" s="149">
        <f>'3 Most Recent Years'!H34</f>
        <v>4.1967227919658905</v>
      </c>
      <c r="I37" s="149">
        <f>'3 Most Recent Years'!I34</f>
        <v>57.005484590870019</v>
      </c>
      <c r="J37" s="151">
        <f>'3 Most Recent Years'!J34</f>
        <v>10063.717096</v>
      </c>
      <c r="K37" s="225"/>
      <c r="L37" s="225"/>
      <c r="X37" s="225"/>
      <c r="Y37" s="225"/>
    </row>
    <row r="38" spans="1:25" ht="15.75" customHeight="1" x14ac:dyDescent="0.25">
      <c r="A38" s="153"/>
      <c r="B38" s="154" t="s">
        <v>3</v>
      </c>
      <c r="C38" s="208"/>
      <c r="D38" s="150"/>
      <c r="E38" s="523"/>
      <c r="F38" s="149"/>
      <c r="G38" s="208"/>
      <c r="H38" s="149"/>
      <c r="I38" s="149"/>
      <c r="J38" s="151"/>
      <c r="K38" s="225"/>
      <c r="L38" s="225"/>
      <c r="X38" s="225"/>
      <c r="Y38" s="225"/>
    </row>
    <row r="39" spans="1:25" x14ac:dyDescent="0.25">
      <c r="A39" s="148">
        <v>3</v>
      </c>
      <c r="B39" s="150" t="s">
        <v>4</v>
      </c>
      <c r="C39" s="208">
        <f>'3 Most Recent Years'!C36</f>
        <v>9452</v>
      </c>
      <c r="D39" s="150" t="s">
        <v>16</v>
      </c>
      <c r="E39" s="523"/>
      <c r="F39" s="219">
        <f>'3 Most Recent Years'!F36</f>
        <v>2.31E-3</v>
      </c>
      <c r="G39" s="208">
        <f>'3 Most Recent Years'!G36</f>
        <v>21.834119999999999</v>
      </c>
      <c r="H39" s="484"/>
      <c r="I39" s="486"/>
      <c r="J39" s="151">
        <f>'3 Most Recent Years'!J36</f>
        <v>21.834119999999999</v>
      </c>
      <c r="K39" s="225"/>
      <c r="L39" s="225"/>
      <c r="X39" s="225"/>
      <c r="Y39" s="225"/>
    </row>
    <row r="40" spans="1:25" x14ac:dyDescent="0.25">
      <c r="A40" s="148">
        <v>4</v>
      </c>
      <c r="B40" s="150" t="s">
        <v>5</v>
      </c>
      <c r="C40" s="208">
        <f>'3 Most Recent Years'!C37</f>
        <v>44181</v>
      </c>
      <c r="D40" s="150" t="s">
        <v>16</v>
      </c>
      <c r="E40" s="523"/>
      <c r="F40" s="219">
        <f>'3 Most Recent Years'!F37</f>
        <v>2.8159999999999999E-3</v>
      </c>
      <c r="G40" s="208">
        <f>'3 Most Recent Years'!G37</f>
        <v>124.413696</v>
      </c>
      <c r="H40" s="485"/>
      <c r="I40" s="476"/>
      <c r="J40" s="151">
        <f>'3 Most Recent Years'!J37</f>
        <v>124.413696</v>
      </c>
      <c r="K40" s="225"/>
      <c r="L40" s="225"/>
      <c r="X40" s="225"/>
      <c r="Y40" s="225"/>
    </row>
    <row r="41" spans="1:25" x14ac:dyDescent="0.25">
      <c r="A41" s="148"/>
      <c r="B41" s="187" t="s">
        <v>37</v>
      </c>
      <c r="C41" s="208">
        <f>'3 Most Recent Years'!C38</f>
        <v>53633</v>
      </c>
      <c r="D41" s="150" t="s">
        <v>16</v>
      </c>
      <c r="E41" s="524"/>
      <c r="F41" s="219">
        <f>'3 Most Recent Years'!F38</f>
        <v>5.1260000000000003E-3</v>
      </c>
      <c r="G41" s="208">
        <f>'3 Most Recent Years'!G38</f>
        <v>146.247816</v>
      </c>
      <c r="H41" s="485"/>
      <c r="I41" s="476"/>
      <c r="J41" s="151">
        <f>'3 Most Recent Years'!J38</f>
        <v>146.247816</v>
      </c>
      <c r="K41" s="225"/>
      <c r="L41" s="225"/>
      <c r="X41" s="225"/>
      <c r="Y41" s="225"/>
    </row>
    <row r="42" spans="1:25" x14ac:dyDescent="0.25">
      <c r="A42" s="161"/>
      <c r="B42" s="162" t="s">
        <v>81</v>
      </c>
      <c r="C42" s="214">
        <f>SUM(C36:C37,C39:C41)</f>
        <v>336536</v>
      </c>
      <c r="D42" s="164"/>
      <c r="E42" s="164"/>
      <c r="F42" s="163"/>
      <c r="G42" s="265">
        <f>'3 Most Recent Years'!G39</f>
        <v>10225.566431627953</v>
      </c>
      <c r="H42" s="485"/>
      <c r="I42" s="476"/>
      <c r="J42" s="188">
        <f>'3 Most Recent Years'!J39</f>
        <v>10287.02195</v>
      </c>
      <c r="K42" s="225"/>
      <c r="L42" s="225"/>
      <c r="X42" s="225"/>
      <c r="Y42" s="225"/>
    </row>
    <row r="43" spans="1:25" ht="15.75" x14ac:dyDescent="0.25">
      <c r="A43" s="478" t="s">
        <v>82</v>
      </c>
      <c r="B43" s="479"/>
      <c r="C43" s="479"/>
      <c r="D43" s="479"/>
      <c r="E43" s="479"/>
      <c r="F43" s="479"/>
      <c r="G43" s="479"/>
      <c r="H43" s="479"/>
      <c r="I43" s="479"/>
      <c r="J43" s="480"/>
      <c r="K43" s="225"/>
      <c r="L43" s="225" t="s">
        <v>13</v>
      </c>
      <c r="X43" s="225"/>
      <c r="Y43" s="225"/>
    </row>
    <row r="44" spans="1:25" x14ac:dyDescent="0.25">
      <c r="A44" s="148">
        <f>'3 Most Recent Years'!A40</f>
        <v>5</v>
      </c>
      <c r="B44" s="189" t="str">
        <f>'3 Most Recent Years'!B40</f>
        <v>Eletricity</v>
      </c>
      <c r="C44" s="208">
        <f>'3 Most Recent Years'!C40</f>
        <v>25585027</v>
      </c>
      <c r="D44" s="155" t="str">
        <f>'3 Most Recent Years'!D40</f>
        <v>kWh</v>
      </c>
      <c r="E44" s="187">
        <f>'3 Most Recent Years'!F40</f>
        <v>8.0699999999999999E-4</v>
      </c>
      <c r="F44" s="149">
        <f>'3 Most Recent Years'!G40</f>
        <v>20647.116789</v>
      </c>
      <c r="G44" s="156"/>
      <c r="H44" s="476"/>
      <c r="I44" s="476"/>
      <c r="J44" s="151">
        <f>'3 Most Recent Years'!J40</f>
        <v>20647.116789</v>
      </c>
      <c r="K44" s="225" t="s">
        <v>84</v>
      </c>
      <c r="L44" s="225">
        <f>J42</f>
        <v>10287.02195</v>
      </c>
      <c r="X44" s="225"/>
      <c r="Y44" s="225"/>
    </row>
    <row r="45" spans="1:25" ht="15.75" thickBot="1" x14ac:dyDescent="0.3">
      <c r="A45" s="190"/>
      <c r="B45" s="191"/>
      <c r="C45" s="191"/>
      <c r="D45" s="191"/>
      <c r="E45" s="192">
        <f>'3 Most Recent Years'!F41</f>
        <v>6.9298000000000005E-4</v>
      </c>
      <c r="F45" s="193">
        <f>'3 Most Recent Years'!G41</f>
        <v>17729.912010460001</v>
      </c>
      <c r="G45" s="194"/>
      <c r="H45" s="477"/>
      <c r="I45" s="477"/>
      <c r="J45" s="174">
        <f>'3 Most Recent Years'!J41</f>
        <v>17729.912010460001</v>
      </c>
      <c r="K45" s="225" t="s">
        <v>82</v>
      </c>
      <c r="L45" s="225">
        <f>J44</f>
        <v>20647.116789</v>
      </c>
      <c r="X45" s="225"/>
      <c r="Y45" s="225"/>
    </row>
    <row r="46" spans="1:25" x14ac:dyDescent="0.25">
      <c r="A46" s="180"/>
      <c r="B46" s="195"/>
      <c r="C46" s="195"/>
      <c r="D46" s="195"/>
      <c r="E46" s="175"/>
      <c r="F46" s="196"/>
      <c r="G46" s="196"/>
      <c r="H46" s="536"/>
      <c r="I46" s="536"/>
      <c r="J46" s="196"/>
      <c r="K46" s="225"/>
      <c r="L46" s="225"/>
      <c r="X46" s="225"/>
      <c r="Y46" s="225"/>
    </row>
    <row r="47" spans="1:25" ht="15.75" thickBot="1" x14ac:dyDescent="0.3">
      <c r="A47" s="152"/>
      <c r="B47" s="152"/>
      <c r="C47" s="152"/>
      <c r="D47" s="152"/>
      <c r="E47" s="152"/>
      <c r="F47" s="152"/>
      <c r="G47" s="152"/>
      <c r="H47" s="152"/>
      <c r="I47" s="152"/>
      <c r="J47" s="152"/>
      <c r="K47" s="225"/>
      <c r="L47" s="225"/>
      <c r="X47" s="225"/>
      <c r="Y47" s="225"/>
    </row>
    <row r="48" spans="1:25" ht="16.5" thickBot="1" x14ac:dyDescent="0.3">
      <c r="A48" s="487" t="s">
        <v>87</v>
      </c>
      <c r="B48" s="488"/>
      <c r="C48" s="488"/>
      <c r="D48" s="488"/>
      <c r="E48" s="488"/>
      <c r="F48" s="488"/>
      <c r="G48" s="488"/>
      <c r="H48" s="488"/>
      <c r="I48" s="488"/>
      <c r="J48" s="489"/>
      <c r="K48" s="225"/>
      <c r="L48" s="225"/>
      <c r="X48" s="521" t="s">
        <v>87</v>
      </c>
      <c r="Y48" s="521"/>
    </row>
    <row r="49" spans="1:25" ht="15.75" x14ac:dyDescent="0.25">
      <c r="A49" s="533" t="s">
        <v>84</v>
      </c>
      <c r="B49" s="534"/>
      <c r="C49" s="534"/>
      <c r="D49" s="534"/>
      <c r="E49" s="534"/>
      <c r="F49" s="534"/>
      <c r="G49" s="534"/>
      <c r="H49" s="534"/>
      <c r="I49" s="534"/>
      <c r="J49" s="535"/>
      <c r="K49" s="225"/>
      <c r="L49" s="225"/>
      <c r="X49" s="134"/>
      <c r="Y49" s="134" t="s">
        <v>89</v>
      </c>
    </row>
    <row r="50" spans="1:25" ht="60.75" customHeight="1" x14ac:dyDescent="0.25">
      <c r="A50" s="197"/>
      <c r="B50" s="198" t="s">
        <v>0</v>
      </c>
      <c r="C50" s="159" t="s">
        <v>6</v>
      </c>
      <c r="D50" s="159" t="s">
        <v>7</v>
      </c>
      <c r="E50" s="224" t="s">
        <v>49</v>
      </c>
      <c r="F50" s="199" t="s">
        <v>39</v>
      </c>
      <c r="G50" s="200" t="s">
        <v>8</v>
      </c>
      <c r="H50" s="200" t="s">
        <v>9</v>
      </c>
      <c r="I50" s="200" t="s">
        <v>10</v>
      </c>
      <c r="J50" s="201" t="s">
        <v>24</v>
      </c>
      <c r="K50" s="225"/>
      <c r="L50" s="225"/>
      <c r="X50" s="134" t="s">
        <v>84</v>
      </c>
      <c r="Y50" s="134">
        <f>SUM('Baseline Years'!G80:G83)</f>
        <v>473444.22191003291</v>
      </c>
    </row>
    <row r="51" spans="1:25" x14ac:dyDescent="0.25">
      <c r="A51" s="161">
        <f>'Baseline Years'!A51</f>
        <v>1</v>
      </c>
      <c r="B51" s="163" t="str">
        <f>'Baseline Years'!B51</f>
        <v>Furnace oil: no.2</v>
      </c>
      <c r="C51" s="214">
        <f>'Baseline Years'!C51</f>
        <v>357368</v>
      </c>
      <c r="D51" s="164" t="str">
        <f>'Baseline Years'!D51</f>
        <v>L</v>
      </c>
      <c r="E51" s="522" t="s">
        <v>91</v>
      </c>
      <c r="F51" s="221">
        <f>'Baseline Years'!F51</f>
        <v>2.7659999999999998E-3</v>
      </c>
      <c r="G51" s="214">
        <f>'Baseline Years'!G51</f>
        <v>983.70635810377962</v>
      </c>
      <c r="H51" s="163">
        <f>'Baseline Years'!H51</f>
        <v>1.4308456117873158</v>
      </c>
      <c r="I51" s="163">
        <f>'Baseline Years'!I51</f>
        <v>3.5771140294682895</v>
      </c>
      <c r="J51" s="212">
        <f>'Baseline Years'!J51</f>
        <v>988.47988799999996</v>
      </c>
      <c r="K51" s="225"/>
      <c r="L51" s="225"/>
      <c r="X51" s="140" t="s">
        <v>82</v>
      </c>
      <c r="Y51" s="140">
        <f>'Baseline Years'!G84</f>
        <v>653495.03432999994</v>
      </c>
    </row>
    <row r="52" spans="1:25" x14ac:dyDescent="0.25">
      <c r="A52" s="148">
        <f>'Baseline Years'!A52</f>
        <v>2</v>
      </c>
      <c r="B52" s="149" t="str">
        <f>'Baseline Years'!B52</f>
        <v>Bunker oil: no.6</v>
      </c>
      <c r="C52" s="208">
        <f>'Baseline Years'!C52</f>
        <v>3687553</v>
      </c>
      <c r="D52" s="150" t="str">
        <f>'Baseline Years'!D52</f>
        <v>L</v>
      </c>
      <c r="E52" s="523"/>
      <c r="F52" s="219">
        <f>'Baseline Years'!F52</f>
        <v>2.7620000000000001E-3</v>
      </c>
      <c r="G52" s="208">
        <f>'Baseline Years'!G52</f>
        <v>10148.346745833245</v>
      </c>
      <c r="H52" s="149">
        <f>'Baseline Years'!H52</f>
        <v>0.77503793690493716</v>
      </c>
      <c r="I52" s="149">
        <f>'Baseline Years'!I52</f>
        <v>35.651745097627099</v>
      </c>
      <c r="J52" s="213">
        <f>'Baseline Years'!J52</f>
        <v>10185.021386</v>
      </c>
      <c r="K52" s="225"/>
      <c r="L52" s="225"/>
    </row>
    <row r="53" spans="1:25" x14ac:dyDescent="0.25">
      <c r="A53" s="148">
        <f>'Baseline Years'!A53</f>
        <v>3</v>
      </c>
      <c r="B53" s="149" t="str">
        <f>'Baseline Years'!B53</f>
        <v>Natural Gas</v>
      </c>
      <c r="C53" s="208">
        <f>'Baseline Years'!C53</f>
        <v>90953</v>
      </c>
      <c r="D53" s="150" t="str">
        <f>'Baseline Years'!D53</f>
        <v>GJ</v>
      </c>
      <c r="E53" s="523"/>
      <c r="F53" s="218">
        <f>'Baseline Years'!F53</f>
        <v>4.9976E-2</v>
      </c>
      <c r="G53" s="208">
        <f>'Baseline Years'!G53</f>
        <v>4517.8349117307371</v>
      </c>
      <c r="H53" s="149">
        <f>'Baseline Years'!H53</f>
        <v>1.8955287906286091</v>
      </c>
      <c r="I53" s="149">
        <f>'Baseline Years'!I53</f>
        <v>25.74759940603861</v>
      </c>
      <c r="J53" s="213">
        <f>'Baseline Years'!J53</f>
        <v>4545.4671280000002</v>
      </c>
      <c r="K53" s="225">
        <f>J51+J52+J53</f>
        <v>15718.968402</v>
      </c>
      <c r="L53" s="225"/>
    </row>
    <row r="54" spans="1:25" x14ac:dyDescent="0.25">
      <c r="A54" s="148"/>
      <c r="B54" s="154" t="s">
        <v>3</v>
      </c>
      <c r="C54" s="208"/>
      <c r="D54" s="150"/>
      <c r="E54" s="523"/>
      <c r="F54" s="149"/>
      <c r="G54" s="208"/>
      <c r="H54" s="149"/>
      <c r="I54" s="149"/>
      <c r="J54" s="213"/>
      <c r="K54" s="225"/>
      <c r="L54" s="225"/>
    </row>
    <row r="55" spans="1:25" x14ac:dyDescent="0.25">
      <c r="A55" s="148">
        <v>4</v>
      </c>
      <c r="B55" s="150" t="s">
        <v>4</v>
      </c>
      <c r="C55" s="208">
        <f>'Baseline Years'!$C$55</f>
        <v>10880</v>
      </c>
      <c r="D55" s="150" t="s">
        <v>16</v>
      </c>
      <c r="E55" s="523"/>
      <c r="F55" s="219">
        <f>'Baseline Years'!F55</f>
        <v>2.31E-3</v>
      </c>
      <c r="G55" s="208">
        <f>'Baseline Years'!$G$55</f>
        <v>25.1328</v>
      </c>
      <c r="H55" s="486"/>
      <c r="I55" s="486"/>
      <c r="J55" s="213">
        <f>'Baseline Years'!$J$55</f>
        <v>25.1328</v>
      </c>
      <c r="K55" s="225"/>
      <c r="L55" s="225"/>
    </row>
    <row r="56" spans="1:25" x14ac:dyDescent="0.25">
      <c r="A56" s="148">
        <v>5</v>
      </c>
      <c r="B56" s="150" t="s">
        <v>5</v>
      </c>
      <c r="C56" s="208">
        <f>'Baseline Years'!$C$56</f>
        <v>37803</v>
      </c>
      <c r="D56" s="150" t="s">
        <v>16</v>
      </c>
      <c r="E56" s="523"/>
      <c r="F56" s="219">
        <f>'Baseline Years'!F56</f>
        <v>2.8159999999999999E-3</v>
      </c>
      <c r="G56" s="208">
        <f>'Baseline Years'!$G$56</f>
        <v>106.453248</v>
      </c>
      <c r="H56" s="476"/>
      <c r="I56" s="476"/>
      <c r="J56" s="213">
        <f>'Baseline Years'!$J$56</f>
        <v>106.453248</v>
      </c>
      <c r="K56" s="225"/>
      <c r="L56" s="225"/>
    </row>
    <row r="57" spans="1:25" x14ac:dyDescent="0.25">
      <c r="A57" s="148"/>
      <c r="B57" s="149" t="s">
        <v>38</v>
      </c>
      <c r="C57" s="208">
        <f>'Baseline Years'!$C$57</f>
        <v>48683</v>
      </c>
      <c r="D57" s="150" t="s">
        <v>16</v>
      </c>
      <c r="E57" s="523"/>
      <c r="F57" s="219">
        <f>F55+F56</f>
        <v>5.1260000000000003E-3</v>
      </c>
      <c r="G57" s="208">
        <f>'Baseline Years'!$G$57</f>
        <v>131.58604800000001</v>
      </c>
      <c r="H57" s="476"/>
      <c r="I57" s="476"/>
      <c r="J57" s="213">
        <f>'Baseline Years'!$J$57</f>
        <v>131.58604800000001</v>
      </c>
      <c r="K57" s="225"/>
      <c r="L57" s="225"/>
    </row>
    <row r="58" spans="1:25" x14ac:dyDescent="0.25">
      <c r="A58" s="148"/>
      <c r="B58" s="189" t="s">
        <v>81</v>
      </c>
      <c r="C58" s="208">
        <f>SUM(C51:C53,C55:C57)</f>
        <v>4233240</v>
      </c>
      <c r="D58" s="149"/>
      <c r="E58" s="524"/>
      <c r="F58" s="149"/>
      <c r="G58" s="208">
        <f>'Baseline Years'!G58</f>
        <v>15781.474063667762</v>
      </c>
      <c r="H58" s="476"/>
      <c r="I58" s="476"/>
      <c r="J58" s="213">
        <f>'Baseline Years'!J58</f>
        <v>15850.554450000001</v>
      </c>
      <c r="K58" s="225"/>
      <c r="L58" s="225"/>
    </row>
    <row r="59" spans="1:25" ht="15.75" x14ac:dyDescent="0.25">
      <c r="A59" s="512" t="s">
        <v>82</v>
      </c>
      <c r="B59" s="513"/>
      <c r="C59" s="513"/>
      <c r="D59" s="513"/>
      <c r="E59" s="513"/>
      <c r="F59" s="513"/>
      <c r="G59" s="513"/>
      <c r="H59" s="513"/>
      <c r="I59" s="513"/>
      <c r="J59" s="514"/>
      <c r="K59" s="225"/>
      <c r="L59" s="225" t="s">
        <v>75</v>
      </c>
    </row>
    <row r="60" spans="1:25" x14ac:dyDescent="0.25">
      <c r="A60" s="202">
        <f>'3 Most Recent Years'!A40</f>
        <v>5</v>
      </c>
      <c r="B60" s="203" t="str">
        <f>'Baseline Years'!B59</f>
        <v>Eletricity</v>
      </c>
      <c r="C60" s="207">
        <f>'Baseline Years'!C59</f>
        <v>26992773</v>
      </c>
      <c r="D60" s="203" t="str">
        <f>'Baseline Years'!D59</f>
        <v>kWh</v>
      </c>
      <c r="E60" s="222">
        <f>'Baseline Years'!F59</f>
        <v>8.0699999999999999E-4</v>
      </c>
      <c r="F60" s="207">
        <f>'Baseline Years'!G59</f>
        <v>21783.167810999999</v>
      </c>
      <c r="G60" s="203"/>
      <c r="H60" s="203"/>
      <c r="I60" s="203"/>
      <c r="J60" s="210">
        <f>F60</f>
        <v>21783.167810999999</v>
      </c>
      <c r="K60" s="225" t="s">
        <v>84</v>
      </c>
      <c r="L60" s="225">
        <f>J58</f>
        <v>15850.554450000001</v>
      </c>
    </row>
    <row r="61" spans="1:25" ht="15.75" thickBot="1" x14ac:dyDescent="0.3">
      <c r="A61" s="204"/>
      <c r="B61" s="205"/>
      <c r="C61" s="205"/>
      <c r="D61" s="205"/>
      <c r="E61" s="223">
        <f>'Baseline Years'!F60</f>
        <v>6.9298000000000005E-4</v>
      </c>
      <c r="F61" s="209">
        <f>'Baseline Years'!G60</f>
        <v>18705.451833540003</v>
      </c>
      <c r="G61" s="205"/>
      <c r="H61" s="205"/>
      <c r="I61" s="205"/>
      <c r="J61" s="211">
        <f>F61</f>
        <v>18705.451833540003</v>
      </c>
      <c r="K61" s="225" t="s">
        <v>82</v>
      </c>
      <c r="L61" s="225">
        <f>J60</f>
        <v>21783.167810999999</v>
      </c>
    </row>
    <row r="62" spans="1:25" x14ac:dyDescent="0.25">
      <c r="A62" s="152"/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206"/>
    </row>
    <row r="63" spans="1:25" x14ac:dyDescent="0.25">
      <c r="A63" s="152"/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</row>
  </sheetData>
  <mergeCells count="37">
    <mergeCell ref="A59:J59"/>
    <mergeCell ref="W1:AF1"/>
    <mergeCell ref="X4:Y4"/>
    <mergeCell ref="X18:Y18"/>
    <mergeCell ref="X33:Y33"/>
    <mergeCell ref="X48:Y48"/>
    <mergeCell ref="E51:E58"/>
    <mergeCell ref="E36:E41"/>
    <mergeCell ref="E21:E26"/>
    <mergeCell ref="E6:E11"/>
    <mergeCell ref="H55:H58"/>
    <mergeCell ref="I55:I58"/>
    <mergeCell ref="A19:J19"/>
    <mergeCell ref="A34:J34"/>
    <mergeCell ref="A49:J49"/>
    <mergeCell ref="H46:I46"/>
    <mergeCell ref="H44:H45"/>
    <mergeCell ref="A48:J48"/>
    <mergeCell ref="A2:J2"/>
    <mergeCell ref="H8:H12"/>
    <mergeCell ref="I8:I12"/>
    <mergeCell ref="H23:H27"/>
    <mergeCell ref="I23:I27"/>
    <mergeCell ref="A3:J3"/>
    <mergeCell ref="A18:J18"/>
    <mergeCell ref="A13:J13"/>
    <mergeCell ref="H14:H15"/>
    <mergeCell ref="I14:I15"/>
    <mergeCell ref="A4:J4"/>
    <mergeCell ref="I44:I45"/>
    <mergeCell ref="A28:J28"/>
    <mergeCell ref="H29:H30"/>
    <mergeCell ref="I29:I30"/>
    <mergeCell ref="A43:J43"/>
    <mergeCell ref="A33:J33"/>
    <mergeCell ref="H39:H42"/>
    <mergeCell ref="I39:I4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CCAP Baseline PNB GHG Method</vt:lpstr>
      <vt:lpstr>3 Most Recent Years</vt:lpstr>
      <vt:lpstr>Baseline Years</vt:lpstr>
      <vt:lpstr>SCOPES 1 &amp; 2</vt:lpstr>
    </vt:vector>
  </TitlesOfParts>
  <Company>University of New Brunswick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Disha Lata Bisto</dc:creator>
  <cp:lastModifiedBy>Michael Hardy</cp:lastModifiedBy>
  <dcterms:created xsi:type="dcterms:W3CDTF">2016-12-19T18:25:43Z</dcterms:created>
  <dcterms:modified xsi:type="dcterms:W3CDTF">2017-06-16T14:54:12Z</dcterms:modified>
</cp:coreProperties>
</file>